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kcow00\jobs4\66428\TaskOrder7\Planning\WorkTasks\BCA\"/>
    </mc:Choice>
  </mc:AlternateContent>
  <xr:revisionPtr revIDLastSave="0" documentId="13_ncr:1_{F67D6121-6A8A-45FE-BA00-ACE2B04C2423}" xr6:coauthVersionLast="44" xr6:coauthVersionMax="44" xr10:uidLastSave="{00000000-0000-0000-0000-000000000000}"/>
  <bookViews>
    <workbookView xWindow="28680" yWindow="-120" windowWidth="29040" windowHeight="15840" tabRatio="896" xr2:uid="{00000000-000D-0000-FFFF-FFFF00000000}"/>
  </bookViews>
  <sheets>
    <sheet name="Summary" sheetId="12" r:id="rId1"/>
    <sheet name="Summary Table" sheetId="41" r:id="rId2"/>
    <sheet name="NPV" sheetId="5" r:id="rId3"/>
    <sheet name="Costs" sheetId="27" r:id="rId4"/>
    <sheet name="Maintenance" sheetId="49" r:id="rId5"/>
    <sheet name="Safety" sheetId="21" r:id="rId6"/>
    <sheet name="Travel Time" sheetId="51" r:id="rId7"/>
    <sheet name="Environmental Protection" sheetId="47" r:id="rId8"/>
  </sheets>
  <externalReferences>
    <externalReference r:id="rId9"/>
    <externalReference r:id="rId10"/>
    <externalReference r:id="rId11"/>
  </externalReferences>
  <definedNames>
    <definedName name="Annual_Traffic_Growth_Rate">'[1]START Assumptions'!$B$39</definedName>
    <definedName name="Auto_Occ" localSheetId="4">'[1]START Assumptions'!#REF!</definedName>
    <definedName name="Auto_Occ" localSheetId="6">'[1]START Assumptions'!#REF!</definedName>
    <definedName name="Auto_Occ">'[1]START Assumptions'!#REF!</definedName>
    <definedName name="Auto_Op_Cost">'[1]START Assumptions'!$B$37</definedName>
    <definedName name="Ave_Fatal_Cost" localSheetId="4">'[1]START Assumptions'!#REF!</definedName>
    <definedName name="Ave_Fatal_Cost" localSheetId="6">'[1]START Assumptions'!#REF!</definedName>
    <definedName name="Ave_Fatal_Cost">'[1]START Assumptions'!#REF!</definedName>
    <definedName name="Ave_PD_Cost" localSheetId="4">'[1]START Assumptions'!#REF!</definedName>
    <definedName name="Ave_PD_Cost" localSheetId="6">'[1]START Assumptions'!#REF!</definedName>
    <definedName name="Ave_PD_Cost">'[1]START Assumptions'!#REF!</definedName>
    <definedName name="Ave_Type_A_Cost" localSheetId="4">'[1]START Assumptions'!#REF!</definedName>
    <definedName name="Ave_Type_A_Cost">'[1]START Assumptions'!#REF!</definedName>
    <definedName name="Ave_Type_B_Cost" localSheetId="4">'[1]START Assumptions'!#REF!</definedName>
    <definedName name="Ave_Type_B_Cost">'[1]START Assumptions'!#REF!</definedName>
    <definedName name="Ave_Type_C_Cost" localSheetId="4">'[1]START Assumptions'!#REF!</definedName>
    <definedName name="Ave_Type_C_Cost">'[1]START Assumptions'!#REF!</definedName>
    <definedName name="Ave_Type_Fatal_Cost" localSheetId="4">'[1]START Assumptions'!#REF!</definedName>
    <definedName name="Ave_Type_Fatal_Cost">'[1]START Assumptions'!#REF!</definedName>
    <definedName name="Ave_Type_PD_Cost" localSheetId="4">'[1]START Assumptions'!#REF!</definedName>
    <definedName name="Ave_Type_PD_Cost">'[1]START Assumptions'!#REF!</definedName>
    <definedName name="Avg_Crash_Cost" localSheetId="4">'[1]START Assumptions'!#REF!</definedName>
    <definedName name="Avg_Crash_Cost">'[1]START Assumptions'!#REF!</definedName>
    <definedName name="Base_Year">'[1]START Assumptions'!$B$31</definedName>
    <definedName name="Base_Year_Traffic" localSheetId="4">'[1]START Assumptions'!#REF!</definedName>
    <definedName name="Base_Year_Traffic" localSheetId="6">'[1]START Assumptions'!#REF!</definedName>
    <definedName name="Base_Year_Traffic">'[1]START Assumptions'!#REF!</definedName>
    <definedName name="Benefit_Period">'[1]START Assumptions'!$B$33</definedName>
    <definedName name="CIP" localSheetId="7">#REF!</definedName>
    <definedName name="CIP" localSheetId="4">#REF!</definedName>
    <definedName name="CIP" localSheetId="1">#REF!</definedName>
    <definedName name="CIP" localSheetId="6">#REF!</definedName>
    <definedName name="CIP">#REF!</definedName>
    <definedName name="Const_Comp_Year">'[1]START Assumptions'!$B$32</definedName>
    <definedName name="Crash_Rate_AC" localSheetId="4">'[1]START Assumptions'!#REF!</definedName>
    <definedName name="Crash_Rate_AC" localSheetId="6">'[1]START Assumptions'!#REF!</definedName>
    <definedName name="Crash_Rate_AC">'[1]START Assumptions'!#REF!</definedName>
    <definedName name="Crash_Rate_BC" localSheetId="4">'[1]START Assumptions'!#REF!</definedName>
    <definedName name="Crash_Rate_BC" localSheetId="6">'[1]START Assumptions'!#REF!</definedName>
    <definedName name="Crash_Rate_BC">'[1]START Assumptions'!#REF!</definedName>
    <definedName name="dblStack">'[2]Tunnel Capacity'!$C$6</definedName>
    <definedName name="Discount_Rate">'[1]START Assumptions'!$B$35</definedName>
    <definedName name="domstackRate">'[2]Tunnel Capacity'!$C$4</definedName>
    <definedName name="Fatal_Crash_Cost" localSheetId="4">'[1]START Assumptions'!#REF!</definedName>
    <definedName name="Fatal_Crash_Cost" localSheetId="6">'[1]START Assumptions'!#REF!</definedName>
    <definedName name="Fatal_Crash_Cost">'[1]START Assumptions'!#REF!</definedName>
    <definedName name="Fatal_Crash_Rate_AC" localSheetId="4">'[1]START Assumptions'!#REF!</definedName>
    <definedName name="Fatal_Crash_Rate_AC" localSheetId="6">'[1]START Assumptions'!#REF!</definedName>
    <definedName name="Fatal_Crash_Rate_AC">'[1]START Assumptions'!#REF!</definedName>
    <definedName name="Fatal_Crash_Rate_BC" localSheetId="4">'[1]START Assumptions'!#REF!</definedName>
    <definedName name="Fatal_Crash_Rate_BC">'[1]START Assumptions'!#REF!</definedName>
    <definedName name="HCV_Cost_Op" localSheetId="4">'[1]START Assumptions'!#REF!</definedName>
    <definedName name="HCV_Cost_Op">'[1]START Assumptions'!#REF!</definedName>
    <definedName name="HCV_Density_AC" localSheetId="4">'[1]START Assumptions'!#REF!</definedName>
    <definedName name="HCV_Density_AC">'[1]START Assumptions'!#REF!</definedName>
    <definedName name="HCV_Density_BC" localSheetId="4">'[1]START Assumptions'!#REF!</definedName>
    <definedName name="HCV_Density_BC">'[1]START Assumptions'!#REF!</definedName>
    <definedName name="HCV_Occ" localSheetId="4">'[1]START Assumptions'!#REF!</definedName>
    <definedName name="HCV_Occ">'[1]START Assumptions'!#REF!</definedName>
    <definedName name="HCV_Value_of_Time" localSheetId="4">'[1]START Assumptions'!#REF!</definedName>
    <definedName name="HCV_Value_of_Time">'[1]START Assumptions'!#REF!</definedName>
    <definedName name="Injury_Crash_Cost" localSheetId="4">'[1]START Assumptions'!#REF!</definedName>
    <definedName name="Injury_Crash_Cost">'[1]START Assumptions'!#REF!</definedName>
    <definedName name="Injury_Crash_Rate_AC" localSheetId="4">'[1]START Assumptions'!#REF!</definedName>
    <definedName name="Injury_Crash_Rate_AC">'[1]START Assumptions'!#REF!</definedName>
    <definedName name="Injury_Crash_Rate_BC" localSheetId="4">'[1]START Assumptions'!#REF!</definedName>
    <definedName name="Injury_Crash_Rate_BC">'[1]START Assumptions'!#REF!</definedName>
    <definedName name="intlstackRate">'[2]Tunnel Capacity'!$C$3</definedName>
    <definedName name="Length_AC" localSheetId="4">'[1]START Assumptions'!#REF!</definedName>
    <definedName name="Length_AC" localSheetId="6">'[1]START Assumptions'!#REF!</definedName>
    <definedName name="Length_AC">'[1]START Assumptions'!#REF!</definedName>
    <definedName name="Length_BC" localSheetId="4">'[1]START Assumptions'!#REF!</definedName>
    <definedName name="Length_BC" localSheetId="6">'[1]START Assumptions'!#REF!</definedName>
    <definedName name="Length_BC">'[1]START Assumptions'!#REF!</definedName>
    <definedName name="List">'[3]NEW ROAD'!$A$2:$A$19</definedName>
    <definedName name="maxLength">'[2]Tunnel Capacity'!$C$2</definedName>
    <definedName name="NEW">'[3]NEW ROAD'!$A$4:$A$5</definedName>
    <definedName name="NPV_Costs">'[1]START Costs'!$I$5</definedName>
    <definedName name="NPV_Distance" localSheetId="4">'[1]START Distance Benefit'!#REF!</definedName>
    <definedName name="NPV_Distance" localSheetId="6">'[1]START Distance Benefit'!#REF!</definedName>
    <definedName name="NPV_Distance">'[1]START Distance Benefit'!#REF!</definedName>
    <definedName name="NPV_maint">'[1]START Costs'!$L$5</definedName>
    <definedName name="NPV_Safety" localSheetId="4">#REF!</definedName>
    <definedName name="NPV_Safety" localSheetId="6">#REF!</definedName>
    <definedName name="NPV_Safety">#REF!</definedName>
    <definedName name="NPV_Time" localSheetId="4">#REF!</definedName>
    <definedName name="NPV_Time">#REF!</definedName>
    <definedName name="PD_Crash_Cost" localSheetId="4">'[1]START Assumptions'!#REF!</definedName>
    <definedName name="PD_Crash_Cost" localSheetId="6">'[1]START Assumptions'!#REF!</definedName>
    <definedName name="PD_Crash_Cost">'[1]START Assumptions'!#REF!</definedName>
    <definedName name="PD_Crash_Rate_AC" localSheetId="4">'[1]START Assumptions'!#REF!</definedName>
    <definedName name="PD_Crash_Rate_AC" localSheetId="6">'[1]START Assumptions'!#REF!</definedName>
    <definedName name="PD_Crash_Rate_AC">'[1]START Assumptions'!#REF!</definedName>
    <definedName name="PD_Crash_Rate_BC" localSheetId="4">'[1]START Assumptions'!#REF!</definedName>
    <definedName name="PD_Crash_Rate_BC">'[1]START Assumptions'!#REF!</definedName>
    <definedName name="_xlnm.Print_Area" localSheetId="3">Costs!$A$2:$I$43</definedName>
    <definedName name="_xlnm.Print_Area" localSheetId="7">'Environmental Protection'!$A$6:$O$48</definedName>
    <definedName name="_xlnm.Print_Area" localSheetId="4">Maintenance!$A$2:$H$43</definedName>
    <definedName name="_xlnm.Print_Area" localSheetId="2">NPV!$A$1:$C$44</definedName>
    <definedName name="_xlnm.Print_Area" localSheetId="5">Safety!$A$1:$U$144,Safety!#REF!</definedName>
    <definedName name="_xlnm.Print_Area" localSheetId="0">Summary!$B$2:$H$3</definedName>
    <definedName name="_xlnm.Print_Area" localSheetId="1">'Summary Table'!$A$1:$G$49</definedName>
    <definedName name="_xlnm.Print_Area" localSheetId="6">'Travel Time'!$A$173:$R$210,'Travel Time'!$A$298:$M$303</definedName>
    <definedName name="printa" localSheetId="7">#REF!</definedName>
    <definedName name="printa" localSheetId="4">#REF!</definedName>
    <definedName name="printa" localSheetId="1">#REF!</definedName>
    <definedName name="printa" localSheetId="6">#REF!</definedName>
    <definedName name="printa">#REF!</definedName>
    <definedName name="Prop_Dam_Crash_Cost" localSheetId="4">'[1]START Assumptions'!#REF!</definedName>
    <definedName name="Prop_Dam_Crash_Cost" localSheetId="6">'[1]START Assumptions'!#REF!</definedName>
    <definedName name="Prop_Dam_Crash_Cost">'[1]START Assumptions'!#REF!</definedName>
    <definedName name="singleStack">'[2]Tunnel Capacity'!$C$5</definedName>
    <definedName name="Speed_AC" localSheetId="4">'[1]START Assumptions'!#REF!</definedName>
    <definedName name="Speed_AC" localSheetId="6">'[1]START Assumptions'!#REF!</definedName>
    <definedName name="Speed_AC">'[1]START Assumptions'!#REF!</definedName>
    <definedName name="Speed_BC" localSheetId="4">'[1]START Assumptions'!#REF!</definedName>
    <definedName name="Speed_BC" localSheetId="6">'[1]START Assumptions'!#REF!</definedName>
    <definedName name="Speed_BC">'[1]START Assumptions'!#REF!</definedName>
    <definedName name="Type_A_Crash_Rate_AC" localSheetId="4">'[1]START Assumptions'!#REF!</definedName>
    <definedName name="Type_A_Crash_Rate_AC">'[1]START Assumptions'!#REF!</definedName>
    <definedName name="Type_A_Crash_Rate_BC" localSheetId="4">'[1]START Assumptions'!#REF!</definedName>
    <definedName name="Type_A_Crash_Rate_BC">'[1]START Assumptions'!#REF!</definedName>
    <definedName name="Type_B_Crash_Rate_AC" localSheetId="4">'[1]START Assumptions'!#REF!</definedName>
    <definedName name="Type_B_Crash_Rate_AC">'[1]START Assumptions'!#REF!</definedName>
    <definedName name="Type_B_Crash_Rate_BC" localSheetId="4">'[1]START Assumptions'!#REF!</definedName>
    <definedName name="Type_B_Crash_Rate_BC">'[1]START Assumptions'!#REF!</definedName>
    <definedName name="Type_C_Crash_Rate_AC" localSheetId="4">'[1]START Assumptions'!#REF!</definedName>
    <definedName name="Type_C_Crash_Rate_AC">'[1]START Assumptions'!#REF!</definedName>
    <definedName name="Type_C_Crash_Rate_BC" localSheetId="4">'[1]START Assumptions'!#REF!</definedName>
    <definedName name="Type_C_Crash_Rate_BC">'[1]START Assumptions'!#REF!</definedName>
    <definedName name="Type_Fatal_Crash_Rate_AC" localSheetId="4">'[1]START Assumptions'!#REF!</definedName>
    <definedName name="Type_Fatal_Crash_Rate_AC">'[1]START Assumptions'!#REF!</definedName>
    <definedName name="Type_Fatal_Crash_Rate_BC" localSheetId="4">'[1]START Assumptions'!#REF!</definedName>
    <definedName name="Type_Fatal_Crash_Rate_BC">'[1]START Assumptions'!#REF!</definedName>
    <definedName name="Type_PD_Crash_Rate_AC" localSheetId="4">'[1]START Assumptions'!#REF!</definedName>
    <definedName name="Type_PD_Crash_Rate_AC">'[1]START Assumptions'!#REF!</definedName>
    <definedName name="Type_PD_Crash_Rate_BC" localSheetId="4">'[1]START Assumptions'!#REF!</definedName>
    <definedName name="Type_PD_Crash_Rate_BC">'[1]START Assumptions'!#REF!</definedName>
    <definedName name="Version2" localSheetId="7">#REF!</definedName>
    <definedName name="Version2" localSheetId="4">#REF!</definedName>
    <definedName name="Version2" localSheetId="1">#REF!</definedName>
    <definedName name="Version2" localSheetId="6">#REF!</definedName>
    <definedName name="Version2">#REF!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3" i="49" l="1"/>
  <c r="F13" i="49"/>
  <c r="E43" i="49"/>
  <c r="B43" i="49"/>
  <c r="C43" i="49"/>
  <c r="D43" i="49"/>
  <c r="B291" i="51"/>
  <c r="I183" i="51"/>
  <c r="S44" i="41" l="1"/>
  <c r="S45" i="41"/>
  <c r="S46" i="41"/>
  <c r="S47" i="41"/>
  <c r="R44" i="41"/>
  <c r="R45" i="41"/>
  <c r="R46" i="41"/>
  <c r="R47" i="41"/>
  <c r="Q44" i="41"/>
  <c r="Q45" i="41"/>
  <c r="Q46" i="41"/>
  <c r="Q47" i="41"/>
  <c r="P44" i="41"/>
  <c r="P45" i="41"/>
  <c r="P46" i="41"/>
  <c r="P47" i="41"/>
  <c r="E12" i="41"/>
  <c r="E212" i="51"/>
  <c r="V121" i="51"/>
  <c r="D13" i="49"/>
  <c r="H41" i="27" l="1"/>
  <c r="I41" i="27" s="1"/>
  <c r="D165" i="51" l="1"/>
  <c r="E165" i="51"/>
  <c r="D166" i="51"/>
  <c r="E166" i="51"/>
  <c r="D167" i="51"/>
  <c r="E167" i="51"/>
  <c r="D168" i="51"/>
  <c r="E168" i="51"/>
  <c r="D119" i="51"/>
  <c r="E119" i="51"/>
  <c r="P119" i="51"/>
  <c r="Q119" i="51"/>
  <c r="D120" i="51"/>
  <c r="E120" i="51"/>
  <c r="P120" i="51"/>
  <c r="Q120" i="51"/>
  <c r="D121" i="51"/>
  <c r="E121" i="51"/>
  <c r="P121" i="51"/>
  <c r="Q121" i="51"/>
  <c r="E13" i="49"/>
  <c r="E19" i="49"/>
  <c r="E26" i="49"/>
  <c r="E33" i="49"/>
  <c r="E40" i="49"/>
  <c r="E41" i="49"/>
  <c r="E42" i="49"/>
  <c r="F8" i="27"/>
  <c r="F9" i="27"/>
  <c r="F10" i="27"/>
  <c r="F11" i="27"/>
  <c r="F12" i="27"/>
  <c r="F7" i="27"/>
  <c r="G42" i="27"/>
  <c r="H6" i="27"/>
  <c r="H7" i="27"/>
  <c r="H8" i="27"/>
  <c r="H9" i="27"/>
  <c r="H10" i="27"/>
  <c r="H5" i="27"/>
  <c r="C42" i="49"/>
  <c r="C41" i="49"/>
  <c r="F41" i="49" s="1"/>
  <c r="A39" i="49"/>
  <c r="A40" i="49" s="1"/>
  <c r="A41" i="49" s="1"/>
  <c r="B39" i="49"/>
  <c r="D39" i="49" s="1"/>
  <c r="F39" i="49" s="1"/>
  <c r="H39" i="27" s="1"/>
  <c r="B40" i="49"/>
  <c r="D40" i="49"/>
  <c r="F40" i="49" s="1"/>
  <c r="H40" i="27" s="1"/>
  <c r="B41" i="49"/>
  <c r="D41" i="49"/>
  <c r="E39" i="27"/>
  <c r="E40" i="27" s="1"/>
  <c r="E41" i="27" s="1"/>
  <c r="G39" i="27"/>
  <c r="G40" i="27"/>
  <c r="G41" i="27"/>
  <c r="B47" i="41"/>
  <c r="C289" i="51" l="1"/>
  <c r="C291" i="51" s="1"/>
  <c r="B289" i="51"/>
  <c r="C237" i="51"/>
  <c r="D237" i="51"/>
  <c r="E237" i="51"/>
  <c r="F237" i="51"/>
  <c r="G237" i="51"/>
  <c r="H237" i="51"/>
  <c r="I237" i="51"/>
  <c r="B237" i="51"/>
  <c r="D289" i="51" l="1"/>
  <c r="B230" i="51" l="1"/>
  <c r="B231" i="51" s="1"/>
  <c r="F230" i="51"/>
  <c r="F231" i="51" s="1"/>
  <c r="F227" i="51"/>
  <c r="F226" i="51" s="1"/>
  <c r="J230" i="51"/>
  <c r="J231" i="51" s="1"/>
  <c r="G230" i="51"/>
  <c r="G231" i="51" s="1"/>
  <c r="J227" i="51"/>
  <c r="J226" i="51" s="1"/>
  <c r="G227" i="51"/>
  <c r="G226" i="51" s="1"/>
  <c r="D230" i="51" l="1"/>
  <c r="D231" i="51" s="1"/>
  <c r="D227" i="51"/>
  <c r="D226" i="51" s="1"/>
  <c r="D291" i="51"/>
  <c r="D290" i="51"/>
  <c r="E282" i="51"/>
  <c r="E284" i="51" s="1"/>
  <c r="B269" i="51"/>
  <c r="B270" i="51" s="1"/>
  <c r="B262" i="51"/>
  <c r="B263" i="51" s="1"/>
  <c r="B258" i="51"/>
  <c r="B259" i="51" s="1"/>
  <c r="I238" i="51"/>
  <c r="I239" i="51" s="1"/>
  <c r="H238" i="51"/>
  <c r="H239" i="51" s="1"/>
  <c r="G238" i="51"/>
  <c r="G239" i="51" s="1"/>
  <c r="F238" i="51"/>
  <c r="F239" i="51" s="1"/>
  <c r="E238" i="51"/>
  <c r="E239" i="51" s="1"/>
  <c r="D238" i="51"/>
  <c r="D239" i="51" s="1"/>
  <c r="C238" i="51"/>
  <c r="C239" i="51" s="1"/>
  <c r="B238" i="51"/>
  <c r="B239" i="51" s="1"/>
  <c r="C230" i="51"/>
  <c r="C231" i="51" s="1"/>
  <c r="K226" i="51" s="1"/>
  <c r="E211" i="51" s="1"/>
  <c r="O74" i="21" s="1"/>
  <c r="C227" i="51"/>
  <c r="C226" i="51" s="1"/>
  <c r="B227" i="51"/>
  <c r="B226" i="51" s="1"/>
  <c r="J222" i="51"/>
  <c r="J223" i="51" s="1"/>
  <c r="I222" i="51"/>
  <c r="I223" i="51" s="1"/>
  <c r="H222" i="51"/>
  <c r="H223" i="51" s="1"/>
  <c r="G222" i="51"/>
  <c r="G223" i="51" s="1"/>
  <c r="F222" i="51"/>
  <c r="F223" i="51" s="1"/>
  <c r="E222" i="51"/>
  <c r="E223" i="51" s="1"/>
  <c r="D222" i="51"/>
  <c r="D223" i="51" s="1"/>
  <c r="C222" i="51"/>
  <c r="C223" i="51" s="1"/>
  <c r="B222" i="51"/>
  <c r="B223" i="51" s="1"/>
  <c r="J219" i="51"/>
  <c r="C131" i="51" s="1"/>
  <c r="I219" i="51"/>
  <c r="H219" i="51"/>
  <c r="G219" i="51"/>
  <c r="G218" i="51" s="1"/>
  <c r="F219" i="51"/>
  <c r="F218" i="51" s="1"/>
  <c r="E219" i="51"/>
  <c r="E218" i="51" s="1"/>
  <c r="D219" i="51"/>
  <c r="D218" i="51" s="1"/>
  <c r="C219" i="51"/>
  <c r="C218" i="51" s="1"/>
  <c r="B219" i="51"/>
  <c r="B218" i="51" s="1"/>
  <c r="A176" i="51"/>
  <c r="A177" i="51" s="1"/>
  <c r="A178" i="51" s="1"/>
  <c r="A179" i="51" s="1"/>
  <c r="A180" i="51" s="1"/>
  <c r="A181" i="51" s="1"/>
  <c r="A182" i="51" s="1"/>
  <c r="A183" i="51" s="1"/>
  <c r="A184" i="51" s="1"/>
  <c r="A185" i="51" s="1"/>
  <c r="A186" i="51" s="1"/>
  <c r="A187" i="51" s="1"/>
  <c r="A188" i="51" s="1"/>
  <c r="A189" i="51" s="1"/>
  <c r="A190" i="51" s="1"/>
  <c r="A191" i="51" s="1"/>
  <c r="A192" i="51" s="1"/>
  <c r="A193" i="51" s="1"/>
  <c r="A194" i="51" s="1"/>
  <c r="A195" i="51" s="1"/>
  <c r="A196" i="51" s="1"/>
  <c r="A197" i="51" s="1"/>
  <c r="A198" i="51" s="1"/>
  <c r="A199" i="51" s="1"/>
  <c r="A200" i="51" s="1"/>
  <c r="A201" i="51" s="1"/>
  <c r="A202" i="51" s="1"/>
  <c r="A203" i="51" s="1"/>
  <c r="A204" i="51" s="1"/>
  <c r="A205" i="51" s="1"/>
  <c r="A206" i="51" s="1"/>
  <c r="A207" i="51" s="1"/>
  <c r="A208" i="51" s="1"/>
  <c r="A209" i="51" s="1"/>
  <c r="A210" i="51" s="1"/>
  <c r="A211" i="51" s="1"/>
  <c r="A212" i="51" s="1"/>
  <c r="E164" i="51"/>
  <c r="D164" i="51"/>
  <c r="E163" i="51"/>
  <c r="D163" i="51"/>
  <c r="E162" i="51"/>
  <c r="D162" i="51"/>
  <c r="E161" i="51"/>
  <c r="D161" i="51"/>
  <c r="E160" i="51"/>
  <c r="D160" i="51"/>
  <c r="E159" i="51"/>
  <c r="D159" i="51"/>
  <c r="E158" i="51"/>
  <c r="D158" i="51"/>
  <c r="E157" i="51"/>
  <c r="D157" i="51"/>
  <c r="E156" i="51"/>
  <c r="D156" i="51"/>
  <c r="E155" i="51"/>
  <c r="D155" i="51"/>
  <c r="E154" i="51"/>
  <c r="D154" i="51"/>
  <c r="E153" i="51"/>
  <c r="D153" i="51"/>
  <c r="E152" i="51"/>
  <c r="D152" i="51"/>
  <c r="E151" i="51"/>
  <c r="D151" i="51"/>
  <c r="E150" i="51"/>
  <c r="D150" i="51"/>
  <c r="E149" i="51"/>
  <c r="D149" i="51"/>
  <c r="E148" i="51"/>
  <c r="D148" i="51"/>
  <c r="E147" i="51"/>
  <c r="D147" i="51"/>
  <c r="E146" i="51"/>
  <c r="D146" i="51"/>
  <c r="E145" i="51"/>
  <c r="D145" i="51"/>
  <c r="E144" i="51"/>
  <c r="D144" i="51"/>
  <c r="E143" i="51"/>
  <c r="D143" i="51"/>
  <c r="E142" i="51"/>
  <c r="D142" i="51"/>
  <c r="E141" i="51"/>
  <c r="D141" i="51"/>
  <c r="E140" i="51"/>
  <c r="D140" i="51"/>
  <c r="E139" i="51"/>
  <c r="D139" i="51"/>
  <c r="E138" i="51"/>
  <c r="D138" i="51"/>
  <c r="E137" i="51"/>
  <c r="D137" i="51"/>
  <c r="E136" i="51"/>
  <c r="D136" i="51"/>
  <c r="E135" i="51"/>
  <c r="D135" i="51"/>
  <c r="E134" i="51"/>
  <c r="D134" i="51"/>
  <c r="E133" i="51"/>
  <c r="D133" i="51"/>
  <c r="E132" i="51"/>
  <c r="D132" i="51"/>
  <c r="A132" i="51"/>
  <c r="A133" i="51" s="1"/>
  <c r="A134" i="51" s="1"/>
  <c r="A135" i="51" s="1"/>
  <c r="A136" i="51" s="1"/>
  <c r="A137" i="51" s="1"/>
  <c r="A138" i="51" s="1"/>
  <c r="A139" i="51" s="1"/>
  <c r="A140" i="51" s="1"/>
  <c r="A141" i="51" s="1"/>
  <c r="A142" i="51" s="1"/>
  <c r="A143" i="51" s="1"/>
  <c r="A144" i="51" s="1"/>
  <c r="A145" i="51" s="1"/>
  <c r="A146" i="51" s="1"/>
  <c r="A147" i="51" s="1"/>
  <c r="A148" i="51" s="1"/>
  <c r="A149" i="51" s="1"/>
  <c r="A150" i="51" s="1"/>
  <c r="A151" i="51" s="1"/>
  <c r="A152" i="51" s="1"/>
  <c r="A153" i="51" s="1"/>
  <c r="A154" i="51" s="1"/>
  <c r="A155" i="51" s="1"/>
  <c r="A156" i="51" s="1"/>
  <c r="A157" i="51" s="1"/>
  <c r="A158" i="51" s="1"/>
  <c r="A159" i="51" s="1"/>
  <c r="A160" i="51" s="1"/>
  <c r="A161" i="51" s="1"/>
  <c r="A162" i="51" s="1"/>
  <c r="A163" i="51" s="1"/>
  <c r="A164" i="51" s="1"/>
  <c r="A165" i="51" s="1"/>
  <c r="A166" i="51" s="1"/>
  <c r="A167" i="51" s="1"/>
  <c r="A168" i="51" s="1"/>
  <c r="E131" i="51"/>
  <c r="D131" i="51"/>
  <c r="C132" i="51"/>
  <c r="C133" i="51" s="1"/>
  <c r="C134" i="51" s="1"/>
  <c r="C135" i="51" s="1"/>
  <c r="C136" i="51" s="1"/>
  <c r="C137" i="51" s="1"/>
  <c r="C138" i="51" s="1"/>
  <c r="C139" i="51" s="1"/>
  <c r="C140" i="51" s="1"/>
  <c r="C141" i="51" s="1"/>
  <c r="C142" i="51" s="1"/>
  <c r="C143" i="51" s="1"/>
  <c r="C144" i="51" s="1"/>
  <c r="C145" i="51" s="1"/>
  <c r="C146" i="51" s="1"/>
  <c r="C147" i="51" s="1"/>
  <c r="C148" i="51" s="1"/>
  <c r="C149" i="51" s="1"/>
  <c r="C150" i="51" s="1"/>
  <c r="C151" i="51" s="1"/>
  <c r="C152" i="51" s="1"/>
  <c r="C153" i="51" s="1"/>
  <c r="C154" i="51" s="1"/>
  <c r="C155" i="51" s="1"/>
  <c r="C156" i="51" s="1"/>
  <c r="C157" i="51" s="1"/>
  <c r="C158" i="51" s="1"/>
  <c r="C159" i="51" s="1"/>
  <c r="Q118" i="51"/>
  <c r="P118" i="51"/>
  <c r="E118" i="51"/>
  <c r="D118" i="51"/>
  <c r="Q117" i="51"/>
  <c r="P117" i="51"/>
  <c r="E117" i="51"/>
  <c r="D117" i="51"/>
  <c r="Q116" i="51"/>
  <c r="P116" i="51"/>
  <c r="E116" i="51"/>
  <c r="D116" i="51"/>
  <c r="Q115" i="51"/>
  <c r="P115" i="51"/>
  <c r="E115" i="51"/>
  <c r="D115" i="51"/>
  <c r="Q114" i="51"/>
  <c r="P114" i="51"/>
  <c r="E114" i="51"/>
  <c r="D114" i="51"/>
  <c r="Q113" i="51"/>
  <c r="P113" i="51"/>
  <c r="E113" i="51"/>
  <c r="D113" i="51"/>
  <c r="Q112" i="51"/>
  <c r="P112" i="51"/>
  <c r="E112" i="51"/>
  <c r="D112" i="51"/>
  <c r="Q111" i="51"/>
  <c r="P111" i="51"/>
  <c r="E111" i="51"/>
  <c r="D111" i="51"/>
  <c r="Q110" i="51"/>
  <c r="P110" i="51"/>
  <c r="E110" i="51"/>
  <c r="D110" i="51"/>
  <c r="Q109" i="51"/>
  <c r="P109" i="51"/>
  <c r="E109" i="51"/>
  <c r="D109" i="51"/>
  <c r="Q108" i="51"/>
  <c r="P108" i="51"/>
  <c r="E108" i="51"/>
  <c r="D108" i="51"/>
  <c r="Q107" i="51"/>
  <c r="P107" i="51"/>
  <c r="E107" i="51"/>
  <c r="D107" i="51"/>
  <c r="Q106" i="51"/>
  <c r="P106" i="51"/>
  <c r="E106" i="51"/>
  <c r="D106" i="51"/>
  <c r="Q105" i="51"/>
  <c r="P105" i="51"/>
  <c r="E105" i="51"/>
  <c r="D105" i="51"/>
  <c r="Q104" i="51"/>
  <c r="P104" i="51"/>
  <c r="E104" i="51"/>
  <c r="D104" i="51"/>
  <c r="Q103" i="51"/>
  <c r="P103" i="51"/>
  <c r="E103" i="51"/>
  <c r="D103" i="51"/>
  <c r="Q102" i="51"/>
  <c r="P102" i="51"/>
  <c r="E102" i="51"/>
  <c r="D102" i="51"/>
  <c r="Q101" i="51"/>
  <c r="P101" i="51"/>
  <c r="E101" i="51"/>
  <c r="D101" i="51"/>
  <c r="Q100" i="51"/>
  <c r="P100" i="51"/>
  <c r="E100" i="51"/>
  <c r="D100" i="51"/>
  <c r="Q99" i="51"/>
  <c r="P99" i="51"/>
  <c r="E99" i="51"/>
  <c r="D99" i="51"/>
  <c r="Q98" i="51"/>
  <c r="P98" i="51"/>
  <c r="E98" i="51"/>
  <c r="D98" i="51"/>
  <c r="Q97" i="51"/>
  <c r="P97" i="51"/>
  <c r="E97" i="51"/>
  <c r="D97" i="51"/>
  <c r="Q96" i="51"/>
  <c r="P96" i="51"/>
  <c r="E96" i="51"/>
  <c r="D96" i="51"/>
  <c r="Q95" i="51"/>
  <c r="P95" i="51"/>
  <c r="E95" i="51"/>
  <c r="D95" i="51"/>
  <c r="Q94" i="51"/>
  <c r="P94" i="51"/>
  <c r="E94" i="51"/>
  <c r="D94" i="51"/>
  <c r="Q93" i="51"/>
  <c r="P93" i="51"/>
  <c r="E93" i="51"/>
  <c r="D93" i="51"/>
  <c r="Q92" i="51"/>
  <c r="P92" i="51"/>
  <c r="E92" i="51"/>
  <c r="D92" i="51"/>
  <c r="Q91" i="51"/>
  <c r="P91" i="51"/>
  <c r="E91" i="51"/>
  <c r="D91" i="51"/>
  <c r="Q90" i="51"/>
  <c r="P90" i="51"/>
  <c r="E90" i="51"/>
  <c r="D90" i="51"/>
  <c r="Q89" i="51"/>
  <c r="P89" i="51"/>
  <c r="E89" i="51"/>
  <c r="D89" i="51"/>
  <c r="Q88" i="51"/>
  <c r="P88" i="51"/>
  <c r="E88" i="51"/>
  <c r="D88" i="51"/>
  <c r="Q87" i="51"/>
  <c r="P87" i="51"/>
  <c r="E87" i="51"/>
  <c r="D87" i="51"/>
  <c r="Q86" i="51"/>
  <c r="P86" i="51"/>
  <c r="E86" i="51"/>
  <c r="D86" i="51"/>
  <c r="Q85" i="51"/>
  <c r="P85" i="51"/>
  <c r="E85" i="51"/>
  <c r="D85" i="51"/>
  <c r="A85" i="5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A114" i="51" s="1"/>
  <c r="A115" i="51" s="1"/>
  <c r="A116" i="51" s="1"/>
  <c r="A117" i="51" s="1"/>
  <c r="A118" i="51" s="1"/>
  <c r="A119" i="51" s="1"/>
  <c r="A120" i="51" s="1"/>
  <c r="A121" i="51" s="1"/>
  <c r="Q84" i="51"/>
  <c r="P84" i="51"/>
  <c r="E84" i="51"/>
  <c r="D84" i="51"/>
  <c r="A48" i="5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12" i="5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J218" i="51" l="1"/>
  <c r="B131" i="51" s="1"/>
  <c r="B132" i="51" s="1"/>
  <c r="B133" i="51" s="1"/>
  <c r="B134" i="51" s="1"/>
  <c r="B135" i="51" s="1"/>
  <c r="B136" i="51" s="1"/>
  <c r="B137" i="51" s="1"/>
  <c r="B138" i="51" s="1"/>
  <c r="B139" i="51" s="1"/>
  <c r="B140" i="51" s="1"/>
  <c r="B141" i="51" s="1"/>
  <c r="B142" i="51" s="1"/>
  <c r="B143" i="51" s="1"/>
  <c r="B144" i="51" s="1"/>
  <c r="B145" i="51" s="1"/>
  <c r="B146" i="51" s="1"/>
  <c r="B147" i="51" s="1"/>
  <c r="B148" i="51" s="1"/>
  <c r="B149" i="51" s="1"/>
  <c r="B150" i="51" s="1"/>
  <c r="B151" i="51" s="1"/>
  <c r="B152" i="51" s="1"/>
  <c r="B153" i="51" s="1"/>
  <c r="B154" i="51" s="1"/>
  <c r="B155" i="51" s="1"/>
  <c r="B156" i="51" s="1"/>
  <c r="B157" i="51" s="1"/>
  <c r="B158" i="51" s="1"/>
  <c r="F120" i="51"/>
  <c r="R119" i="51"/>
  <c r="G121" i="51"/>
  <c r="F119" i="51"/>
  <c r="S119" i="51"/>
  <c r="S121" i="51"/>
  <c r="G120" i="51"/>
  <c r="F121" i="51"/>
  <c r="R121" i="51"/>
  <c r="G119" i="51"/>
  <c r="R120" i="51"/>
  <c r="S120" i="51"/>
  <c r="S118" i="51"/>
  <c r="S117" i="51"/>
  <c r="S116" i="51"/>
  <c r="S115" i="51"/>
  <c r="S114" i="51"/>
  <c r="S113" i="51"/>
  <c r="S112" i="51"/>
  <c r="S111" i="51"/>
  <c r="S110" i="51"/>
  <c r="S109" i="51"/>
  <c r="S108" i="51"/>
  <c r="S107" i="51"/>
  <c r="S106" i="51"/>
  <c r="S105" i="51"/>
  <c r="S104" i="51"/>
  <c r="S103" i="51"/>
  <c r="S102" i="51"/>
  <c r="S101" i="51"/>
  <c r="S100" i="51"/>
  <c r="S99" i="51"/>
  <c r="S98" i="51"/>
  <c r="S97" i="51"/>
  <c r="S96" i="51"/>
  <c r="S95" i="51"/>
  <c r="S94" i="51"/>
  <c r="S93" i="51"/>
  <c r="S92" i="51"/>
  <c r="S91" i="51"/>
  <c r="S90" i="51"/>
  <c r="S89" i="51"/>
  <c r="S88" i="51"/>
  <c r="S87" i="51"/>
  <c r="S86" i="51"/>
  <c r="S85" i="51"/>
  <c r="R118" i="51"/>
  <c r="R117" i="51"/>
  <c r="R116" i="51"/>
  <c r="R115" i="51"/>
  <c r="R114" i="51"/>
  <c r="R113" i="51"/>
  <c r="R112" i="51"/>
  <c r="R111" i="51"/>
  <c r="R110" i="51"/>
  <c r="R109" i="51"/>
  <c r="R108" i="51"/>
  <c r="R107" i="51"/>
  <c r="R106" i="51"/>
  <c r="R105" i="51"/>
  <c r="R104" i="51"/>
  <c r="R103" i="51"/>
  <c r="R102" i="51"/>
  <c r="R101" i="51"/>
  <c r="R100" i="51"/>
  <c r="R99" i="51"/>
  <c r="R98" i="51"/>
  <c r="R97" i="51"/>
  <c r="R96" i="51"/>
  <c r="R95" i="51"/>
  <c r="R94" i="51"/>
  <c r="R93" i="51"/>
  <c r="R92" i="51"/>
  <c r="R91" i="51"/>
  <c r="R90" i="51"/>
  <c r="R89" i="51"/>
  <c r="R88" i="51"/>
  <c r="R87" i="51"/>
  <c r="R86" i="51"/>
  <c r="R85" i="51"/>
  <c r="S84" i="51"/>
  <c r="U84" i="51" s="1"/>
  <c r="W84" i="51" s="1"/>
  <c r="R84" i="51"/>
  <c r="T84" i="51" s="1"/>
  <c r="V84" i="51" s="1"/>
  <c r="X84" i="51" s="1"/>
  <c r="AB84" i="51" s="1"/>
  <c r="G118" i="51"/>
  <c r="G117" i="51"/>
  <c r="G116" i="51"/>
  <c r="G115" i="51"/>
  <c r="G114" i="51"/>
  <c r="G113" i="51"/>
  <c r="G112" i="51"/>
  <c r="G111" i="51"/>
  <c r="G110" i="51"/>
  <c r="G109" i="51"/>
  <c r="G108" i="51"/>
  <c r="G107" i="51"/>
  <c r="G106" i="51"/>
  <c r="G105" i="51"/>
  <c r="G104" i="51"/>
  <c r="G103" i="51"/>
  <c r="G102" i="51"/>
  <c r="G101" i="51"/>
  <c r="G100" i="51"/>
  <c r="G99" i="51"/>
  <c r="G98" i="51"/>
  <c r="G97" i="51"/>
  <c r="G96" i="51"/>
  <c r="G95" i="51"/>
  <c r="G94" i="51"/>
  <c r="G93" i="51"/>
  <c r="G92" i="51"/>
  <c r="G91" i="51"/>
  <c r="G90" i="51"/>
  <c r="G89" i="51"/>
  <c r="G88" i="51"/>
  <c r="G87" i="51"/>
  <c r="G86" i="51"/>
  <c r="G85" i="51"/>
  <c r="F84" i="51"/>
  <c r="F118" i="51"/>
  <c r="F117" i="51"/>
  <c r="F116" i="51"/>
  <c r="F115" i="51"/>
  <c r="F114" i="51"/>
  <c r="F113" i="51"/>
  <c r="F112" i="51"/>
  <c r="F111" i="51"/>
  <c r="F110" i="51"/>
  <c r="F109" i="51"/>
  <c r="F108" i="51"/>
  <c r="F107" i="51"/>
  <c r="F106" i="51"/>
  <c r="F105" i="51"/>
  <c r="F104" i="51"/>
  <c r="F103" i="51"/>
  <c r="F102" i="51"/>
  <c r="F101" i="51"/>
  <c r="F100" i="51"/>
  <c r="F99" i="51"/>
  <c r="F98" i="51"/>
  <c r="F97" i="51"/>
  <c r="F96" i="51"/>
  <c r="F95" i="51"/>
  <c r="F94" i="51"/>
  <c r="F93" i="51"/>
  <c r="F92" i="51"/>
  <c r="F91" i="51"/>
  <c r="F90" i="51"/>
  <c r="F89" i="51"/>
  <c r="F88" i="51"/>
  <c r="F87" i="51"/>
  <c r="F86" i="51"/>
  <c r="F85" i="51"/>
  <c r="G84" i="51"/>
  <c r="I218" i="51"/>
  <c r="N84" i="51" s="1"/>
  <c r="N85" i="51" s="1"/>
  <c r="O84" i="51"/>
  <c r="O85" i="51" s="1"/>
  <c r="O86" i="51" s="1"/>
  <c r="U86" i="51" s="1"/>
  <c r="W86" i="51" s="1"/>
  <c r="Y86" i="51" s="1"/>
  <c r="AC86" i="51" s="1"/>
  <c r="H218" i="51"/>
  <c r="B84" i="51" s="1"/>
  <c r="B85" i="51" s="1"/>
  <c r="B86" i="51" s="1"/>
  <c r="B87" i="51" s="1"/>
  <c r="H87" i="51" s="1"/>
  <c r="J87" i="51" s="1"/>
  <c r="L87" i="51" s="1"/>
  <c r="Z87" i="51" s="1"/>
  <c r="C84" i="51"/>
  <c r="C85" i="51" s="1"/>
  <c r="C86" i="51" s="1"/>
  <c r="C87" i="51" s="1"/>
  <c r="E202" i="51"/>
  <c r="E210" i="51"/>
  <c r="O73" i="21" s="1"/>
  <c r="Q211" i="51"/>
  <c r="E205" i="51"/>
  <c r="O68" i="21" s="1"/>
  <c r="E208" i="51"/>
  <c r="O71" i="21" s="1"/>
  <c r="E203" i="51"/>
  <c r="E197" i="51"/>
  <c r="E196" i="51" s="1"/>
  <c r="E204" i="51"/>
  <c r="O67" i="21" s="1"/>
  <c r="O75" i="21"/>
  <c r="E201" i="51"/>
  <c r="E209" i="51"/>
  <c r="O72" i="21" s="1"/>
  <c r="E198" i="51"/>
  <c r="E206" i="51"/>
  <c r="O69" i="21" s="1"/>
  <c r="E199" i="51"/>
  <c r="E207" i="51"/>
  <c r="O70" i="21" s="1"/>
  <c r="E200" i="51"/>
  <c r="K234" i="51"/>
  <c r="F211" i="51" s="1"/>
  <c r="C160" i="51"/>
  <c r="C161" i="51" s="1"/>
  <c r="C162" i="51" s="1"/>
  <c r="C163" i="51" s="1"/>
  <c r="C164" i="51" s="1"/>
  <c r="C165" i="51" s="1"/>
  <c r="C166" i="51" s="1"/>
  <c r="C167" i="51" s="1"/>
  <c r="C168" i="51" s="1"/>
  <c r="B159" i="51"/>
  <c r="B160" i="51" s="1"/>
  <c r="B161" i="51" s="1"/>
  <c r="B162" i="51" s="1"/>
  <c r="B163" i="51" s="1"/>
  <c r="B164" i="51" s="1"/>
  <c r="B165" i="51" s="1"/>
  <c r="B166" i="51" s="1"/>
  <c r="B167" i="51" s="1"/>
  <c r="B168" i="51" s="1"/>
  <c r="A34" i="51"/>
  <c r="A35" i="51" s="1"/>
  <c r="A36" i="51" s="1"/>
  <c r="A37" i="51" s="1"/>
  <c r="A38" i="51" s="1"/>
  <c r="A39" i="51" s="1"/>
  <c r="A40" i="51" s="1"/>
  <c r="C235" i="51"/>
  <c r="C234" i="51" s="1"/>
  <c r="F235" i="51"/>
  <c r="F234" i="51" s="1"/>
  <c r="D235" i="51"/>
  <c r="D234" i="51" s="1"/>
  <c r="G235" i="51"/>
  <c r="G234" i="51" s="1"/>
  <c r="E235" i="51"/>
  <c r="E234" i="51" s="1"/>
  <c r="H235" i="51"/>
  <c r="H234" i="51" s="1"/>
  <c r="I235" i="51"/>
  <c r="I234" i="51" s="1"/>
  <c r="B235" i="51"/>
  <c r="B234" i="51" s="1"/>
  <c r="O87" i="51"/>
  <c r="I85" i="51"/>
  <c r="K85" i="51" s="1"/>
  <c r="M85" i="51" s="1"/>
  <c r="AA85" i="51" s="1"/>
  <c r="K218" i="51"/>
  <c r="B175" i="51" s="1"/>
  <c r="B135" i="21" s="1"/>
  <c r="B264" i="51"/>
  <c r="B266" i="51" s="1"/>
  <c r="B271" i="51"/>
  <c r="B273" i="51" s="1"/>
  <c r="H84" i="51" l="1"/>
  <c r="J84" i="51" s="1"/>
  <c r="L84" i="51" s="1"/>
  <c r="Z84" i="51" s="1"/>
  <c r="Y84" i="51"/>
  <c r="AC84" i="51" s="1"/>
  <c r="U85" i="51"/>
  <c r="W85" i="51" s="1"/>
  <c r="Y85" i="51" s="1"/>
  <c r="AC85" i="51" s="1"/>
  <c r="I87" i="51"/>
  <c r="K87" i="51" s="1"/>
  <c r="M87" i="51" s="1"/>
  <c r="AA87" i="51" s="1"/>
  <c r="I84" i="51"/>
  <c r="K84" i="51" s="1"/>
  <c r="M84" i="51" s="1"/>
  <c r="AA84" i="51" s="1"/>
  <c r="C88" i="51"/>
  <c r="I88" i="51" s="1"/>
  <c r="K88" i="51" s="1"/>
  <c r="I86" i="51"/>
  <c r="K86" i="51" s="1"/>
  <c r="M86" i="51" s="1"/>
  <c r="AA86" i="51" s="1"/>
  <c r="J211" i="51"/>
  <c r="P74" i="21"/>
  <c r="G211" i="51"/>
  <c r="H211" i="51" s="1"/>
  <c r="J212" i="51"/>
  <c r="Q212" i="51"/>
  <c r="I165" i="51"/>
  <c r="K165" i="51" s="1"/>
  <c r="M165" i="51" s="1"/>
  <c r="O165" i="51" s="1"/>
  <c r="Q165" i="51" s="1"/>
  <c r="I37" i="51" s="1"/>
  <c r="I168" i="51"/>
  <c r="K168" i="51" s="1"/>
  <c r="M168" i="51" s="1"/>
  <c r="O168" i="51" s="1"/>
  <c r="Q168" i="51" s="1"/>
  <c r="I40" i="51" s="1"/>
  <c r="H167" i="51"/>
  <c r="J167" i="51" s="1"/>
  <c r="L167" i="51" s="1"/>
  <c r="N167" i="51" s="1"/>
  <c r="P167" i="51" s="1"/>
  <c r="H39" i="51" s="1"/>
  <c r="I167" i="51"/>
  <c r="H166" i="51"/>
  <c r="J166" i="51" s="1"/>
  <c r="L166" i="51" s="1"/>
  <c r="N166" i="51" s="1"/>
  <c r="P166" i="51" s="1"/>
  <c r="H38" i="51" s="1"/>
  <c r="H168" i="51"/>
  <c r="I166" i="51"/>
  <c r="K166" i="51" s="1"/>
  <c r="M166" i="51" s="1"/>
  <c r="O166" i="51" s="1"/>
  <c r="Q166" i="51" s="1"/>
  <c r="I38" i="51" s="1"/>
  <c r="H165" i="51"/>
  <c r="E190" i="51"/>
  <c r="E192" i="51"/>
  <c r="E185" i="51"/>
  <c r="E193" i="51"/>
  <c r="E189" i="51"/>
  <c r="E183" i="51"/>
  <c r="E191" i="51"/>
  <c r="E184" i="51"/>
  <c r="E186" i="51"/>
  <c r="E194" i="51"/>
  <c r="E187" i="51"/>
  <c r="E195" i="51"/>
  <c r="E188" i="51"/>
  <c r="B131" i="21"/>
  <c r="B133" i="21"/>
  <c r="B134" i="21"/>
  <c r="B132" i="21"/>
  <c r="B130" i="21"/>
  <c r="P211" i="51"/>
  <c r="F200" i="51"/>
  <c r="F208" i="51"/>
  <c r="P71" i="21" s="1"/>
  <c r="F203" i="51"/>
  <c r="F197" i="51"/>
  <c r="F212" i="51"/>
  <c r="F206" i="51"/>
  <c r="P69" i="21" s="1"/>
  <c r="F201" i="51"/>
  <c r="F209" i="51"/>
  <c r="P72" i="21" s="1"/>
  <c r="F202" i="51"/>
  <c r="F210" i="51"/>
  <c r="F199" i="51"/>
  <c r="F204" i="51"/>
  <c r="P67" i="21" s="1"/>
  <c r="F205" i="51"/>
  <c r="P68" i="21" s="1"/>
  <c r="F198" i="51"/>
  <c r="F207" i="51"/>
  <c r="P70" i="21" s="1"/>
  <c r="B179" i="51"/>
  <c r="B176" i="51"/>
  <c r="B177" i="51"/>
  <c r="B178" i="51"/>
  <c r="C178" i="51" s="1"/>
  <c r="D178" i="51" s="1"/>
  <c r="B88" i="51"/>
  <c r="H88" i="51" s="1"/>
  <c r="J88" i="51" s="1"/>
  <c r="H86" i="51"/>
  <c r="J86" i="51" s="1"/>
  <c r="L86" i="51" s="1"/>
  <c r="Z86" i="51" s="1"/>
  <c r="H85" i="51"/>
  <c r="J85" i="51" s="1"/>
  <c r="L85" i="51" s="1"/>
  <c r="Z85" i="51" s="1"/>
  <c r="U87" i="51"/>
  <c r="W87" i="51" s="1"/>
  <c r="Y87" i="51" s="1"/>
  <c r="AC87" i="51" s="1"/>
  <c r="O88" i="51"/>
  <c r="I159" i="51"/>
  <c r="H158" i="51"/>
  <c r="I151" i="51"/>
  <c r="H150" i="51"/>
  <c r="I143" i="51"/>
  <c r="H142" i="51"/>
  <c r="I135" i="51"/>
  <c r="H134" i="51"/>
  <c r="I160" i="51"/>
  <c r="H159" i="51"/>
  <c r="I152" i="51"/>
  <c r="H151" i="51"/>
  <c r="I144" i="51"/>
  <c r="H143" i="51"/>
  <c r="I136" i="51"/>
  <c r="H135" i="51"/>
  <c r="I161" i="51"/>
  <c r="H160" i="51"/>
  <c r="I153" i="51"/>
  <c r="H152" i="51"/>
  <c r="I145" i="51"/>
  <c r="H144" i="51"/>
  <c r="I137" i="51"/>
  <c r="H136" i="51"/>
  <c r="I162" i="51"/>
  <c r="H161" i="51"/>
  <c r="I154" i="51"/>
  <c r="H153" i="51"/>
  <c r="I146" i="51"/>
  <c r="H145" i="51"/>
  <c r="I138" i="51"/>
  <c r="H137" i="51"/>
  <c r="I163" i="51"/>
  <c r="H162" i="51"/>
  <c r="I155" i="51"/>
  <c r="H154" i="51"/>
  <c r="I147" i="51"/>
  <c r="H146" i="51"/>
  <c r="I139" i="51"/>
  <c r="H138" i="51"/>
  <c r="I164" i="51"/>
  <c r="H163" i="51"/>
  <c r="I156" i="51"/>
  <c r="H155" i="51"/>
  <c r="I148" i="51"/>
  <c r="H147" i="51"/>
  <c r="I140" i="51"/>
  <c r="H139" i="51"/>
  <c r="I132" i="51"/>
  <c r="H164" i="51"/>
  <c r="I157" i="51"/>
  <c r="H156" i="51"/>
  <c r="I149" i="51"/>
  <c r="H148" i="51"/>
  <c r="I141" i="51"/>
  <c r="H140" i="51"/>
  <c r="I133" i="51"/>
  <c r="H132" i="51"/>
  <c r="H141" i="51"/>
  <c r="I158" i="51"/>
  <c r="I142" i="51"/>
  <c r="I131" i="51"/>
  <c r="H133" i="51"/>
  <c r="H131" i="51"/>
  <c r="H157" i="51"/>
  <c r="I134" i="51"/>
  <c r="I150" i="51"/>
  <c r="H149" i="51"/>
  <c r="N86" i="51"/>
  <c r="T85" i="51"/>
  <c r="V85" i="51" s="1"/>
  <c r="X85" i="51" s="1"/>
  <c r="AB85" i="51" s="1"/>
  <c r="B195" i="51"/>
  <c r="B58" i="21" s="1"/>
  <c r="B187" i="51"/>
  <c r="B50" i="21" s="1"/>
  <c r="B190" i="51"/>
  <c r="B53" i="21" s="1"/>
  <c r="B196" i="51"/>
  <c r="B188" i="51"/>
  <c r="B51" i="21" s="1"/>
  <c r="B191" i="51"/>
  <c r="B54" i="21" s="1"/>
  <c r="B194" i="51"/>
  <c r="B57" i="21" s="1"/>
  <c r="B186" i="51"/>
  <c r="B49" i="21" s="1"/>
  <c r="B189" i="51"/>
  <c r="B52" i="21" s="1"/>
  <c r="B180" i="51"/>
  <c r="B192" i="51"/>
  <c r="B55" i="21" s="1"/>
  <c r="B184" i="51"/>
  <c r="B47" i="21" s="1"/>
  <c r="B183" i="51"/>
  <c r="B46" i="21" s="1"/>
  <c r="B182" i="51"/>
  <c r="B181" i="51"/>
  <c r="B185" i="51"/>
  <c r="B48" i="21" s="1"/>
  <c r="C175" i="51"/>
  <c r="D175" i="51" s="1"/>
  <c r="B193" i="51"/>
  <c r="B56" i="21" s="1"/>
  <c r="F75" i="51" l="1"/>
  <c r="L39" i="51"/>
  <c r="J210" i="51"/>
  <c r="P73" i="21"/>
  <c r="M88" i="51"/>
  <c r="AA88" i="51" s="1"/>
  <c r="G75" i="51"/>
  <c r="M39" i="51"/>
  <c r="C89" i="51"/>
  <c r="I89" i="51" s="1"/>
  <c r="K89" i="51" s="1"/>
  <c r="M89" i="51" s="1"/>
  <c r="AA89" i="51" s="1"/>
  <c r="P212" i="51"/>
  <c r="P75" i="21"/>
  <c r="B212" i="51"/>
  <c r="B75" i="21" s="1"/>
  <c r="B211" i="51"/>
  <c r="B74" i="21" s="1"/>
  <c r="J165" i="51"/>
  <c r="L165" i="51" s="1"/>
  <c r="N165" i="51" s="1"/>
  <c r="P165" i="51" s="1"/>
  <c r="H37" i="51" s="1"/>
  <c r="G210" i="51"/>
  <c r="J168" i="51"/>
  <c r="L168" i="51" s="1"/>
  <c r="N168" i="51" s="1"/>
  <c r="P168" i="51" s="1"/>
  <c r="H40" i="51" s="1"/>
  <c r="F184" i="51"/>
  <c r="F192" i="51"/>
  <c r="F187" i="51"/>
  <c r="F190" i="51"/>
  <c r="F185" i="51"/>
  <c r="F193" i="51"/>
  <c r="F186" i="51"/>
  <c r="F194" i="51"/>
  <c r="F195" i="51"/>
  <c r="F191" i="51"/>
  <c r="F188" i="51"/>
  <c r="F189" i="51"/>
  <c r="F183" i="51"/>
  <c r="F196" i="51"/>
  <c r="T211" i="51"/>
  <c r="K167" i="51"/>
  <c r="M167" i="51" s="1"/>
  <c r="O167" i="51" s="1"/>
  <c r="Q167" i="51" s="1"/>
  <c r="I39" i="51" s="1"/>
  <c r="G212" i="51"/>
  <c r="M211" i="51"/>
  <c r="B59" i="21"/>
  <c r="J163" i="51"/>
  <c r="L163" i="51" s="1"/>
  <c r="N163" i="51" s="1"/>
  <c r="P163" i="51" s="1"/>
  <c r="H35" i="51" s="1"/>
  <c r="J162" i="51"/>
  <c r="L162" i="51" s="1"/>
  <c r="N162" i="51" s="1"/>
  <c r="P162" i="51" s="1"/>
  <c r="H34" i="51" s="1"/>
  <c r="J161" i="51"/>
  <c r="L161" i="51" s="1"/>
  <c r="N161" i="51" s="1"/>
  <c r="P161" i="51" s="1"/>
  <c r="H33" i="51" s="1"/>
  <c r="J160" i="51"/>
  <c r="L160" i="51" s="1"/>
  <c r="N160" i="51" s="1"/>
  <c r="P160" i="51" s="1"/>
  <c r="H32" i="51" s="1"/>
  <c r="K163" i="51"/>
  <c r="M163" i="51" s="1"/>
  <c r="O163" i="51" s="1"/>
  <c r="Q163" i="51" s="1"/>
  <c r="I35" i="51" s="1"/>
  <c r="K162" i="51"/>
  <c r="M162" i="51" s="1"/>
  <c r="O162" i="51" s="1"/>
  <c r="Q162" i="51" s="1"/>
  <c r="I34" i="51" s="1"/>
  <c r="K161" i="51"/>
  <c r="M161" i="51" s="1"/>
  <c r="O161" i="51" s="1"/>
  <c r="Q161" i="51" s="1"/>
  <c r="I33" i="51" s="1"/>
  <c r="K160" i="51"/>
  <c r="M160" i="51" s="1"/>
  <c r="O160" i="51" s="1"/>
  <c r="Q160" i="51" s="1"/>
  <c r="I32" i="51" s="1"/>
  <c r="B89" i="51"/>
  <c r="B90" i="51" s="1"/>
  <c r="C177" i="51"/>
  <c r="D177" i="51" s="1"/>
  <c r="C176" i="51"/>
  <c r="D176" i="51" s="1"/>
  <c r="C179" i="51"/>
  <c r="D179" i="51" s="1"/>
  <c r="L88" i="51"/>
  <c r="Z88" i="51" s="1"/>
  <c r="C190" i="51"/>
  <c r="C18" i="51" s="1"/>
  <c r="C54" i="51" s="1"/>
  <c r="O190" i="51"/>
  <c r="I190" i="51"/>
  <c r="C181" i="51"/>
  <c r="I195" i="51"/>
  <c r="O195" i="51"/>
  <c r="C195" i="51"/>
  <c r="C23" i="51" s="1"/>
  <c r="C59" i="51" s="1"/>
  <c r="J148" i="51"/>
  <c r="L148" i="51" s="1"/>
  <c r="N148" i="51" s="1"/>
  <c r="P148" i="51" s="1"/>
  <c r="H20" i="51" s="1"/>
  <c r="K138" i="51"/>
  <c r="M138" i="51" s="1"/>
  <c r="O138" i="51" s="1"/>
  <c r="Q138" i="51" s="1"/>
  <c r="K135" i="51"/>
  <c r="M135" i="51" s="1"/>
  <c r="O135" i="51" s="1"/>
  <c r="Q135" i="51" s="1"/>
  <c r="C184" i="51"/>
  <c r="C12" i="51" s="1"/>
  <c r="C48" i="51" s="1"/>
  <c r="O184" i="51"/>
  <c r="I184" i="51"/>
  <c r="C191" i="51"/>
  <c r="C19" i="51" s="1"/>
  <c r="C55" i="51" s="1"/>
  <c r="I191" i="51"/>
  <c r="O191" i="51"/>
  <c r="J149" i="51"/>
  <c r="L149" i="51" s="1"/>
  <c r="N149" i="51" s="1"/>
  <c r="P149" i="51" s="1"/>
  <c r="H21" i="51" s="1"/>
  <c r="K142" i="51"/>
  <c r="M142" i="51" s="1"/>
  <c r="O142" i="51" s="1"/>
  <c r="Q142" i="51" s="1"/>
  <c r="I14" i="51" s="1"/>
  <c r="K149" i="51"/>
  <c r="M149" i="51" s="1"/>
  <c r="O149" i="51" s="1"/>
  <c r="Q149" i="51" s="1"/>
  <c r="I21" i="51" s="1"/>
  <c r="J147" i="51"/>
  <c r="L147" i="51" s="1"/>
  <c r="N147" i="51" s="1"/>
  <c r="P147" i="51" s="1"/>
  <c r="H19" i="51" s="1"/>
  <c r="J146" i="51"/>
  <c r="L146" i="51" s="1"/>
  <c r="N146" i="51" s="1"/>
  <c r="P146" i="51" s="1"/>
  <c r="H18" i="51" s="1"/>
  <c r="J145" i="51"/>
  <c r="L145" i="51" s="1"/>
  <c r="N145" i="51" s="1"/>
  <c r="P145" i="51" s="1"/>
  <c r="H17" i="51" s="1"/>
  <c r="J144" i="51"/>
  <c r="L144" i="51" s="1"/>
  <c r="N144" i="51" s="1"/>
  <c r="P144" i="51" s="1"/>
  <c r="H16" i="51" s="1"/>
  <c r="J143" i="51"/>
  <c r="L143" i="51" s="1"/>
  <c r="N143" i="51" s="1"/>
  <c r="P143" i="51" s="1"/>
  <c r="H15" i="51" s="1"/>
  <c r="J142" i="51"/>
  <c r="L142" i="51" s="1"/>
  <c r="N142" i="51" s="1"/>
  <c r="P142" i="51" s="1"/>
  <c r="H14" i="51" s="1"/>
  <c r="U88" i="51"/>
  <c r="W88" i="51" s="1"/>
  <c r="Y88" i="51" s="1"/>
  <c r="AC88" i="51" s="1"/>
  <c r="O89" i="51"/>
  <c r="O189" i="51"/>
  <c r="C189" i="51"/>
  <c r="C17" i="51" s="1"/>
  <c r="C53" i="51" s="1"/>
  <c r="I189" i="51"/>
  <c r="C183" i="51"/>
  <c r="C11" i="51" s="1"/>
  <c r="C47" i="51" s="1"/>
  <c r="O183" i="51"/>
  <c r="K131" i="51"/>
  <c r="M131" i="51" s="1"/>
  <c r="O131" i="51" s="1"/>
  <c r="Q131" i="51" s="1"/>
  <c r="K139" i="51"/>
  <c r="M139" i="51" s="1"/>
  <c r="O139" i="51" s="1"/>
  <c r="Q139" i="51" s="1"/>
  <c r="I11" i="51" s="1"/>
  <c r="I185" i="51"/>
  <c r="O185" i="51"/>
  <c r="C185" i="51"/>
  <c r="C13" i="51" s="1"/>
  <c r="C49" i="51" s="1"/>
  <c r="I192" i="51"/>
  <c r="C192" i="51"/>
  <c r="C20" i="51" s="1"/>
  <c r="C56" i="51" s="1"/>
  <c r="O192" i="51"/>
  <c r="I188" i="51"/>
  <c r="O188" i="51"/>
  <c r="C188" i="51"/>
  <c r="C16" i="51" s="1"/>
  <c r="C52" i="51" s="1"/>
  <c r="K150" i="51"/>
  <c r="M150" i="51" s="1"/>
  <c r="O150" i="51" s="1"/>
  <c r="Q150" i="51" s="1"/>
  <c r="I22" i="51" s="1"/>
  <c r="K158" i="51"/>
  <c r="M158" i="51" s="1"/>
  <c r="O158" i="51" s="1"/>
  <c r="Q158" i="51" s="1"/>
  <c r="I30" i="51" s="1"/>
  <c r="J156" i="51"/>
  <c r="L156" i="51" s="1"/>
  <c r="N156" i="51" s="1"/>
  <c r="P156" i="51" s="1"/>
  <c r="H28" i="51" s="1"/>
  <c r="K148" i="51"/>
  <c r="M148" i="51" s="1"/>
  <c r="O148" i="51" s="1"/>
  <c r="Q148" i="51" s="1"/>
  <c r="I20" i="51" s="1"/>
  <c r="K147" i="51"/>
  <c r="M147" i="51" s="1"/>
  <c r="O147" i="51" s="1"/>
  <c r="Q147" i="51" s="1"/>
  <c r="I19" i="51" s="1"/>
  <c r="K146" i="51"/>
  <c r="M146" i="51" s="1"/>
  <c r="O146" i="51" s="1"/>
  <c r="Q146" i="51" s="1"/>
  <c r="I18" i="51" s="1"/>
  <c r="K145" i="51"/>
  <c r="M145" i="51" s="1"/>
  <c r="O145" i="51" s="1"/>
  <c r="Q145" i="51" s="1"/>
  <c r="I17" i="51" s="1"/>
  <c r="K144" i="51"/>
  <c r="M144" i="51" s="1"/>
  <c r="O144" i="51" s="1"/>
  <c r="Q144" i="51" s="1"/>
  <c r="I16" i="51" s="1"/>
  <c r="K143" i="51"/>
  <c r="M143" i="51" s="1"/>
  <c r="O143" i="51" s="1"/>
  <c r="Q143" i="51" s="1"/>
  <c r="I15" i="51" s="1"/>
  <c r="C193" i="51"/>
  <c r="C21" i="51" s="1"/>
  <c r="C57" i="51" s="1"/>
  <c r="I193" i="51"/>
  <c r="O193" i="51"/>
  <c r="O194" i="51"/>
  <c r="C194" i="51"/>
  <c r="C22" i="51" s="1"/>
  <c r="C58" i="51" s="1"/>
  <c r="I194" i="51"/>
  <c r="K140" i="51"/>
  <c r="M140" i="51" s="1"/>
  <c r="O140" i="51" s="1"/>
  <c r="Q140" i="51" s="1"/>
  <c r="I12" i="51" s="1"/>
  <c r="K137" i="51"/>
  <c r="M137" i="51" s="1"/>
  <c r="O137" i="51" s="1"/>
  <c r="Q137" i="51" s="1"/>
  <c r="K136" i="51"/>
  <c r="M136" i="51" s="1"/>
  <c r="O136" i="51" s="1"/>
  <c r="Q136" i="51" s="1"/>
  <c r="B203" i="51"/>
  <c r="B66" i="21" s="1"/>
  <c r="B206" i="51"/>
  <c r="B69" i="21" s="1"/>
  <c r="B198" i="51"/>
  <c r="B61" i="21" s="1"/>
  <c r="B209" i="51"/>
  <c r="B72" i="21" s="1"/>
  <c r="B201" i="51"/>
  <c r="B64" i="21" s="1"/>
  <c r="B204" i="51"/>
  <c r="B67" i="21" s="1"/>
  <c r="B207" i="51"/>
  <c r="B70" i="21" s="1"/>
  <c r="B199" i="51"/>
  <c r="B62" i="21" s="1"/>
  <c r="I196" i="51"/>
  <c r="B210" i="51"/>
  <c r="B73" i="21" s="1"/>
  <c r="B202" i="51"/>
  <c r="B65" i="21" s="1"/>
  <c r="B205" i="51"/>
  <c r="B68" i="21" s="1"/>
  <c r="B197" i="51"/>
  <c r="B60" i="21" s="1"/>
  <c r="O196" i="51"/>
  <c r="B208" i="51"/>
  <c r="B71" i="21" s="1"/>
  <c r="B200" i="51"/>
  <c r="B63" i="21" s="1"/>
  <c r="C196" i="51"/>
  <c r="C24" i="51" s="1"/>
  <c r="C60" i="51" s="1"/>
  <c r="K134" i="51"/>
  <c r="M134" i="51" s="1"/>
  <c r="O134" i="51" s="1"/>
  <c r="Q134" i="51" s="1"/>
  <c r="J141" i="51"/>
  <c r="L141" i="51" s="1"/>
  <c r="N141" i="51" s="1"/>
  <c r="P141" i="51" s="1"/>
  <c r="H13" i="51" s="1"/>
  <c r="K157" i="51"/>
  <c r="M157" i="51" s="1"/>
  <c r="O157" i="51" s="1"/>
  <c r="Q157" i="51" s="1"/>
  <c r="I29" i="51" s="1"/>
  <c r="J155" i="51"/>
  <c r="L155" i="51" s="1"/>
  <c r="N155" i="51" s="1"/>
  <c r="P155" i="51" s="1"/>
  <c r="H27" i="51" s="1"/>
  <c r="J154" i="51"/>
  <c r="L154" i="51" s="1"/>
  <c r="N154" i="51" s="1"/>
  <c r="P154" i="51" s="1"/>
  <c r="H26" i="51" s="1"/>
  <c r="J153" i="51"/>
  <c r="L153" i="51" s="1"/>
  <c r="N153" i="51" s="1"/>
  <c r="P153" i="51" s="1"/>
  <c r="H25" i="51" s="1"/>
  <c r="J152" i="51"/>
  <c r="L152" i="51" s="1"/>
  <c r="N152" i="51" s="1"/>
  <c r="P152" i="51" s="1"/>
  <c r="H24" i="51" s="1"/>
  <c r="J151" i="51"/>
  <c r="L151" i="51" s="1"/>
  <c r="N151" i="51" s="1"/>
  <c r="P151" i="51" s="1"/>
  <c r="H23" i="51" s="1"/>
  <c r="J150" i="51"/>
  <c r="L150" i="51" s="1"/>
  <c r="N150" i="51" s="1"/>
  <c r="P150" i="51" s="1"/>
  <c r="H22" i="51" s="1"/>
  <c r="J157" i="51"/>
  <c r="L157" i="51" s="1"/>
  <c r="N157" i="51" s="1"/>
  <c r="P157" i="51" s="1"/>
  <c r="H29" i="51" s="1"/>
  <c r="J132" i="51"/>
  <c r="L132" i="51" s="1"/>
  <c r="N132" i="51" s="1"/>
  <c r="P132" i="51" s="1"/>
  <c r="J164" i="51"/>
  <c r="L164" i="51" s="1"/>
  <c r="N164" i="51" s="1"/>
  <c r="P164" i="51" s="1"/>
  <c r="H36" i="51" s="1"/>
  <c r="K156" i="51"/>
  <c r="M156" i="51" s="1"/>
  <c r="O156" i="51" s="1"/>
  <c r="Q156" i="51" s="1"/>
  <c r="I28" i="51" s="1"/>
  <c r="K155" i="51"/>
  <c r="M155" i="51" s="1"/>
  <c r="O155" i="51" s="1"/>
  <c r="Q155" i="51" s="1"/>
  <c r="I27" i="51" s="1"/>
  <c r="K154" i="51"/>
  <c r="M154" i="51" s="1"/>
  <c r="O154" i="51" s="1"/>
  <c r="Q154" i="51" s="1"/>
  <c r="I26" i="51" s="1"/>
  <c r="K153" i="51"/>
  <c r="M153" i="51" s="1"/>
  <c r="O153" i="51" s="1"/>
  <c r="Q153" i="51" s="1"/>
  <c r="I25" i="51" s="1"/>
  <c r="K152" i="51"/>
  <c r="M152" i="51" s="1"/>
  <c r="O152" i="51" s="1"/>
  <c r="Q152" i="51" s="1"/>
  <c r="I24" i="51" s="1"/>
  <c r="K151" i="51"/>
  <c r="M151" i="51" s="1"/>
  <c r="O151" i="51" s="1"/>
  <c r="Q151" i="51" s="1"/>
  <c r="I23" i="51" s="1"/>
  <c r="C180" i="51"/>
  <c r="D180" i="51" s="1"/>
  <c r="I187" i="51"/>
  <c r="O187" i="51"/>
  <c r="C187" i="51"/>
  <c r="C15" i="51" s="1"/>
  <c r="C51" i="51" s="1"/>
  <c r="J131" i="51"/>
  <c r="L131" i="51" s="1"/>
  <c r="N131" i="51" s="1"/>
  <c r="P131" i="51" s="1"/>
  <c r="K133" i="51"/>
  <c r="M133" i="51" s="1"/>
  <c r="O133" i="51" s="1"/>
  <c r="Q133" i="51" s="1"/>
  <c r="J159" i="51"/>
  <c r="L159" i="51" s="1"/>
  <c r="N159" i="51" s="1"/>
  <c r="P159" i="51" s="1"/>
  <c r="H31" i="51" s="1"/>
  <c r="J158" i="51"/>
  <c r="L158" i="51" s="1"/>
  <c r="N158" i="51" s="1"/>
  <c r="P158" i="51" s="1"/>
  <c r="H30" i="51" s="1"/>
  <c r="J133" i="51"/>
  <c r="L133" i="51" s="1"/>
  <c r="N133" i="51" s="1"/>
  <c r="P133" i="51" s="1"/>
  <c r="J140" i="51"/>
  <c r="L140" i="51" s="1"/>
  <c r="N140" i="51" s="1"/>
  <c r="P140" i="51" s="1"/>
  <c r="H12" i="51" s="1"/>
  <c r="K132" i="51"/>
  <c r="M132" i="51" s="1"/>
  <c r="O132" i="51" s="1"/>
  <c r="Q132" i="51" s="1"/>
  <c r="K164" i="51"/>
  <c r="M164" i="51" s="1"/>
  <c r="O164" i="51" s="1"/>
  <c r="Q164" i="51" s="1"/>
  <c r="I36" i="51" s="1"/>
  <c r="K159" i="51"/>
  <c r="M159" i="51" s="1"/>
  <c r="O159" i="51" s="1"/>
  <c r="Q159" i="51" s="1"/>
  <c r="I31" i="51" s="1"/>
  <c r="C182" i="51"/>
  <c r="O186" i="51"/>
  <c r="C186" i="51"/>
  <c r="C14" i="51" s="1"/>
  <c r="C50" i="51" s="1"/>
  <c r="I186" i="51"/>
  <c r="N87" i="51"/>
  <c r="T86" i="51"/>
  <c r="V86" i="51" s="1"/>
  <c r="X86" i="51" s="1"/>
  <c r="AB86" i="51" s="1"/>
  <c r="K141" i="51"/>
  <c r="M141" i="51" s="1"/>
  <c r="O141" i="51" s="1"/>
  <c r="Q141" i="51" s="1"/>
  <c r="I13" i="51" s="1"/>
  <c r="J139" i="51"/>
  <c r="L139" i="51" s="1"/>
  <c r="N139" i="51" s="1"/>
  <c r="P139" i="51" s="1"/>
  <c r="H11" i="51" s="1"/>
  <c r="J138" i="51"/>
  <c r="L138" i="51" s="1"/>
  <c r="N138" i="51" s="1"/>
  <c r="P138" i="51" s="1"/>
  <c r="J137" i="51"/>
  <c r="L137" i="51" s="1"/>
  <c r="N137" i="51" s="1"/>
  <c r="P137" i="51" s="1"/>
  <c r="J136" i="51"/>
  <c r="L136" i="51" s="1"/>
  <c r="N136" i="51" s="1"/>
  <c r="P136" i="51" s="1"/>
  <c r="J135" i="51"/>
  <c r="L135" i="51" s="1"/>
  <c r="N135" i="51" s="1"/>
  <c r="P135" i="51" s="1"/>
  <c r="J134" i="51"/>
  <c r="L134" i="51" s="1"/>
  <c r="N134" i="51" s="1"/>
  <c r="P134" i="51" s="1"/>
  <c r="U211" i="51" l="1"/>
  <c r="H75" i="51" s="1"/>
  <c r="I75" i="51"/>
  <c r="H210" i="51"/>
  <c r="G74" i="51"/>
  <c r="M38" i="51"/>
  <c r="H89" i="51"/>
  <c r="J89" i="51" s="1"/>
  <c r="L89" i="51" s="1"/>
  <c r="Z89" i="51" s="1"/>
  <c r="N211" i="51"/>
  <c r="N39" i="51" s="1"/>
  <c r="O39" i="51"/>
  <c r="C90" i="51"/>
  <c r="H212" i="51"/>
  <c r="G76" i="51"/>
  <c r="M40" i="51"/>
  <c r="T212" i="51"/>
  <c r="I210" i="51"/>
  <c r="K210" i="51" s="1"/>
  <c r="E38" i="51" s="1"/>
  <c r="I211" i="51"/>
  <c r="O211" i="51"/>
  <c r="C211" i="51"/>
  <c r="C39" i="51" s="1"/>
  <c r="C75" i="51" s="1"/>
  <c r="C212" i="51"/>
  <c r="O212" i="51"/>
  <c r="I212" i="51"/>
  <c r="M212" i="51"/>
  <c r="M210" i="51"/>
  <c r="D190" i="51"/>
  <c r="B18" i="51" s="1"/>
  <c r="B54" i="51" s="1"/>
  <c r="D192" i="51"/>
  <c r="B20" i="51" s="1"/>
  <c r="B56" i="51" s="1"/>
  <c r="D187" i="51"/>
  <c r="B15" i="51" s="1"/>
  <c r="B51" i="51" s="1"/>
  <c r="D196" i="51"/>
  <c r="B24" i="51" s="1"/>
  <c r="B60" i="51" s="1"/>
  <c r="D181" i="51"/>
  <c r="I200" i="51"/>
  <c r="O200" i="51"/>
  <c r="C200" i="51"/>
  <c r="C28" i="51" s="1"/>
  <c r="C64" i="51" s="1"/>
  <c r="K193" i="51"/>
  <c r="E21" i="51" s="1"/>
  <c r="I208" i="51"/>
  <c r="O208" i="51"/>
  <c r="C208" i="51"/>
  <c r="C36" i="51" s="1"/>
  <c r="C72" i="51" s="1"/>
  <c r="C207" i="51"/>
  <c r="C35" i="51" s="1"/>
  <c r="C71" i="51" s="1"/>
  <c r="I207" i="51"/>
  <c r="O207" i="51"/>
  <c r="D188" i="51"/>
  <c r="B16" i="51" s="1"/>
  <c r="B52" i="51" s="1"/>
  <c r="K185" i="51"/>
  <c r="E13" i="51" s="1"/>
  <c r="K183" i="51"/>
  <c r="E11" i="51" s="1"/>
  <c r="R191" i="51"/>
  <c r="D195" i="51"/>
  <c r="B23" i="51" s="1"/>
  <c r="B59" i="51" s="1"/>
  <c r="K190" i="51"/>
  <c r="E18" i="51" s="1"/>
  <c r="K187" i="51"/>
  <c r="E15" i="51" s="1"/>
  <c r="C199" i="51"/>
  <c r="C27" i="51" s="1"/>
  <c r="C63" i="51" s="1"/>
  <c r="I199" i="51"/>
  <c r="O199" i="51"/>
  <c r="R185" i="51"/>
  <c r="R189" i="51"/>
  <c r="D186" i="51"/>
  <c r="B14" i="51" s="1"/>
  <c r="B50" i="51" s="1"/>
  <c r="R186" i="51"/>
  <c r="B91" i="51"/>
  <c r="H90" i="51"/>
  <c r="J90" i="51" s="1"/>
  <c r="L90" i="51" s="1"/>
  <c r="Z90" i="51" s="1"/>
  <c r="R196" i="51"/>
  <c r="C204" i="51"/>
  <c r="C32" i="51" s="1"/>
  <c r="C68" i="51" s="1"/>
  <c r="I204" i="51"/>
  <c r="O204" i="51"/>
  <c r="D193" i="51"/>
  <c r="B21" i="51" s="1"/>
  <c r="B57" i="51" s="1"/>
  <c r="R192" i="51"/>
  <c r="D183" i="51"/>
  <c r="B11" i="51" s="1"/>
  <c r="B47" i="51" s="1"/>
  <c r="D191" i="51"/>
  <c r="B19" i="51" s="1"/>
  <c r="B55" i="51" s="1"/>
  <c r="R195" i="51"/>
  <c r="R190" i="51"/>
  <c r="K188" i="51"/>
  <c r="E16" i="51" s="1"/>
  <c r="O197" i="51"/>
  <c r="C197" i="51"/>
  <c r="C25" i="51" s="1"/>
  <c r="C61" i="51" s="1"/>
  <c r="I197" i="51"/>
  <c r="C201" i="51"/>
  <c r="C29" i="51" s="1"/>
  <c r="C65" i="51" s="1"/>
  <c r="I201" i="51"/>
  <c r="O201" i="51"/>
  <c r="K194" i="51"/>
  <c r="E22" i="51" s="1"/>
  <c r="R183" i="51"/>
  <c r="O90" i="51"/>
  <c r="U89" i="51"/>
  <c r="W89" i="51" s="1"/>
  <c r="Y89" i="51" s="1"/>
  <c r="AC89" i="51" s="1"/>
  <c r="K191" i="51"/>
  <c r="E19" i="51" s="1"/>
  <c r="K195" i="51"/>
  <c r="E23" i="51" s="1"/>
  <c r="N88" i="51"/>
  <c r="T87" i="51"/>
  <c r="V87" i="51" s="1"/>
  <c r="X87" i="51" s="1"/>
  <c r="AB87" i="51" s="1"/>
  <c r="O205" i="51"/>
  <c r="C205" i="51"/>
  <c r="C33" i="51" s="1"/>
  <c r="C69" i="51" s="1"/>
  <c r="I205" i="51"/>
  <c r="C209" i="51"/>
  <c r="C37" i="51" s="1"/>
  <c r="C73" i="51" s="1"/>
  <c r="I209" i="51"/>
  <c r="O209" i="51"/>
  <c r="D182" i="51"/>
  <c r="O202" i="51"/>
  <c r="C202" i="51"/>
  <c r="C30" i="51" s="1"/>
  <c r="C66" i="51" s="1"/>
  <c r="I202" i="51"/>
  <c r="D194" i="51"/>
  <c r="B22" i="51" s="1"/>
  <c r="B58" i="51" s="1"/>
  <c r="K192" i="51"/>
  <c r="E20" i="51" s="1"/>
  <c r="K189" i="51"/>
  <c r="E17" i="51" s="1"/>
  <c r="K184" i="51"/>
  <c r="E12" i="51" s="1"/>
  <c r="I203" i="51"/>
  <c r="O203" i="51"/>
  <c r="C203" i="51"/>
  <c r="C31" i="51" s="1"/>
  <c r="C67" i="51" s="1"/>
  <c r="O210" i="51"/>
  <c r="C210" i="51"/>
  <c r="C38" i="51" s="1"/>
  <c r="C74" i="51" s="1"/>
  <c r="C198" i="51"/>
  <c r="C26" i="51" s="1"/>
  <c r="C62" i="51" s="1"/>
  <c r="I198" i="51"/>
  <c r="O198" i="51"/>
  <c r="R194" i="51"/>
  <c r="D184" i="51"/>
  <c r="B12" i="51" s="1"/>
  <c r="B48" i="51" s="1"/>
  <c r="C91" i="51"/>
  <c r="I90" i="51"/>
  <c r="K90" i="51" s="1"/>
  <c r="M90" i="51" s="1"/>
  <c r="AA90" i="51" s="1"/>
  <c r="K186" i="51"/>
  <c r="E14" i="51" s="1"/>
  <c r="R187" i="51"/>
  <c r="K196" i="51"/>
  <c r="E24" i="51" s="1"/>
  <c r="C206" i="51"/>
  <c r="C34" i="51" s="1"/>
  <c r="C70" i="51" s="1"/>
  <c r="I206" i="51"/>
  <c r="O206" i="51"/>
  <c r="R193" i="51"/>
  <c r="R188" i="51"/>
  <c r="D185" i="51"/>
  <c r="B13" i="51" s="1"/>
  <c r="B49" i="51" s="1"/>
  <c r="D189" i="51"/>
  <c r="B17" i="51" s="1"/>
  <c r="B53" i="51" s="1"/>
  <c r="R184" i="51"/>
  <c r="D211" i="51" l="1"/>
  <c r="B39" i="51" s="1"/>
  <c r="B75" i="51" s="1"/>
  <c r="E48" i="51"/>
  <c r="E59" i="51"/>
  <c r="E60" i="51"/>
  <c r="N210" i="51"/>
  <c r="N38" i="51" s="1"/>
  <c r="O38" i="51"/>
  <c r="N212" i="51"/>
  <c r="N40" i="51" s="1"/>
  <c r="O40" i="51"/>
  <c r="U212" i="51"/>
  <c r="H76" i="51" s="1"/>
  <c r="I76" i="51"/>
  <c r="E51" i="51"/>
  <c r="E56" i="51"/>
  <c r="E50" i="51"/>
  <c r="E52" i="51"/>
  <c r="D212" i="51"/>
  <c r="B40" i="51" s="1"/>
  <c r="B76" i="51" s="1"/>
  <c r="C40" i="51"/>
  <c r="C76" i="51" s="1"/>
  <c r="F74" i="51"/>
  <c r="L38" i="51"/>
  <c r="E57" i="51"/>
  <c r="E47" i="51"/>
  <c r="E53" i="51"/>
  <c r="E55" i="51"/>
  <c r="F76" i="51"/>
  <c r="L40" i="51"/>
  <c r="E54" i="51"/>
  <c r="E58" i="51"/>
  <c r="E49" i="51"/>
  <c r="R211" i="51"/>
  <c r="K211" i="51"/>
  <c r="K212" i="51"/>
  <c r="R212" i="51"/>
  <c r="L190" i="51"/>
  <c r="D18" i="51" s="1"/>
  <c r="L183" i="51"/>
  <c r="D11" i="51" s="1"/>
  <c r="S188" i="51"/>
  <c r="L184" i="51"/>
  <c r="D12" i="51" s="1"/>
  <c r="L188" i="51"/>
  <c r="D16" i="51" s="1"/>
  <c r="L195" i="51"/>
  <c r="D23" i="51" s="1"/>
  <c r="L189" i="51"/>
  <c r="D17" i="51" s="1"/>
  <c r="L191" i="51"/>
  <c r="D19" i="51" s="1"/>
  <c r="D209" i="51"/>
  <c r="B37" i="51" s="1"/>
  <c r="B73" i="51" s="1"/>
  <c r="L187" i="51"/>
  <c r="D15" i="51" s="1"/>
  <c r="D207" i="51"/>
  <c r="B35" i="51" s="1"/>
  <c r="B71" i="51" s="1"/>
  <c r="L194" i="51"/>
  <c r="D22" i="51" s="1"/>
  <c r="D197" i="51"/>
  <c r="B25" i="51" s="1"/>
  <c r="B61" i="51" s="1"/>
  <c r="L193" i="51"/>
  <c r="D21" i="51" s="1"/>
  <c r="S189" i="51"/>
  <c r="S183" i="51"/>
  <c r="K203" i="51"/>
  <c r="E31" i="51" s="1"/>
  <c r="D210" i="51"/>
  <c r="B38" i="51" s="1"/>
  <c r="B74" i="51" s="1"/>
  <c r="D202" i="51"/>
  <c r="B30" i="51" s="1"/>
  <c r="B66" i="51" s="1"/>
  <c r="R209" i="51"/>
  <c r="R210" i="51"/>
  <c r="O91" i="51"/>
  <c r="U90" i="51"/>
  <c r="W90" i="51" s="1"/>
  <c r="Y90" i="51" s="1"/>
  <c r="AC90" i="51" s="1"/>
  <c r="D201" i="51"/>
  <c r="B29" i="51" s="1"/>
  <c r="B65" i="51" s="1"/>
  <c r="S185" i="51"/>
  <c r="R207" i="51"/>
  <c r="D200" i="51"/>
  <c r="B28" i="51" s="1"/>
  <c r="B64" i="51" s="1"/>
  <c r="I91" i="51"/>
  <c r="K91" i="51" s="1"/>
  <c r="M91" i="51" s="1"/>
  <c r="AA91" i="51" s="1"/>
  <c r="C92" i="51"/>
  <c r="N89" i="51"/>
  <c r="T88" i="51"/>
  <c r="V88" i="51" s="1"/>
  <c r="X88" i="51" s="1"/>
  <c r="AB88" i="51" s="1"/>
  <c r="K208" i="51"/>
  <c r="E36" i="51" s="1"/>
  <c r="L196" i="51"/>
  <c r="D24" i="51" s="1"/>
  <c r="S194" i="51"/>
  <c r="R202" i="51"/>
  <c r="K209" i="51"/>
  <c r="E37" i="51" s="1"/>
  <c r="S193" i="51"/>
  <c r="D198" i="51"/>
  <c r="B26" i="51" s="1"/>
  <c r="B62" i="51" s="1"/>
  <c r="L192" i="51"/>
  <c r="D20" i="51" s="1"/>
  <c r="K197" i="51"/>
  <c r="E25" i="51" s="1"/>
  <c r="S190" i="51"/>
  <c r="R204" i="51"/>
  <c r="B92" i="51"/>
  <c r="H91" i="51"/>
  <c r="J91" i="51" s="1"/>
  <c r="L91" i="51" s="1"/>
  <c r="Z91" i="51" s="1"/>
  <c r="S186" i="51"/>
  <c r="R199" i="51"/>
  <c r="K207" i="51"/>
  <c r="E35" i="51" s="1"/>
  <c r="R200" i="51"/>
  <c r="S187" i="51"/>
  <c r="R198" i="51"/>
  <c r="S195" i="51"/>
  <c r="K204" i="51"/>
  <c r="E32" i="51" s="1"/>
  <c r="K199" i="51"/>
  <c r="E27" i="51" s="1"/>
  <c r="K200" i="51"/>
  <c r="E28" i="51" s="1"/>
  <c r="K205" i="51"/>
  <c r="E33" i="51" s="1"/>
  <c r="S184" i="51"/>
  <c r="R197" i="51"/>
  <c r="D204" i="51"/>
  <c r="B32" i="51" s="1"/>
  <c r="B68" i="51" s="1"/>
  <c r="D199" i="51"/>
  <c r="B27" i="51" s="1"/>
  <c r="B63" i="51" s="1"/>
  <c r="L185" i="51"/>
  <c r="D13" i="51" s="1"/>
  <c r="D206" i="51"/>
  <c r="B34" i="51" s="1"/>
  <c r="B70" i="51" s="1"/>
  <c r="K198" i="51"/>
  <c r="E26" i="51" s="1"/>
  <c r="R206" i="51"/>
  <c r="L186" i="51"/>
  <c r="D14" i="51" s="1"/>
  <c r="D203" i="51"/>
  <c r="B31" i="51" s="1"/>
  <c r="B67" i="51" s="1"/>
  <c r="K206" i="51"/>
  <c r="E34" i="51" s="1"/>
  <c r="R203" i="51"/>
  <c r="K202" i="51"/>
  <c r="E30" i="51" s="1"/>
  <c r="D205" i="51"/>
  <c r="B33" i="51" s="1"/>
  <c r="B69" i="51" s="1"/>
  <c r="R201" i="51"/>
  <c r="S192" i="51"/>
  <c r="S196" i="51"/>
  <c r="S191" i="51"/>
  <c r="D208" i="51"/>
  <c r="B36" i="51" s="1"/>
  <c r="B72" i="51" s="1"/>
  <c r="R205" i="51"/>
  <c r="K201" i="51"/>
  <c r="E29" i="51" s="1"/>
  <c r="R208" i="51"/>
  <c r="E65" i="51" l="1"/>
  <c r="E63" i="51"/>
  <c r="D53" i="51"/>
  <c r="E70" i="51"/>
  <c r="D47" i="51"/>
  <c r="D50" i="51"/>
  <c r="D57" i="51"/>
  <c r="E74" i="51"/>
  <c r="S212" i="51"/>
  <c r="E76" i="51"/>
  <c r="K76" i="51" s="1"/>
  <c r="C37" i="47"/>
  <c r="E72" i="51"/>
  <c r="E69" i="51"/>
  <c r="E67" i="51"/>
  <c r="D59" i="51"/>
  <c r="L212" i="51"/>
  <c r="D40" i="51" s="1"/>
  <c r="E40" i="51"/>
  <c r="E62" i="51"/>
  <c r="E68" i="51"/>
  <c r="E66" i="51"/>
  <c r="L211" i="51"/>
  <c r="D39" i="51" s="1"/>
  <c r="E39" i="51"/>
  <c r="D56" i="51"/>
  <c r="D52" i="51"/>
  <c r="E73" i="51"/>
  <c r="D55" i="51"/>
  <c r="E61" i="51"/>
  <c r="D51" i="51"/>
  <c r="D54" i="51"/>
  <c r="D58" i="51"/>
  <c r="E71" i="51"/>
  <c r="S211" i="51"/>
  <c r="E75" i="51"/>
  <c r="K75" i="51" s="1"/>
  <c r="C36" i="47"/>
  <c r="D60" i="51"/>
  <c r="D48" i="51"/>
  <c r="E64" i="51"/>
  <c r="D49" i="51"/>
  <c r="L209" i="51"/>
  <c r="D37" i="51" s="1"/>
  <c r="S204" i="51"/>
  <c r="S198" i="51"/>
  <c r="L198" i="51"/>
  <c r="D26" i="51" s="1"/>
  <c r="L199" i="51"/>
  <c r="D27" i="51" s="1"/>
  <c r="S203" i="51"/>
  <c r="S201" i="51"/>
  <c r="S206" i="51"/>
  <c r="L200" i="51"/>
  <c r="D28" i="51" s="1"/>
  <c r="L204" i="51"/>
  <c r="D32" i="51" s="1"/>
  <c r="S202" i="51"/>
  <c r="L208" i="51"/>
  <c r="D36" i="51" s="1"/>
  <c r="L203" i="51"/>
  <c r="D31" i="51" s="1"/>
  <c r="S199" i="51"/>
  <c r="S207" i="51"/>
  <c r="N90" i="51"/>
  <c r="T89" i="51"/>
  <c r="V89" i="51" s="1"/>
  <c r="X89" i="51" s="1"/>
  <c r="AB89" i="51" s="1"/>
  <c r="S208" i="51"/>
  <c r="L205" i="51"/>
  <c r="D33" i="51" s="1"/>
  <c r="L207" i="51"/>
  <c r="D35" i="51" s="1"/>
  <c r="H92" i="51"/>
  <c r="J92" i="51" s="1"/>
  <c r="L92" i="51" s="1"/>
  <c r="Z92" i="51" s="1"/>
  <c r="B93" i="51"/>
  <c r="C93" i="51"/>
  <c r="I92" i="51"/>
  <c r="K92" i="51" s="1"/>
  <c r="M92" i="51" s="1"/>
  <c r="AA92" i="51" s="1"/>
  <c r="S210" i="51"/>
  <c r="L197" i="51"/>
  <c r="D25" i="51" s="1"/>
  <c r="O92" i="51"/>
  <c r="U91" i="51"/>
  <c r="W91" i="51" s="1"/>
  <c r="Y91" i="51" s="1"/>
  <c r="AC91" i="51" s="1"/>
  <c r="L201" i="51"/>
  <c r="D29" i="51" s="1"/>
  <c r="L202" i="51"/>
  <c r="D30" i="51" s="1"/>
  <c r="L210" i="51"/>
  <c r="D38" i="51" s="1"/>
  <c r="S209" i="51"/>
  <c r="S205" i="51"/>
  <c r="L206" i="51"/>
  <c r="D34" i="51" s="1"/>
  <c r="S197" i="51"/>
  <c r="S200" i="51"/>
  <c r="D73" i="51" l="1"/>
  <c r="D70" i="51"/>
  <c r="D71" i="51"/>
  <c r="D65" i="51"/>
  <c r="D76" i="51"/>
  <c r="J76" i="51" s="1"/>
  <c r="L76" i="51" s="1"/>
  <c r="B37" i="47"/>
  <c r="D63" i="51"/>
  <c r="D67" i="51"/>
  <c r="D74" i="51"/>
  <c r="D75" i="51"/>
  <c r="J75" i="51" s="1"/>
  <c r="L75" i="51" s="1"/>
  <c r="B36" i="47"/>
  <c r="D69" i="51"/>
  <c r="D64" i="51"/>
  <c r="D61" i="51"/>
  <c r="D66" i="51"/>
  <c r="D62" i="51"/>
  <c r="D72" i="51"/>
  <c r="D68" i="51"/>
  <c r="B94" i="51"/>
  <c r="H93" i="51"/>
  <c r="J93" i="51" s="1"/>
  <c r="L93" i="51" s="1"/>
  <c r="Z93" i="51" s="1"/>
  <c r="O93" i="51"/>
  <c r="U92" i="51"/>
  <c r="W92" i="51" s="1"/>
  <c r="Y92" i="51" s="1"/>
  <c r="AC92" i="51" s="1"/>
  <c r="G11" i="51" s="1"/>
  <c r="K11" i="51" s="1"/>
  <c r="I93" i="51"/>
  <c r="K93" i="51" s="1"/>
  <c r="M93" i="51" s="1"/>
  <c r="AA93" i="51" s="1"/>
  <c r="C94" i="51"/>
  <c r="N91" i="51"/>
  <c r="T90" i="51"/>
  <c r="V90" i="51" s="1"/>
  <c r="X90" i="51" s="1"/>
  <c r="AB90" i="51" s="1"/>
  <c r="G36" i="47" l="1"/>
  <c r="D36" i="47"/>
  <c r="E36" i="47"/>
  <c r="F36" i="47"/>
  <c r="I47" i="41"/>
  <c r="M76" i="51"/>
  <c r="I46" i="41"/>
  <c r="M75" i="51"/>
  <c r="F37" i="47"/>
  <c r="G37" i="47"/>
  <c r="D37" i="47"/>
  <c r="E37" i="47"/>
  <c r="O94" i="51"/>
  <c r="U93" i="51"/>
  <c r="W93" i="51" s="1"/>
  <c r="Y93" i="51" s="1"/>
  <c r="AC93" i="51" s="1"/>
  <c r="G12" i="51" s="1"/>
  <c r="K12" i="51" s="1"/>
  <c r="B95" i="51"/>
  <c r="H94" i="51"/>
  <c r="J94" i="51" s="1"/>
  <c r="L94" i="51" s="1"/>
  <c r="Z94" i="51" s="1"/>
  <c r="N92" i="51"/>
  <c r="T91" i="51"/>
  <c r="V91" i="51" s="1"/>
  <c r="X91" i="51" s="1"/>
  <c r="AB91" i="51" s="1"/>
  <c r="C95" i="51"/>
  <c r="I94" i="51"/>
  <c r="K94" i="51" s="1"/>
  <c r="M94" i="51" s="1"/>
  <c r="AA94" i="51" s="1"/>
  <c r="B96" i="51" l="1"/>
  <c r="H95" i="51"/>
  <c r="J95" i="51" s="1"/>
  <c r="L95" i="51" s="1"/>
  <c r="Z95" i="51" s="1"/>
  <c r="N93" i="51"/>
  <c r="T92" i="51"/>
  <c r="V92" i="51" s="1"/>
  <c r="X92" i="51" s="1"/>
  <c r="AB92" i="51" s="1"/>
  <c r="F11" i="51" s="1"/>
  <c r="J11" i="51" s="1"/>
  <c r="C96" i="51"/>
  <c r="I95" i="51"/>
  <c r="K95" i="51" s="1"/>
  <c r="M95" i="51" s="1"/>
  <c r="AA95" i="51" s="1"/>
  <c r="O95" i="51"/>
  <c r="U94" i="51"/>
  <c r="W94" i="51" s="1"/>
  <c r="Y94" i="51" s="1"/>
  <c r="AC94" i="51" s="1"/>
  <c r="G13" i="51" s="1"/>
  <c r="K13" i="51" s="1"/>
  <c r="O96" i="51" l="1"/>
  <c r="U95" i="51"/>
  <c r="W95" i="51" s="1"/>
  <c r="Y95" i="51" s="1"/>
  <c r="AC95" i="51" s="1"/>
  <c r="G14" i="51" s="1"/>
  <c r="K14" i="51" s="1"/>
  <c r="B97" i="51"/>
  <c r="H96" i="51"/>
  <c r="J96" i="51" s="1"/>
  <c r="L96" i="51" s="1"/>
  <c r="Z96" i="51" s="1"/>
  <c r="N94" i="51"/>
  <c r="T93" i="51"/>
  <c r="V93" i="51" s="1"/>
  <c r="X93" i="51" s="1"/>
  <c r="AB93" i="51" s="1"/>
  <c r="F12" i="51" s="1"/>
  <c r="J12" i="51" s="1"/>
  <c r="C97" i="51"/>
  <c r="I96" i="51"/>
  <c r="K96" i="51" s="1"/>
  <c r="M96" i="51" s="1"/>
  <c r="AA96" i="51" s="1"/>
  <c r="B98" i="51" l="1"/>
  <c r="H97" i="51"/>
  <c r="J97" i="51" s="1"/>
  <c r="L97" i="51" s="1"/>
  <c r="Z97" i="51" s="1"/>
  <c r="N95" i="51"/>
  <c r="T94" i="51"/>
  <c r="V94" i="51" s="1"/>
  <c r="X94" i="51" s="1"/>
  <c r="AB94" i="51" s="1"/>
  <c r="F13" i="51" s="1"/>
  <c r="J13" i="51" s="1"/>
  <c r="O97" i="51"/>
  <c r="U96" i="51"/>
  <c r="W96" i="51" s="1"/>
  <c r="Y96" i="51" s="1"/>
  <c r="AC96" i="51" s="1"/>
  <c r="G15" i="51" s="1"/>
  <c r="K15" i="51" s="1"/>
  <c r="C98" i="51"/>
  <c r="I97" i="51"/>
  <c r="K97" i="51" s="1"/>
  <c r="M97" i="51" s="1"/>
  <c r="AA97" i="51" s="1"/>
  <c r="C99" i="51" l="1"/>
  <c r="I98" i="51"/>
  <c r="K98" i="51" s="1"/>
  <c r="M98" i="51" s="1"/>
  <c r="AA98" i="51" s="1"/>
  <c r="B99" i="51"/>
  <c r="H98" i="51"/>
  <c r="J98" i="51" s="1"/>
  <c r="L98" i="51" s="1"/>
  <c r="Z98" i="51" s="1"/>
  <c r="O98" i="51"/>
  <c r="U97" i="51"/>
  <c r="W97" i="51" s="1"/>
  <c r="Y97" i="51" s="1"/>
  <c r="AC97" i="51" s="1"/>
  <c r="G16" i="51" s="1"/>
  <c r="K16" i="51" s="1"/>
  <c r="T95" i="51"/>
  <c r="V95" i="51" s="1"/>
  <c r="X95" i="51" s="1"/>
  <c r="AB95" i="51" s="1"/>
  <c r="F14" i="51" s="1"/>
  <c r="J14" i="51" s="1"/>
  <c r="N96" i="51"/>
  <c r="H99" i="51" l="1"/>
  <c r="J99" i="51" s="1"/>
  <c r="L99" i="51" s="1"/>
  <c r="Z99" i="51" s="1"/>
  <c r="B100" i="51"/>
  <c r="C100" i="51"/>
  <c r="I99" i="51"/>
  <c r="K99" i="51" s="1"/>
  <c r="M99" i="51" s="1"/>
  <c r="AA99" i="51" s="1"/>
  <c r="U98" i="51"/>
  <c r="W98" i="51" s="1"/>
  <c r="Y98" i="51" s="1"/>
  <c r="AC98" i="51" s="1"/>
  <c r="G17" i="51" s="1"/>
  <c r="K17" i="51" s="1"/>
  <c r="O99" i="51"/>
  <c r="N97" i="51"/>
  <c r="T96" i="51"/>
  <c r="V96" i="51" s="1"/>
  <c r="X96" i="51" s="1"/>
  <c r="AB96" i="51" s="1"/>
  <c r="F15" i="51" s="1"/>
  <c r="J15" i="51" s="1"/>
  <c r="N98" i="51" l="1"/>
  <c r="T97" i="51"/>
  <c r="V97" i="51" s="1"/>
  <c r="X97" i="51" s="1"/>
  <c r="AB97" i="51" s="1"/>
  <c r="F16" i="51" s="1"/>
  <c r="J16" i="51" s="1"/>
  <c r="B101" i="51"/>
  <c r="H100" i="51"/>
  <c r="J100" i="51" s="1"/>
  <c r="L100" i="51" s="1"/>
  <c r="Z100" i="51" s="1"/>
  <c r="C101" i="51"/>
  <c r="I100" i="51"/>
  <c r="K100" i="51" s="1"/>
  <c r="M100" i="51" s="1"/>
  <c r="AA100" i="51" s="1"/>
  <c r="O100" i="51"/>
  <c r="U99" i="51"/>
  <c r="W99" i="51" s="1"/>
  <c r="Y99" i="51" s="1"/>
  <c r="AC99" i="51" s="1"/>
  <c r="G18" i="51" s="1"/>
  <c r="K18" i="51" s="1"/>
  <c r="O101" i="51" l="1"/>
  <c r="U100" i="51"/>
  <c r="W100" i="51" s="1"/>
  <c r="Y100" i="51" s="1"/>
  <c r="AC100" i="51" s="1"/>
  <c r="G19" i="51" s="1"/>
  <c r="K19" i="51" s="1"/>
  <c r="N99" i="51"/>
  <c r="T98" i="51"/>
  <c r="V98" i="51" s="1"/>
  <c r="X98" i="51" s="1"/>
  <c r="AB98" i="51" s="1"/>
  <c r="F17" i="51" s="1"/>
  <c r="J17" i="51" s="1"/>
  <c r="B102" i="51"/>
  <c r="H101" i="51"/>
  <c r="J101" i="51" s="1"/>
  <c r="L101" i="51" s="1"/>
  <c r="Z101" i="51" s="1"/>
  <c r="C102" i="51"/>
  <c r="I101" i="51"/>
  <c r="K101" i="51" s="1"/>
  <c r="M101" i="51" s="1"/>
  <c r="AA101" i="51" s="1"/>
  <c r="N100" i="51" l="1"/>
  <c r="T99" i="51"/>
  <c r="V99" i="51" s="1"/>
  <c r="X99" i="51" s="1"/>
  <c r="AB99" i="51" s="1"/>
  <c r="F18" i="51" s="1"/>
  <c r="J18" i="51" s="1"/>
  <c r="I102" i="51"/>
  <c r="K102" i="51" s="1"/>
  <c r="M102" i="51" s="1"/>
  <c r="AA102" i="51" s="1"/>
  <c r="C103" i="51"/>
  <c r="O102" i="51"/>
  <c r="U101" i="51"/>
  <c r="W101" i="51" s="1"/>
  <c r="Y101" i="51" s="1"/>
  <c r="AC101" i="51" s="1"/>
  <c r="G20" i="51" s="1"/>
  <c r="K20" i="51" s="1"/>
  <c r="B103" i="51"/>
  <c r="H102" i="51"/>
  <c r="J102" i="51" s="1"/>
  <c r="L102" i="51" s="1"/>
  <c r="Z102" i="51" s="1"/>
  <c r="C104" i="51" l="1"/>
  <c r="I103" i="51"/>
  <c r="K103" i="51" s="1"/>
  <c r="M103" i="51" s="1"/>
  <c r="AA103" i="51" s="1"/>
  <c r="B104" i="51"/>
  <c r="H103" i="51"/>
  <c r="J103" i="51" s="1"/>
  <c r="L103" i="51" s="1"/>
  <c r="Z103" i="51" s="1"/>
  <c r="N101" i="51"/>
  <c r="T100" i="51"/>
  <c r="V100" i="51" s="1"/>
  <c r="X100" i="51" s="1"/>
  <c r="AB100" i="51" s="1"/>
  <c r="F19" i="51" s="1"/>
  <c r="J19" i="51" s="1"/>
  <c r="O103" i="51"/>
  <c r="U102" i="51"/>
  <c r="W102" i="51" s="1"/>
  <c r="Y102" i="51" s="1"/>
  <c r="AC102" i="51" s="1"/>
  <c r="G21" i="51" s="1"/>
  <c r="K21" i="51" s="1"/>
  <c r="B105" i="51" l="1"/>
  <c r="H104" i="51"/>
  <c r="J104" i="51" s="1"/>
  <c r="L104" i="51" s="1"/>
  <c r="Z104" i="51" s="1"/>
  <c r="O104" i="51"/>
  <c r="U103" i="51"/>
  <c r="W103" i="51" s="1"/>
  <c r="Y103" i="51" s="1"/>
  <c r="AC103" i="51" s="1"/>
  <c r="G22" i="51" s="1"/>
  <c r="K22" i="51" s="1"/>
  <c r="C105" i="51"/>
  <c r="I104" i="51"/>
  <c r="K104" i="51" s="1"/>
  <c r="M104" i="51" s="1"/>
  <c r="AA104" i="51" s="1"/>
  <c r="N102" i="51"/>
  <c r="T101" i="51"/>
  <c r="V101" i="51" s="1"/>
  <c r="X101" i="51" s="1"/>
  <c r="AB101" i="51" s="1"/>
  <c r="F20" i="51" s="1"/>
  <c r="J20" i="51" s="1"/>
  <c r="O105" i="51" l="1"/>
  <c r="U104" i="51"/>
  <c r="W104" i="51" s="1"/>
  <c r="Y104" i="51" s="1"/>
  <c r="AC104" i="51" s="1"/>
  <c r="G23" i="51" s="1"/>
  <c r="K23" i="51" s="1"/>
  <c r="N103" i="51"/>
  <c r="T102" i="51"/>
  <c r="V102" i="51" s="1"/>
  <c r="X102" i="51" s="1"/>
  <c r="AB102" i="51" s="1"/>
  <c r="F21" i="51" s="1"/>
  <c r="J21" i="51" s="1"/>
  <c r="B106" i="51"/>
  <c r="H105" i="51"/>
  <c r="J105" i="51" s="1"/>
  <c r="L105" i="51" s="1"/>
  <c r="Z105" i="51" s="1"/>
  <c r="C106" i="51"/>
  <c r="I105" i="51"/>
  <c r="K105" i="51" s="1"/>
  <c r="M105" i="51" s="1"/>
  <c r="AA105" i="51" s="1"/>
  <c r="T103" i="51" l="1"/>
  <c r="V103" i="51" s="1"/>
  <c r="X103" i="51" s="1"/>
  <c r="AB103" i="51" s="1"/>
  <c r="F22" i="51" s="1"/>
  <c r="J22" i="51" s="1"/>
  <c r="N104" i="51"/>
  <c r="C107" i="51"/>
  <c r="I106" i="51"/>
  <c r="K106" i="51" s="1"/>
  <c r="M106" i="51" s="1"/>
  <c r="AA106" i="51" s="1"/>
  <c r="O106" i="51"/>
  <c r="U105" i="51"/>
  <c r="W105" i="51" s="1"/>
  <c r="Y105" i="51" s="1"/>
  <c r="AC105" i="51" s="1"/>
  <c r="G24" i="51" s="1"/>
  <c r="K24" i="51" s="1"/>
  <c r="B107" i="51"/>
  <c r="H106" i="51"/>
  <c r="J106" i="51" s="1"/>
  <c r="L106" i="51" s="1"/>
  <c r="Z106" i="51" s="1"/>
  <c r="C108" i="51" l="1"/>
  <c r="I107" i="51"/>
  <c r="K107" i="51" s="1"/>
  <c r="M107" i="51" s="1"/>
  <c r="AA107" i="51" s="1"/>
  <c r="N105" i="51"/>
  <c r="T104" i="51"/>
  <c r="V104" i="51" s="1"/>
  <c r="X104" i="51" s="1"/>
  <c r="AB104" i="51" s="1"/>
  <c r="F23" i="51" s="1"/>
  <c r="J23" i="51" s="1"/>
  <c r="H107" i="51"/>
  <c r="J107" i="51" s="1"/>
  <c r="L107" i="51" s="1"/>
  <c r="Z107" i="51" s="1"/>
  <c r="B108" i="51"/>
  <c r="U106" i="51"/>
  <c r="W106" i="51" s="1"/>
  <c r="Y106" i="51" s="1"/>
  <c r="AC106" i="51" s="1"/>
  <c r="G25" i="51" s="1"/>
  <c r="K25" i="51" s="1"/>
  <c r="O107" i="51"/>
  <c r="N106" i="51" l="1"/>
  <c r="T105" i="51"/>
  <c r="V105" i="51" s="1"/>
  <c r="X105" i="51" s="1"/>
  <c r="AB105" i="51" s="1"/>
  <c r="F24" i="51" s="1"/>
  <c r="J24" i="51" s="1"/>
  <c r="O108" i="51"/>
  <c r="U107" i="51"/>
  <c r="W107" i="51" s="1"/>
  <c r="Y107" i="51" s="1"/>
  <c r="AC107" i="51" s="1"/>
  <c r="G26" i="51" s="1"/>
  <c r="K26" i="51" s="1"/>
  <c r="B109" i="51"/>
  <c r="H108" i="51"/>
  <c r="J108" i="51" s="1"/>
  <c r="L108" i="51" s="1"/>
  <c r="Z108" i="51" s="1"/>
  <c r="C109" i="51"/>
  <c r="I108" i="51"/>
  <c r="K108" i="51" s="1"/>
  <c r="M108" i="51" s="1"/>
  <c r="AA108" i="51" s="1"/>
  <c r="C110" i="51" l="1"/>
  <c r="I109" i="51"/>
  <c r="K109" i="51" s="1"/>
  <c r="M109" i="51" s="1"/>
  <c r="AA109" i="51" s="1"/>
  <c r="U108" i="51"/>
  <c r="W108" i="51" s="1"/>
  <c r="Y108" i="51" s="1"/>
  <c r="AC108" i="51" s="1"/>
  <c r="G27" i="51" s="1"/>
  <c r="K27" i="51" s="1"/>
  <c r="O109" i="51"/>
  <c r="H109" i="51"/>
  <c r="J109" i="51" s="1"/>
  <c r="L109" i="51" s="1"/>
  <c r="Z109" i="51" s="1"/>
  <c r="B110" i="51"/>
  <c r="N107" i="51"/>
  <c r="T106" i="51"/>
  <c r="V106" i="51" s="1"/>
  <c r="X106" i="51" s="1"/>
  <c r="AB106" i="51" s="1"/>
  <c r="F25" i="51" s="1"/>
  <c r="J25" i="51" s="1"/>
  <c r="O110" i="51" l="1"/>
  <c r="U109" i="51"/>
  <c r="W109" i="51" s="1"/>
  <c r="Y109" i="51" s="1"/>
  <c r="AC109" i="51" s="1"/>
  <c r="G28" i="51" s="1"/>
  <c r="K28" i="51" s="1"/>
  <c r="I110" i="51"/>
  <c r="K110" i="51" s="1"/>
  <c r="M110" i="51" s="1"/>
  <c r="AA110" i="51" s="1"/>
  <c r="C111" i="51"/>
  <c r="N108" i="51"/>
  <c r="T107" i="51"/>
  <c r="V107" i="51" s="1"/>
  <c r="X107" i="51" s="1"/>
  <c r="AB107" i="51" s="1"/>
  <c r="F26" i="51" s="1"/>
  <c r="J26" i="51" s="1"/>
  <c r="B111" i="51"/>
  <c r="H110" i="51"/>
  <c r="J110" i="51" s="1"/>
  <c r="L110" i="51" s="1"/>
  <c r="Z110" i="51" s="1"/>
  <c r="N109" i="51" l="1"/>
  <c r="T108" i="51"/>
  <c r="V108" i="51" s="1"/>
  <c r="X108" i="51" s="1"/>
  <c r="AB108" i="51" s="1"/>
  <c r="F27" i="51" s="1"/>
  <c r="J27" i="51" s="1"/>
  <c r="C112" i="51"/>
  <c r="I111" i="51"/>
  <c r="K111" i="51" s="1"/>
  <c r="M111" i="51" s="1"/>
  <c r="AA111" i="51" s="1"/>
  <c r="O111" i="51"/>
  <c r="U110" i="51"/>
  <c r="W110" i="51" s="1"/>
  <c r="Y110" i="51" s="1"/>
  <c r="AC110" i="51" s="1"/>
  <c r="G29" i="51" s="1"/>
  <c r="K29" i="51" s="1"/>
  <c r="B112" i="51"/>
  <c r="H111" i="51"/>
  <c r="J111" i="51" s="1"/>
  <c r="L111" i="51" s="1"/>
  <c r="Z111" i="51" s="1"/>
  <c r="I112" i="51" l="1"/>
  <c r="K112" i="51" s="1"/>
  <c r="M112" i="51" s="1"/>
  <c r="AA112" i="51" s="1"/>
  <c r="C113" i="51"/>
  <c r="B113" i="51"/>
  <c r="H112" i="51"/>
  <c r="J112" i="51" s="1"/>
  <c r="L112" i="51" s="1"/>
  <c r="Z112" i="51" s="1"/>
  <c r="N110" i="51"/>
  <c r="T109" i="51"/>
  <c r="V109" i="51" s="1"/>
  <c r="X109" i="51" s="1"/>
  <c r="AB109" i="51" s="1"/>
  <c r="F28" i="51" s="1"/>
  <c r="J28" i="51" s="1"/>
  <c r="O112" i="51"/>
  <c r="U111" i="51"/>
  <c r="W111" i="51" s="1"/>
  <c r="Y111" i="51" s="1"/>
  <c r="AC111" i="51" s="1"/>
  <c r="G30" i="51" s="1"/>
  <c r="K30" i="51" s="1"/>
  <c r="H113" i="51" l="1"/>
  <c r="J113" i="51" s="1"/>
  <c r="L113" i="51" s="1"/>
  <c r="Z113" i="51" s="1"/>
  <c r="B114" i="51"/>
  <c r="U112" i="51"/>
  <c r="W112" i="51" s="1"/>
  <c r="Y112" i="51" s="1"/>
  <c r="AC112" i="51" s="1"/>
  <c r="G31" i="51" s="1"/>
  <c r="K31" i="51" s="1"/>
  <c r="O113" i="51"/>
  <c r="C114" i="51"/>
  <c r="I113" i="51"/>
  <c r="K113" i="51" s="1"/>
  <c r="M113" i="51" s="1"/>
  <c r="AA113" i="51" s="1"/>
  <c r="N111" i="51"/>
  <c r="T110" i="51"/>
  <c r="V110" i="51" s="1"/>
  <c r="X110" i="51" s="1"/>
  <c r="AB110" i="51" s="1"/>
  <c r="F29" i="51" s="1"/>
  <c r="J29" i="51" s="1"/>
  <c r="O114" i="51" l="1"/>
  <c r="U113" i="51"/>
  <c r="W113" i="51" s="1"/>
  <c r="Y113" i="51" s="1"/>
  <c r="AC113" i="51" s="1"/>
  <c r="G32" i="51" s="1"/>
  <c r="K32" i="51" s="1"/>
  <c r="B115" i="51"/>
  <c r="H114" i="51"/>
  <c r="J114" i="51" s="1"/>
  <c r="L114" i="51" s="1"/>
  <c r="Z114" i="51" s="1"/>
  <c r="T111" i="51"/>
  <c r="V111" i="51" s="1"/>
  <c r="X111" i="51" s="1"/>
  <c r="AB111" i="51" s="1"/>
  <c r="F30" i="51" s="1"/>
  <c r="J30" i="51" s="1"/>
  <c r="N112" i="51"/>
  <c r="C115" i="51"/>
  <c r="I114" i="51"/>
  <c r="K114" i="51" s="1"/>
  <c r="M114" i="51" s="1"/>
  <c r="AA114" i="51" s="1"/>
  <c r="H115" i="51" l="1"/>
  <c r="J115" i="51" s="1"/>
  <c r="L115" i="51" s="1"/>
  <c r="Z115" i="51" s="1"/>
  <c r="B116" i="51"/>
  <c r="C116" i="51"/>
  <c r="I115" i="51"/>
  <c r="K115" i="51" s="1"/>
  <c r="M115" i="51" s="1"/>
  <c r="AA115" i="51" s="1"/>
  <c r="N113" i="51"/>
  <c r="T112" i="51"/>
  <c r="V112" i="51" s="1"/>
  <c r="X112" i="51" s="1"/>
  <c r="AB112" i="51" s="1"/>
  <c r="F31" i="51" s="1"/>
  <c r="J31" i="51" s="1"/>
  <c r="U114" i="51"/>
  <c r="W114" i="51" s="1"/>
  <c r="Y114" i="51" s="1"/>
  <c r="AC114" i="51" s="1"/>
  <c r="G33" i="51" s="1"/>
  <c r="K33" i="51" s="1"/>
  <c r="O115" i="51"/>
  <c r="I116" i="51" l="1"/>
  <c r="K116" i="51" s="1"/>
  <c r="M116" i="51" s="1"/>
  <c r="AA116" i="51" s="1"/>
  <c r="C117" i="51"/>
  <c r="O116" i="51"/>
  <c r="U115" i="51"/>
  <c r="W115" i="51" s="1"/>
  <c r="Y115" i="51" s="1"/>
  <c r="AC115" i="51" s="1"/>
  <c r="G34" i="51" s="1"/>
  <c r="K34" i="51" s="1"/>
  <c r="B117" i="51"/>
  <c r="H116" i="51"/>
  <c r="J116" i="51" s="1"/>
  <c r="L116" i="51" s="1"/>
  <c r="Z116" i="51" s="1"/>
  <c r="T113" i="51"/>
  <c r="V113" i="51" s="1"/>
  <c r="X113" i="51" s="1"/>
  <c r="AB113" i="51" s="1"/>
  <c r="F32" i="51" s="1"/>
  <c r="J32" i="51" s="1"/>
  <c r="N114" i="51"/>
  <c r="N115" i="51" l="1"/>
  <c r="T114" i="51"/>
  <c r="V114" i="51" s="1"/>
  <c r="X114" i="51" s="1"/>
  <c r="AB114" i="51" s="1"/>
  <c r="F33" i="51" s="1"/>
  <c r="J33" i="51" s="1"/>
  <c r="U116" i="51"/>
  <c r="W116" i="51" s="1"/>
  <c r="Y116" i="51" s="1"/>
  <c r="AC116" i="51" s="1"/>
  <c r="G35" i="51" s="1"/>
  <c r="K35" i="51" s="1"/>
  <c r="O117" i="51"/>
  <c r="C118" i="51"/>
  <c r="C119" i="51" s="1"/>
  <c r="I117" i="51"/>
  <c r="K117" i="51" s="1"/>
  <c r="M117" i="51" s="1"/>
  <c r="AA117" i="51" s="1"/>
  <c r="H117" i="51"/>
  <c r="J117" i="51" s="1"/>
  <c r="L117" i="51" s="1"/>
  <c r="Z117" i="51" s="1"/>
  <c r="B118" i="51"/>
  <c r="B119" i="51" s="1"/>
  <c r="B120" i="51" l="1"/>
  <c r="H119" i="51"/>
  <c r="C120" i="51"/>
  <c r="I119" i="51"/>
  <c r="K119" i="51" s="1"/>
  <c r="M119" i="51" s="1"/>
  <c r="AA119" i="51" s="1"/>
  <c r="I118" i="51"/>
  <c r="K118" i="51" s="1"/>
  <c r="M118" i="51" s="1"/>
  <c r="AA118" i="51" s="1"/>
  <c r="H118" i="51"/>
  <c r="J118" i="51" s="1"/>
  <c r="L118" i="51" s="1"/>
  <c r="Z118" i="51" s="1"/>
  <c r="O118" i="51"/>
  <c r="O119" i="51" s="1"/>
  <c r="U117" i="51"/>
  <c r="W117" i="51" s="1"/>
  <c r="Y117" i="51" s="1"/>
  <c r="AC117" i="51" s="1"/>
  <c r="G36" i="51" s="1"/>
  <c r="K36" i="51" s="1"/>
  <c r="N116" i="51"/>
  <c r="T115" i="51"/>
  <c r="V115" i="51" s="1"/>
  <c r="X115" i="51" s="1"/>
  <c r="AB115" i="51" s="1"/>
  <c r="F34" i="51" s="1"/>
  <c r="J34" i="51" s="1"/>
  <c r="L119" i="51" l="1"/>
  <c r="Z119" i="51" s="1"/>
  <c r="J119" i="51"/>
  <c r="O120" i="51"/>
  <c r="U119" i="51"/>
  <c r="W119" i="51" s="1"/>
  <c r="Y119" i="51" s="1"/>
  <c r="AC119" i="51" s="1"/>
  <c r="G38" i="51" s="1"/>
  <c r="K38" i="51" s="1"/>
  <c r="Q38" i="51" s="1"/>
  <c r="C121" i="51"/>
  <c r="I121" i="51" s="1"/>
  <c r="K121" i="51" s="1"/>
  <c r="M121" i="51" s="1"/>
  <c r="AA121" i="51" s="1"/>
  <c r="I120" i="51"/>
  <c r="K120" i="51" s="1"/>
  <c r="M120" i="51" s="1"/>
  <c r="AA120" i="51" s="1"/>
  <c r="B121" i="51"/>
  <c r="H120" i="51"/>
  <c r="N117" i="51"/>
  <c r="T116" i="51"/>
  <c r="V116" i="51" s="1"/>
  <c r="X116" i="51" s="1"/>
  <c r="AB116" i="51" s="1"/>
  <c r="F35" i="51" s="1"/>
  <c r="J35" i="51" s="1"/>
  <c r="U118" i="51"/>
  <c r="W118" i="51" s="1"/>
  <c r="Y118" i="51" s="1"/>
  <c r="AC118" i="51" s="1"/>
  <c r="G37" i="51" s="1"/>
  <c r="K37" i="51" s="1"/>
  <c r="J120" i="51" l="1"/>
  <c r="L120" i="51" s="1"/>
  <c r="Z120" i="51" s="1"/>
  <c r="H121" i="51"/>
  <c r="O121" i="51"/>
  <c r="U121" i="51" s="1"/>
  <c r="W121" i="51" s="1"/>
  <c r="Y121" i="51" s="1"/>
  <c r="AC121" i="51" s="1"/>
  <c r="G40" i="51" s="1"/>
  <c r="K40" i="51" s="1"/>
  <c r="Q40" i="51" s="1"/>
  <c r="U120" i="51"/>
  <c r="W120" i="51" s="1"/>
  <c r="Y120" i="51" s="1"/>
  <c r="AC120" i="51" s="1"/>
  <c r="G39" i="51" s="1"/>
  <c r="K39" i="51" s="1"/>
  <c r="Q39" i="51" s="1"/>
  <c r="T117" i="51"/>
  <c r="V117" i="51" s="1"/>
  <c r="X117" i="51" s="1"/>
  <c r="AB117" i="51" s="1"/>
  <c r="F36" i="51" s="1"/>
  <c r="J36" i="51" s="1"/>
  <c r="N118" i="51"/>
  <c r="N119" i="51" s="1"/>
  <c r="J121" i="51" l="1"/>
  <c r="L121" i="51" s="1"/>
  <c r="Z121" i="51" s="1"/>
  <c r="N120" i="51"/>
  <c r="T119" i="51"/>
  <c r="V119" i="51" s="1"/>
  <c r="X119" i="51" s="1"/>
  <c r="AB119" i="51" s="1"/>
  <c r="F38" i="51" s="1"/>
  <c r="J38" i="51" s="1"/>
  <c r="P38" i="51" s="1"/>
  <c r="R38" i="51" s="1"/>
  <c r="T118" i="51"/>
  <c r="V118" i="51" s="1"/>
  <c r="X118" i="51" s="1"/>
  <c r="AB118" i="51" s="1"/>
  <c r="F37" i="51" s="1"/>
  <c r="J37" i="51" s="1"/>
  <c r="S38" i="51" l="1"/>
  <c r="H45" i="41"/>
  <c r="N121" i="51"/>
  <c r="T121" i="51" s="1"/>
  <c r="X121" i="51" s="1"/>
  <c r="AB121" i="51" s="1"/>
  <c r="F40" i="51" s="1"/>
  <c r="J40" i="51" s="1"/>
  <c r="P40" i="51" s="1"/>
  <c r="R40" i="51" s="1"/>
  <c r="T120" i="51"/>
  <c r="V120" i="51" s="1"/>
  <c r="X120" i="51" s="1"/>
  <c r="AB120" i="51" s="1"/>
  <c r="F39" i="51" s="1"/>
  <c r="J39" i="51" s="1"/>
  <c r="P39" i="51" s="1"/>
  <c r="R39" i="51" s="1"/>
  <c r="S40" i="51" l="1"/>
  <c r="H47" i="41"/>
  <c r="S39" i="51"/>
  <c r="H46" i="41"/>
  <c r="H81" i="21"/>
  <c r="B5" i="49" l="1"/>
  <c r="C22" i="49"/>
  <c r="B113" i="21" l="1"/>
  <c r="C6" i="49" l="1"/>
  <c r="H89" i="21" l="1"/>
  <c r="H87" i="21"/>
  <c r="H85" i="21"/>
  <c r="H83" i="21"/>
  <c r="C31" i="49" l="1"/>
  <c r="C29" i="49"/>
  <c r="C28" i="49"/>
  <c r="C27" i="49"/>
  <c r="C24" i="49"/>
  <c r="C21" i="49"/>
  <c r="C20" i="49"/>
  <c r="C38" i="49"/>
  <c r="C36" i="49"/>
  <c r="C35" i="49"/>
  <c r="C34" i="49"/>
  <c r="C10" i="49"/>
  <c r="Q15" i="41" s="1"/>
  <c r="C8" i="49"/>
  <c r="C7" i="49"/>
  <c r="C13" i="49"/>
  <c r="C17" i="49"/>
  <c r="C14" i="49"/>
  <c r="C15" i="49"/>
  <c r="F37" i="49"/>
  <c r="B6" i="49"/>
  <c r="B7" i="49"/>
  <c r="Q12" i="41" s="1"/>
  <c r="B8" i="49"/>
  <c r="B9" i="49"/>
  <c r="Q14" i="41" s="1"/>
  <c r="B10" i="49"/>
  <c r="B11" i="49"/>
  <c r="B12" i="49"/>
  <c r="B13" i="49"/>
  <c r="B14" i="49"/>
  <c r="D14" i="49" s="1"/>
  <c r="B15" i="49"/>
  <c r="D15" i="49" s="1"/>
  <c r="B16" i="49"/>
  <c r="D16" i="49" s="1"/>
  <c r="B17" i="49"/>
  <c r="D17" i="49" s="1"/>
  <c r="B18" i="49"/>
  <c r="D18" i="49" s="1"/>
  <c r="B19" i="49"/>
  <c r="D19" i="49" s="1"/>
  <c r="B20" i="49"/>
  <c r="D20" i="49" s="1"/>
  <c r="B21" i="49"/>
  <c r="B22" i="49"/>
  <c r="D22" i="49" s="1"/>
  <c r="B23" i="49"/>
  <c r="D23" i="49" s="1"/>
  <c r="F23" i="49" s="1"/>
  <c r="B24" i="49"/>
  <c r="D24" i="49" s="1"/>
  <c r="F24" i="49" s="1"/>
  <c r="B25" i="49"/>
  <c r="D25" i="49" s="1"/>
  <c r="F25" i="49" s="1"/>
  <c r="H25" i="27" s="1"/>
  <c r="Q30" i="41" s="1"/>
  <c r="B26" i="49"/>
  <c r="D26" i="49" s="1"/>
  <c r="F26" i="49" s="1"/>
  <c r="B27" i="49"/>
  <c r="D27" i="49" s="1"/>
  <c r="B28" i="49"/>
  <c r="D28" i="49" s="1"/>
  <c r="B29" i="49"/>
  <c r="D29" i="49" s="1"/>
  <c r="B30" i="49"/>
  <c r="D30" i="49" s="1"/>
  <c r="B31" i="49"/>
  <c r="D31" i="49" s="1"/>
  <c r="B32" i="49"/>
  <c r="D32" i="49" s="1"/>
  <c r="B33" i="49"/>
  <c r="D33" i="49" s="1"/>
  <c r="B34" i="49"/>
  <c r="D34" i="49" s="1"/>
  <c r="B35" i="49"/>
  <c r="D35" i="49" s="1"/>
  <c r="F35" i="49" s="1"/>
  <c r="B36" i="49"/>
  <c r="D36" i="49" s="1"/>
  <c r="F36" i="49" s="1"/>
  <c r="B37" i="49"/>
  <c r="D37" i="49" s="1"/>
  <c r="B38" i="49"/>
  <c r="D38" i="49" s="1"/>
  <c r="F38" i="49" s="1"/>
  <c r="B42" i="49"/>
  <c r="D42" i="49" s="1"/>
  <c r="A6" i="49"/>
  <c r="A7" i="49" s="1"/>
  <c r="A8" i="49" s="1"/>
  <c r="A9" i="49" s="1"/>
  <c r="A10" i="49" s="1"/>
  <c r="A11" i="49" s="1"/>
  <c r="A12" i="49" s="1"/>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42" i="49" s="1"/>
  <c r="C4" i="27"/>
  <c r="H37" i="27" l="1"/>
  <c r="Q42" i="41" s="1"/>
  <c r="H23" i="27"/>
  <c r="Q28" i="41" s="1"/>
  <c r="H38" i="27"/>
  <c r="Q43" i="41" s="1"/>
  <c r="H35" i="27"/>
  <c r="Q40" i="41" s="1"/>
  <c r="H26" i="27"/>
  <c r="Q31" i="41" s="1"/>
  <c r="H24" i="27"/>
  <c r="Q29" i="41" s="1"/>
  <c r="H36" i="27"/>
  <c r="Q41" i="41" s="1"/>
  <c r="D21" i="49"/>
  <c r="F21" i="49" s="1"/>
  <c r="F32" i="49"/>
  <c r="F20" i="49"/>
  <c r="Q13" i="41"/>
  <c r="F29" i="49"/>
  <c r="F17" i="49"/>
  <c r="F42" i="49"/>
  <c r="H42" i="27" s="1"/>
  <c r="F31" i="49"/>
  <c r="F19" i="49"/>
  <c r="F30" i="49"/>
  <c r="F18" i="49"/>
  <c r="F28" i="49"/>
  <c r="F16" i="49"/>
  <c r="F27" i="49"/>
  <c r="F15" i="49"/>
  <c r="F14" i="49"/>
  <c r="F34" i="49"/>
  <c r="F22" i="49"/>
  <c r="F33" i="49"/>
  <c r="H13" i="27" l="1"/>
  <c r="Q18" i="41" s="1"/>
  <c r="H31" i="27"/>
  <c r="Q36" i="41" s="1"/>
  <c r="H27" i="27"/>
  <c r="Q32" i="41" s="1"/>
  <c r="H15" i="27"/>
  <c r="Q20" i="41" s="1"/>
  <c r="H29" i="27"/>
  <c r="Q34" i="41" s="1"/>
  <c r="H16" i="27"/>
  <c r="Q21" i="41" s="1"/>
  <c r="H28" i="27"/>
  <c r="Q33" i="41" s="1"/>
  <c r="H14" i="27"/>
  <c r="Q19" i="41" s="1"/>
  <c r="H21" i="27"/>
  <c r="Q26" i="41" s="1"/>
  <c r="H33" i="27"/>
  <c r="Q38" i="41" s="1"/>
  <c r="H18" i="27"/>
  <c r="Q23" i="41" s="1"/>
  <c r="H20" i="27"/>
  <c r="Q25" i="41" s="1"/>
  <c r="H19" i="27"/>
  <c r="Q24" i="41" s="1"/>
  <c r="H17" i="27"/>
  <c r="Q22" i="41" s="1"/>
  <c r="H22" i="27"/>
  <c r="Q27" i="41" s="1"/>
  <c r="H34" i="27"/>
  <c r="Q39" i="41" s="1"/>
  <c r="H30" i="27"/>
  <c r="Q35" i="41" s="1"/>
  <c r="H32" i="27"/>
  <c r="Q37" i="41" s="1"/>
  <c r="H12" i="27"/>
  <c r="Q17" i="41" s="1"/>
  <c r="I39" i="27"/>
  <c r="B45" i="41"/>
  <c r="I40" i="27"/>
  <c r="I42" i="27"/>
  <c r="C14" i="41"/>
  <c r="C15" i="41"/>
  <c r="A37" i="5"/>
  <c r="A38" i="5" s="1"/>
  <c r="B37" i="5"/>
  <c r="B38" i="5" s="1"/>
  <c r="B39" i="5" s="1"/>
  <c r="B40" i="5" s="1"/>
  <c r="B41" i="5" s="1"/>
  <c r="B42" i="5" s="1"/>
  <c r="B43" i="5" s="1"/>
  <c r="C37" i="5"/>
  <c r="H11" i="27" l="1"/>
  <c r="Q16" i="41" s="1"/>
  <c r="H43" i="27"/>
  <c r="C12" i="41"/>
  <c r="C13" i="41"/>
  <c r="A39" i="5"/>
  <c r="C38" i="5"/>
  <c r="A40" i="5" l="1"/>
  <c r="C39" i="5"/>
  <c r="C40" i="5" l="1"/>
  <c r="A41" i="5"/>
  <c r="C41" i="5" l="1"/>
  <c r="A42" i="5"/>
  <c r="C42" i="5" l="1"/>
  <c r="A43" i="5"/>
  <c r="C43" i="5" s="1"/>
  <c r="E5" i="5" l="1"/>
  <c r="E6" i="5" s="1"/>
  <c r="E7" i="5" s="1"/>
  <c r="E8" i="5" s="1"/>
  <c r="E9" i="5" s="1"/>
  <c r="E10" i="5" s="1"/>
  <c r="E11" i="5" s="1"/>
  <c r="E12" i="5" s="1"/>
  <c r="E13" i="5" s="1"/>
  <c r="E14" i="5" s="1"/>
  <c r="E15" i="5" s="1"/>
  <c r="E16" i="5" s="1"/>
  <c r="E17" i="5" s="1"/>
  <c r="E18" i="5" s="1"/>
  <c r="E19" i="5" s="1"/>
  <c r="E20" i="5" s="1"/>
  <c r="E21" i="5" s="1"/>
  <c r="C47" i="47"/>
  <c r="C46" i="47"/>
  <c r="C45" i="47"/>
  <c r="C44" i="47"/>
  <c r="B43" i="47"/>
  <c r="C43" i="47" s="1"/>
  <c r="B42" i="47"/>
  <c r="C42" i="47" s="1"/>
  <c r="H36" i="47" l="1"/>
  <c r="H37" i="47"/>
  <c r="G20" i="27"/>
  <c r="P25" i="41" s="1"/>
  <c r="R25" i="41" s="1"/>
  <c r="S25" i="41" s="1"/>
  <c r="B25" i="41" s="1"/>
  <c r="G21" i="27"/>
  <c r="P26" i="41" s="1"/>
  <c r="R26" i="41" s="1"/>
  <c r="S26" i="41" s="1"/>
  <c r="B26" i="41" s="1"/>
  <c r="G22" i="27"/>
  <c r="G23" i="27"/>
  <c r="P28" i="41" s="1"/>
  <c r="R28" i="41" s="1"/>
  <c r="S28" i="41" s="1"/>
  <c r="B28" i="41" s="1"/>
  <c r="G24" i="27"/>
  <c r="P29" i="41" s="1"/>
  <c r="R29" i="41" s="1"/>
  <c r="S29" i="41" s="1"/>
  <c r="B29" i="41" s="1"/>
  <c r="G25" i="27"/>
  <c r="P30" i="41" s="1"/>
  <c r="R30" i="41" s="1"/>
  <c r="S30" i="41" s="1"/>
  <c r="B30" i="41" s="1"/>
  <c r="G26" i="27"/>
  <c r="G27" i="27"/>
  <c r="P32" i="41" s="1"/>
  <c r="R32" i="41" s="1"/>
  <c r="S32" i="41" s="1"/>
  <c r="B32" i="41" s="1"/>
  <c r="G28" i="27"/>
  <c r="P33" i="41" s="1"/>
  <c r="R33" i="41" s="1"/>
  <c r="S33" i="41" s="1"/>
  <c r="B33" i="41" s="1"/>
  <c r="G29" i="27"/>
  <c r="G30" i="27"/>
  <c r="G37" i="27"/>
  <c r="P42" i="41" s="1"/>
  <c r="R42" i="41" s="1"/>
  <c r="S42" i="41" s="1"/>
  <c r="B42" i="41" s="1"/>
  <c r="G38" i="27"/>
  <c r="P43" i="41" s="1"/>
  <c r="R43" i="41" s="1"/>
  <c r="S43" i="41" s="1"/>
  <c r="B43" i="41" s="1"/>
  <c r="B44" i="41"/>
  <c r="I37" i="47" l="1"/>
  <c r="J47" i="41"/>
  <c r="J46" i="41"/>
  <c r="I36" i="47"/>
  <c r="I30" i="27"/>
  <c r="P35" i="41"/>
  <c r="R35" i="41" s="1"/>
  <c r="S35" i="41" s="1"/>
  <c r="B35" i="41" s="1"/>
  <c r="I29" i="27"/>
  <c r="P34" i="41"/>
  <c r="R34" i="41" s="1"/>
  <c r="S34" i="41" s="1"/>
  <c r="B34" i="41" s="1"/>
  <c r="I22" i="27"/>
  <c r="P27" i="41"/>
  <c r="R27" i="41" s="1"/>
  <c r="S27" i="41" s="1"/>
  <c r="B27" i="41" s="1"/>
  <c r="I26" i="27"/>
  <c r="P31" i="41"/>
  <c r="R31" i="41" s="1"/>
  <c r="S31" i="41" s="1"/>
  <c r="B31" i="41" s="1"/>
  <c r="I23" i="27"/>
  <c r="I38" i="27"/>
  <c r="I37" i="27"/>
  <c r="I21" i="27"/>
  <c r="I24" i="27"/>
  <c r="I28" i="27"/>
  <c r="I27" i="27"/>
  <c r="I20" i="27"/>
  <c r="I25" i="27"/>
  <c r="A4" i="5" l="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l="1"/>
  <c r="C26" i="5" l="1"/>
  <c r="A27" i="5"/>
  <c r="C27" i="5" l="1"/>
  <c r="A28" i="5"/>
  <c r="C28" i="5" l="1"/>
  <c r="A29" i="5"/>
  <c r="D3" i="12"/>
  <c r="B3" i="12"/>
  <c r="A30" i="5" l="1"/>
  <c r="C29" i="5"/>
  <c r="O13" i="41"/>
  <c r="O14" i="41" s="1"/>
  <c r="O15" i="41" s="1"/>
  <c r="O16" i="41" s="1"/>
  <c r="O17" i="41" s="1"/>
  <c r="O18" i="41" s="1"/>
  <c r="O19" i="41" s="1"/>
  <c r="O20" i="41" s="1"/>
  <c r="O21" i="41" s="1"/>
  <c r="O22" i="41" s="1"/>
  <c r="G13" i="41"/>
  <c r="G14" i="41" s="1"/>
  <c r="G15" i="41" s="1"/>
  <c r="G16" i="41" s="1"/>
  <c r="G17" i="41" s="1"/>
  <c r="G18" i="41" s="1"/>
  <c r="G19" i="41" s="1"/>
  <c r="G20" i="41" s="1"/>
  <c r="G21" i="41" s="1"/>
  <c r="G22" i="41" s="1"/>
  <c r="A13" i="41"/>
  <c r="A14" i="41" s="1"/>
  <c r="A15" i="41" s="1"/>
  <c r="A16" i="41" s="1"/>
  <c r="A17" i="41" s="1"/>
  <c r="A18" i="41" s="1"/>
  <c r="A19" i="41" s="1"/>
  <c r="A20" i="41" s="1"/>
  <c r="A21" i="41" s="1"/>
  <c r="A22" i="41" s="1"/>
  <c r="C30" i="5" l="1"/>
  <c r="A31" i="5"/>
  <c r="A32" i="5" s="1"/>
  <c r="A33" i="5" s="1"/>
  <c r="G23" i="41"/>
  <c r="G24" i="41" s="1"/>
  <c r="G25" i="41" s="1"/>
  <c r="G26" i="41" s="1"/>
  <c r="G27" i="41" s="1"/>
  <c r="G28" i="41" s="1"/>
  <c r="G29" i="41" s="1"/>
  <c r="G30" i="41" s="1"/>
  <c r="G31" i="41" s="1"/>
  <c r="G32" i="41" s="1"/>
  <c r="G33" i="41" s="1"/>
  <c r="G34" i="41" s="1"/>
  <c r="G35" i="41" s="1"/>
  <c r="G36" i="41" s="1"/>
  <c r="G37" i="41" s="1"/>
  <c r="G38" i="41" s="1"/>
  <c r="G39" i="41" s="1"/>
  <c r="G40" i="41" s="1"/>
  <c r="G41" i="41" s="1"/>
  <c r="O23" i="41"/>
  <c r="O24" i="41" s="1"/>
  <c r="O25" i="41" s="1"/>
  <c r="O26" i="41" s="1"/>
  <c r="O27" i="41" s="1"/>
  <c r="O28" i="41" s="1"/>
  <c r="O29" i="41" s="1"/>
  <c r="O30" i="41" s="1"/>
  <c r="O31" i="41" s="1"/>
  <c r="O32" i="41" s="1"/>
  <c r="O33" i="41" s="1"/>
  <c r="O34" i="41" s="1"/>
  <c r="O35" i="41" s="1"/>
  <c r="O36" i="41" s="1"/>
  <c r="O37" i="41" s="1"/>
  <c r="O38" i="41" s="1"/>
  <c r="O39" i="41" s="1"/>
  <c r="O40" i="41" s="1"/>
  <c r="O41" i="41" s="1"/>
  <c r="A23" i="41"/>
  <c r="A24" i="41" s="1"/>
  <c r="A25" i="41" s="1"/>
  <c r="A26" i="41" s="1"/>
  <c r="A27" i="41" s="1"/>
  <c r="A28" i="41" s="1"/>
  <c r="A29" i="41" s="1"/>
  <c r="A30" i="41" s="1"/>
  <c r="A31" i="41" s="1"/>
  <c r="A32" i="41" s="1"/>
  <c r="A33" i="41" s="1"/>
  <c r="A34" i="41" s="1"/>
  <c r="A35" i="41" s="1"/>
  <c r="A36" i="41" s="1"/>
  <c r="A37" i="41" s="1"/>
  <c r="A38" i="41" s="1"/>
  <c r="A39" i="41" s="1"/>
  <c r="A40" i="41" s="1"/>
  <c r="A41" i="41" s="1"/>
  <c r="A11" i="21"/>
  <c r="A12" i="21" s="1"/>
  <c r="A13" i="21" s="1"/>
  <c r="A14" i="21" s="1"/>
  <c r="A15" i="21" s="1"/>
  <c r="A16" i="21" s="1"/>
  <c r="A17" i="21" s="1"/>
  <c r="A18" i="21" s="1"/>
  <c r="A19" i="21" s="1"/>
  <c r="A20" i="21" s="1"/>
  <c r="A21" i="21" s="1"/>
  <c r="A22" i="21" s="1"/>
  <c r="A23" i="21" s="1"/>
  <c r="A24" i="21" s="1"/>
  <c r="A25" i="21" s="1"/>
  <c r="A26" i="21" s="1"/>
  <c r="A27" i="21" s="1"/>
  <c r="A28" i="21" s="1"/>
  <c r="A29" i="21" s="1"/>
  <c r="O42" i="41" l="1"/>
  <c r="O43" i="41" s="1"/>
  <c r="O44" i="41" s="1"/>
  <c r="O45" i="41" s="1"/>
  <c r="O46" i="41" s="1"/>
  <c r="O47" i="41" s="1"/>
  <c r="G42" i="41"/>
  <c r="G43" i="41" s="1"/>
  <c r="G44" i="41" s="1"/>
  <c r="G45" i="41" s="1"/>
  <c r="G46" i="41" s="1"/>
  <c r="G47" i="41" s="1"/>
  <c r="A42" i="41"/>
  <c r="A43" i="41" s="1"/>
  <c r="A44" i="41" s="1"/>
  <c r="A45" i="41" s="1"/>
  <c r="A46" i="41" s="1"/>
  <c r="A47" i="41" s="1"/>
  <c r="C33" i="5"/>
  <c r="A34" i="5"/>
  <c r="C34" i="5" l="1"/>
  <c r="A35" i="5"/>
  <c r="C35" i="5" l="1"/>
  <c r="A36" i="5"/>
  <c r="C36" i="5" l="1"/>
  <c r="A30" i="21" l="1"/>
  <c r="A31" i="21" l="1"/>
  <c r="A32" i="21" l="1"/>
  <c r="A33" i="21" l="1"/>
  <c r="A34" i="21" l="1"/>
  <c r="A35" i="21" l="1"/>
  <c r="A36" i="21" l="1"/>
  <c r="A37" i="21" s="1"/>
  <c r="A38" i="21" s="1"/>
  <c r="A39" i="21" s="1"/>
  <c r="N46" i="21" l="1"/>
  <c r="A47" i="21"/>
  <c r="N47" i="21" l="1"/>
  <c r="A48" i="21"/>
  <c r="N48" i="21" l="1"/>
  <c r="A49" i="21"/>
  <c r="N49" i="21" l="1"/>
  <c r="A50" i="21"/>
  <c r="N50" i="21" l="1"/>
  <c r="A51" i="21"/>
  <c r="A52" i="21" l="1"/>
  <c r="A53" i="21" s="1"/>
  <c r="N51" i="21"/>
  <c r="E6" i="27"/>
  <c r="E7" i="27" s="1"/>
  <c r="E8" i="27" s="1"/>
  <c r="E9" i="27" s="1"/>
  <c r="E10" i="27" s="1"/>
  <c r="E11" i="27" s="1"/>
  <c r="E12" i="27" s="1"/>
  <c r="E13" i="27" s="1"/>
  <c r="E14" i="27" s="1"/>
  <c r="E15" i="27" s="1"/>
  <c r="E16" i="27" s="1"/>
  <c r="E17" i="27" s="1"/>
  <c r="E18" i="27" s="1"/>
  <c r="E19" i="27" s="1"/>
  <c r="N52" i="21" l="1"/>
  <c r="E20" i="27"/>
  <c r="E21" i="27" s="1"/>
  <c r="E22" i="27" s="1"/>
  <c r="E23" i="27" s="1"/>
  <c r="E24" i="27" s="1"/>
  <c r="E25" i="27" s="1"/>
  <c r="E26" i="27" s="1"/>
  <c r="E27" i="27" s="1"/>
  <c r="E28" i="27" s="1"/>
  <c r="E29" i="27" s="1"/>
  <c r="E30" i="27" s="1"/>
  <c r="E31" i="27" s="1"/>
  <c r="E32" i="27" s="1"/>
  <c r="E33" i="27" s="1"/>
  <c r="E34" i="27" s="1"/>
  <c r="E35" i="27" s="1"/>
  <c r="E36" i="27" s="1"/>
  <c r="E37" i="27" s="1"/>
  <c r="E38" i="27" s="1"/>
  <c r="A54" i="21"/>
  <c r="N53" i="21"/>
  <c r="A55" i="21" l="1"/>
  <c r="N54" i="21"/>
  <c r="A56" i="21" l="1"/>
  <c r="N55" i="21"/>
  <c r="A57" i="21" l="1"/>
  <c r="N56" i="21"/>
  <c r="F43" i="27"/>
  <c r="A58" i="21" l="1"/>
  <c r="N57" i="21"/>
  <c r="A59" i="21" l="1"/>
  <c r="N58" i="21"/>
  <c r="G91" i="21"/>
  <c r="F91" i="21"/>
  <c r="E91" i="21"/>
  <c r="D91" i="21"/>
  <c r="C91" i="21"/>
  <c r="H91" i="21" l="1"/>
  <c r="B122" i="21" s="1"/>
  <c r="A60" i="21"/>
  <c r="N59" i="21"/>
  <c r="Q75" i="21" l="1"/>
  <c r="Q74" i="21"/>
  <c r="C72" i="21"/>
  <c r="C73" i="21"/>
  <c r="C71" i="21"/>
  <c r="I81" i="21"/>
  <c r="I89" i="21"/>
  <c r="C50" i="21"/>
  <c r="D50" i="21" s="1"/>
  <c r="E50" i="21" s="1"/>
  <c r="A61" i="21"/>
  <c r="N60" i="21"/>
  <c r="I91" i="21"/>
  <c r="D73" i="21" l="1"/>
  <c r="E73" i="21" s="1"/>
  <c r="F73" i="21"/>
  <c r="D72" i="21"/>
  <c r="E72" i="21" s="1"/>
  <c r="F72" i="21"/>
  <c r="F71" i="21"/>
  <c r="D71" i="21"/>
  <c r="E71" i="21" s="1"/>
  <c r="K50" i="21"/>
  <c r="C58" i="21"/>
  <c r="D58" i="21" s="1"/>
  <c r="E58" i="21" s="1"/>
  <c r="K58" i="21" s="1"/>
  <c r="C48" i="21"/>
  <c r="D48" i="21" s="1"/>
  <c r="E48" i="21" s="1"/>
  <c r="K48" i="21" s="1"/>
  <c r="C46" i="21"/>
  <c r="D46" i="21" s="1"/>
  <c r="E46" i="21" s="1"/>
  <c r="K46" i="21" s="1"/>
  <c r="C51" i="21"/>
  <c r="D51" i="21" s="1"/>
  <c r="E51" i="21" s="1"/>
  <c r="K51" i="21" s="1"/>
  <c r="C49" i="21"/>
  <c r="D49" i="21" s="1"/>
  <c r="E49" i="21" s="1"/>
  <c r="K49" i="21" s="1"/>
  <c r="C61" i="21"/>
  <c r="D61" i="21" s="1"/>
  <c r="E61" i="21" s="1"/>
  <c r="K61" i="21" s="1"/>
  <c r="C55" i="21"/>
  <c r="D55" i="21" s="1"/>
  <c r="E55" i="21" s="1"/>
  <c r="K55" i="21" s="1"/>
  <c r="C60" i="21"/>
  <c r="D60" i="21" s="1"/>
  <c r="E60" i="21" s="1"/>
  <c r="K60" i="21" s="1"/>
  <c r="C57" i="21"/>
  <c r="D57" i="21" s="1"/>
  <c r="E57" i="21" s="1"/>
  <c r="K57" i="21" s="1"/>
  <c r="C52" i="21"/>
  <c r="D52" i="21" s="1"/>
  <c r="E52" i="21" s="1"/>
  <c r="K52" i="21" s="1"/>
  <c r="C54" i="21"/>
  <c r="D54" i="21" s="1"/>
  <c r="E54" i="21" s="1"/>
  <c r="K54" i="21" s="1"/>
  <c r="C59" i="21"/>
  <c r="D59" i="21" s="1"/>
  <c r="E59" i="21" s="1"/>
  <c r="K59" i="21" s="1"/>
  <c r="C56" i="21"/>
  <c r="D56" i="21" s="1"/>
  <c r="E56" i="21" s="1"/>
  <c r="K56" i="21" s="1"/>
  <c r="C53" i="21"/>
  <c r="D53" i="21" s="1"/>
  <c r="E53" i="21" s="1"/>
  <c r="K53" i="21" s="1"/>
  <c r="A62" i="21"/>
  <c r="N61" i="21"/>
  <c r="C47" i="21"/>
  <c r="D47" i="21" s="1"/>
  <c r="E47" i="21" s="1"/>
  <c r="K47" i="21" s="1"/>
  <c r="G72" i="21" l="1"/>
  <c r="K72" i="21"/>
  <c r="G71" i="21"/>
  <c r="K71" i="21"/>
  <c r="K73" i="21"/>
  <c r="G73" i="21"/>
  <c r="C62" i="21"/>
  <c r="D62" i="21" s="1"/>
  <c r="E62" i="21" s="1"/>
  <c r="K62" i="21" s="1"/>
  <c r="N62" i="21"/>
  <c r="A63" i="21"/>
  <c r="E42" i="27"/>
  <c r="C63" i="21" l="1"/>
  <c r="D63" i="21" s="1"/>
  <c r="E63" i="21" s="1"/>
  <c r="K63" i="21" s="1"/>
  <c r="N63" i="21"/>
  <c r="A64" i="21"/>
  <c r="I85" i="21"/>
  <c r="I83" i="21"/>
  <c r="I87" i="21"/>
  <c r="I73" i="21" l="1"/>
  <c r="I71" i="21"/>
  <c r="I72" i="21"/>
  <c r="J73" i="21"/>
  <c r="J72" i="21"/>
  <c r="J71" i="21"/>
  <c r="H73" i="21"/>
  <c r="L73" i="21" s="1"/>
  <c r="B37" i="21" s="1"/>
  <c r="H71" i="21"/>
  <c r="L71" i="21" s="1"/>
  <c r="B35" i="21" s="1"/>
  <c r="H72" i="21"/>
  <c r="C64" i="21"/>
  <c r="F59" i="21"/>
  <c r="F62" i="21"/>
  <c r="F53" i="21"/>
  <c r="F55" i="21"/>
  <c r="F56" i="21"/>
  <c r="F61" i="21"/>
  <c r="F63" i="21"/>
  <c r="F57" i="21"/>
  <c r="F54" i="21"/>
  <c r="F58" i="21"/>
  <c r="F60" i="21"/>
  <c r="G62" i="21"/>
  <c r="G60" i="21"/>
  <c r="G57" i="21"/>
  <c r="G55" i="21"/>
  <c r="G56" i="21"/>
  <c r="G58" i="21"/>
  <c r="G54" i="21"/>
  <c r="G53" i="21"/>
  <c r="G63" i="21"/>
  <c r="G59" i="21"/>
  <c r="G61" i="21"/>
  <c r="F52" i="21"/>
  <c r="G52" i="21"/>
  <c r="J58" i="21"/>
  <c r="J59" i="21"/>
  <c r="J62" i="21"/>
  <c r="J61" i="21"/>
  <c r="J54" i="21"/>
  <c r="J56" i="21"/>
  <c r="J60" i="21"/>
  <c r="J55" i="21"/>
  <c r="J63" i="21"/>
  <c r="J57" i="21"/>
  <c r="J53" i="21"/>
  <c r="J52" i="21"/>
  <c r="H53" i="21"/>
  <c r="H55" i="21"/>
  <c r="H61" i="21"/>
  <c r="H60" i="21"/>
  <c r="H54" i="21"/>
  <c r="H63" i="21"/>
  <c r="H56" i="21"/>
  <c r="H59" i="21"/>
  <c r="H58" i="21"/>
  <c r="H62" i="21"/>
  <c r="H57" i="21"/>
  <c r="H52" i="21"/>
  <c r="I56" i="21"/>
  <c r="I61" i="21"/>
  <c r="I55" i="21"/>
  <c r="I63" i="21"/>
  <c r="I53" i="21"/>
  <c r="I59" i="21"/>
  <c r="I62" i="21"/>
  <c r="I58" i="21"/>
  <c r="I60" i="21"/>
  <c r="I57" i="21"/>
  <c r="I54" i="21"/>
  <c r="I52" i="21"/>
  <c r="A65" i="21"/>
  <c r="N64" i="21"/>
  <c r="I51" i="21"/>
  <c r="F51" i="21"/>
  <c r="G51" i="21"/>
  <c r="H51" i="21"/>
  <c r="J51" i="21"/>
  <c r="H47" i="21"/>
  <c r="H46" i="21"/>
  <c r="H48" i="21"/>
  <c r="H49" i="21"/>
  <c r="H50" i="21"/>
  <c r="I46" i="21"/>
  <c r="I47" i="21"/>
  <c r="I48" i="21"/>
  <c r="I49" i="21"/>
  <c r="I50" i="21"/>
  <c r="F47" i="21"/>
  <c r="F46" i="21"/>
  <c r="G47" i="21"/>
  <c r="G46" i="21"/>
  <c r="F48" i="21"/>
  <c r="G48" i="21"/>
  <c r="F49" i="21"/>
  <c r="F50" i="21"/>
  <c r="G49" i="21"/>
  <c r="G50" i="21"/>
  <c r="J46" i="21"/>
  <c r="J47" i="21"/>
  <c r="J48" i="21"/>
  <c r="J49" i="21"/>
  <c r="J50" i="21"/>
  <c r="L72" i="21" l="1"/>
  <c r="B36" i="21" s="1"/>
  <c r="D64" i="21"/>
  <c r="E64" i="21" s="1"/>
  <c r="F64" i="21"/>
  <c r="C65" i="21"/>
  <c r="L54" i="21"/>
  <c r="B18" i="21" s="1"/>
  <c r="L63" i="21"/>
  <c r="B27" i="21" s="1"/>
  <c r="L62" i="21"/>
  <c r="B26" i="21" s="1"/>
  <c r="L55" i="21"/>
  <c r="B19" i="21" s="1"/>
  <c r="L58" i="21"/>
  <c r="B22" i="21" s="1"/>
  <c r="L59" i="21"/>
  <c r="B23" i="21" s="1"/>
  <c r="L61" i="21"/>
  <c r="B25" i="21" s="1"/>
  <c r="L56" i="21"/>
  <c r="B20" i="21" s="1"/>
  <c r="L60" i="21"/>
  <c r="B24" i="21" s="1"/>
  <c r="L57" i="21"/>
  <c r="B21" i="21" s="1"/>
  <c r="L52" i="21"/>
  <c r="B16" i="21" s="1"/>
  <c r="L53" i="21"/>
  <c r="B17" i="21" s="1"/>
  <c r="A66" i="21"/>
  <c r="N65" i="21"/>
  <c r="L51" i="21"/>
  <c r="B15" i="21" s="1"/>
  <c r="L48" i="21"/>
  <c r="B12" i="21" s="1"/>
  <c r="L46" i="21"/>
  <c r="B10" i="21" s="1"/>
  <c r="L50" i="21"/>
  <c r="B14" i="21" s="1"/>
  <c r="L47" i="21"/>
  <c r="B11" i="21" s="1"/>
  <c r="L49" i="21"/>
  <c r="B13" i="21" s="1"/>
  <c r="B4" i="5"/>
  <c r="B5" i="5" s="1"/>
  <c r="B6" i="5" s="1"/>
  <c r="B7" i="5" s="1"/>
  <c r="B8" i="5" s="1"/>
  <c r="B9" i="5" s="1"/>
  <c r="B10" i="5" s="1"/>
  <c r="B11" i="5" s="1"/>
  <c r="B12" i="5" s="1"/>
  <c r="B13" i="5" s="1"/>
  <c r="B14" i="5" s="1"/>
  <c r="B15" i="5" s="1"/>
  <c r="B16" i="5" s="1"/>
  <c r="B17" i="5" s="1"/>
  <c r="B18" i="5" s="1"/>
  <c r="B19" i="5" s="1"/>
  <c r="B20" i="5" s="1"/>
  <c r="B21" i="5" s="1"/>
  <c r="B22" i="5" s="1"/>
  <c r="B23" i="5" s="1"/>
  <c r="B24" i="5" s="1"/>
  <c r="B25" i="5" s="1"/>
  <c r="C44" i="5"/>
  <c r="C3" i="5" s="1"/>
  <c r="D65" i="21" l="1"/>
  <c r="E65" i="21" s="1"/>
  <c r="F65" i="21"/>
  <c r="C66" i="21"/>
  <c r="K64" i="21"/>
  <c r="J64" i="21"/>
  <c r="H64" i="21"/>
  <c r="I64" i="21"/>
  <c r="G64" i="21"/>
  <c r="A67" i="21"/>
  <c r="N66" i="21"/>
  <c r="B26" i="5"/>
  <c r="B27" i="5" s="1"/>
  <c r="B28" i="5" s="1"/>
  <c r="B29" i="5" s="1"/>
  <c r="B30" i="5" s="1"/>
  <c r="B31" i="5" s="1"/>
  <c r="B32" i="5" s="1"/>
  <c r="B33" i="5" s="1"/>
  <c r="B34" i="5" s="1"/>
  <c r="B35" i="5" s="1"/>
  <c r="B36" i="5" s="1"/>
  <c r="C4" i="5"/>
  <c r="C14" i="5"/>
  <c r="C13" i="5"/>
  <c r="C19" i="5"/>
  <c r="C22" i="5"/>
  <c r="C23" i="5"/>
  <c r="C6" i="5"/>
  <c r="C32" i="5"/>
  <c r="C31" i="5"/>
  <c r="C25" i="5"/>
  <c r="C8" i="5"/>
  <c r="C18" i="5"/>
  <c r="C16" i="5"/>
  <c r="C7" i="5"/>
  <c r="C10" i="5"/>
  <c r="C21" i="5"/>
  <c r="C12" i="5"/>
  <c r="C24" i="5"/>
  <c r="C15" i="5"/>
  <c r="C5" i="5"/>
  <c r="C20" i="5"/>
  <c r="C11" i="5"/>
  <c r="C9" i="5"/>
  <c r="C17" i="5"/>
  <c r="L64" i="21" l="1"/>
  <c r="B28" i="21" s="1"/>
  <c r="F66" i="21"/>
  <c r="D66" i="21"/>
  <c r="E66" i="21" s="1"/>
  <c r="H66" i="21" s="1"/>
  <c r="C67" i="21"/>
  <c r="K65" i="21"/>
  <c r="H65" i="21"/>
  <c r="G65" i="21"/>
  <c r="I65" i="21"/>
  <c r="J65" i="21"/>
  <c r="N67" i="21"/>
  <c r="A68" i="21"/>
  <c r="K66" i="21" l="1"/>
  <c r="J66" i="21"/>
  <c r="I66" i="21"/>
  <c r="G66" i="21"/>
  <c r="D67" i="21"/>
  <c r="E67" i="21" s="1"/>
  <c r="K67" i="21" s="1"/>
  <c r="F67" i="21"/>
  <c r="L65" i="21"/>
  <c r="B29" i="21" s="1"/>
  <c r="C68" i="21"/>
  <c r="A69" i="21"/>
  <c r="N68" i="21"/>
  <c r="G7" i="27"/>
  <c r="P12" i="41" s="1"/>
  <c r="R12" i="41" s="1"/>
  <c r="S12" i="41" s="1"/>
  <c r="B12" i="41" s="1"/>
  <c r="D12" i="41" s="1"/>
  <c r="G15" i="27"/>
  <c r="P20" i="41" s="1"/>
  <c r="R20" i="41" s="1"/>
  <c r="S20" i="41" s="1"/>
  <c r="B20" i="41" s="1"/>
  <c r="G33" i="27"/>
  <c r="P38" i="41" s="1"/>
  <c r="R38" i="41" s="1"/>
  <c r="S38" i="41" s="1"/>
  <c r="B38" i="41" s="1"/>
  <c r="G9" i="27"/>
  <c r="P14" i="41" s="1"/>
  <c r="R14" i="41" s="1"/>
  <c r="S14" i="41" s="1"/>
  <c r="B14" i="41" s="1"/>
  <c r="D14" i="41" s="1"/>
  <c r="G35" i="27"/>
  <c r="P40" i="41" s="1"/>
  <c r="R40" i="41" s="1"/>
  <c r="S40" i="41" s="1"/>
  <c r="B40" i="41" s="1"/>
  <c r="G18" i="27"/>
  <c r="P23" i="41" s="1"/>
  <c r="R23" i="41" s="1"/>
  <c r="S23" i="41" s="1"/>
  <c r="B23" i="41" s="1"/>
  <c r="G36" i="27"/>
  <c r="P41" i="41" s="1"/>
  <c r="R41" i="41" s="1"/>
  <c r="S41" i="41" s="1"/>
  <c r="B41" i="41" s="1"/>
  <c r="G13" i="27"/>
  <c r="P18" i="41" s="1"/>
  <c r="R18" i="41" s="1"/>
  <c r="S18" i="41" s="1"/>
  <c r="B18" i="41" s="1"/>
  <c r="G8" i="27"/>
  <c r="P13" i="41" s="1"/>
  <c r="R13" i="41" s="1"/>
  <c r="S13" i="41" s="1"/>
  <c r="B13" i="41" s="1"/>
  <c r="D13" i="41" s="1"/>
  <c r="G16" i="27"/>
  <c r="P21" i="41" s="1"/>
  <c r="R21" i="41" s="1"/>
  <c r="S21" i="41" s="1"/>
  <c r="B21" i="41" s="1"/>
  <c r="G34" i="27"/>
  <c r="P39" i="41" s="1"/>
  <c r="R39" i="41" s="1"/>
  <c r="S39" i="41" s="1"/>
  <c r="B39" i="41" s="1"/>
  <c r="G19" i="27"/>
  <c r="G6" i="27"/>
  <c r="G17" i="27"/>
  <c r="P22" i="41" s="1"/>
  <c r="R22" i="41" s="1"/>
  <c r="S22" i="41" s="1"/>
  <c r="B22" i="41" s="1"/>
  <c r="G11" i="27"/>
  <c r="P16" i="41" s="1"/>
  <c r="R16" i="41" s="1"/>
  <c r="S16" i="41" s="1"/>
  <c r="B16" i="41" s="1"/>
  <c r="G10" i="27"/>
  <c r="P15" i="41" s="1"/>
  <c r="R15" i="41" s="1"/>
  <c r="S15" i="41" s="1"/>
  <c r="B15" i="41" s="1"/>
  <c r="D15" i="41" s="1"/>
  <c r="G31" i="27"/>
  <c r="P36" i="41" s="1"/>
  <c r="R36" i="41" s="1"/>
  <c r="S36" i="41" s="1"/>
  <c r="B36" i="41" s="1"/>
  <c r="G12" i="27"/>
  <c r="P17" i="41" s="1"/>
  <c r="R17" i="41" s="1"/>
  <c r="S17" i="41" s="1"/>
  <c r="B17" i="41" s="1"/>
  <c r="G32" i="27"/>
  <c r="P37" i="41" s="1"/>
  <c r="R37" i="41" s="1"/>
  <c r="S37" i="41" s="1"/>
  <c r="B37" i="41" s="1"/>
  <c r="G5" i="27"/>
  <c r="I5" i="27" s="1"/>
  <c r="G14" i="27"/>
  <c r="P19" i="41" s="1"/>
  <c r="R19" i="41" s="1"/>
  <c r="S19" i="41" s="1"/>
  <c r="B19" i="41" s="1"/>
  <c r="L66" i="21" l="1"/>
  <c r="B30" i="21" s="1"/>
  <c r="H67" i="21"/>
  <c r="J67" i="21"/>
  <c r="I67" i="21"/>
  <c r="G67" i="21"/>
  <c r="D68" i="21"/>
  <c r="E68" i="21" s="1"/>
  <c r="J68" i="21" s="1"/>
  <c r="F68" i="21"/>
  <c r="C69" i="21"/>
  <c r="I19" i="27"/>
  <c r="P24" i="41"/>
  <c r="R24" i="41" s="1"/>
  <c r="S24" i="41" s="1"/>
  <c r="B24" i="41" s="1"/>
  <c r="I10" i="27"/>
  <c r="I17" i="27"/>
  <c r="I36" i="27"/>
  <c r="I13" i="27"/>
  <c r="I7" i="27"/>
  <c r="I11" i="27"/>
  <c r="I14" i="27"/>
  <c r="I18" i="27"/>
  <c r="I35" i="27"/>
  <c r="I32" i="27"/>
  <c r="I34" i="27"/>
  <c r="I9" i="27"/>
  <c r="I12" i="27"/>
  <c r="I16" i="27"/>
  <c r="I33" i="27"/>
  <c r="I31" i="27"/>
  <c r="I8" i="27"/>
  <c r="I15" i="27"/>
  <c r="A70" i="21"/>
  <c r="A71" i="21" s="1"/>
  <c r="N69" i="21"/>
  <c r="I6" i="27"/>
  <c r="G43" i="27"/>
  <c r="B46" i="41" s="1"/>
  <c r="N71" i="21" l="1"/>
  <c r="A72" i="21"/>
  <c r="L67" i="21"/>
  <c r="B31" i="21" s="1"/>
  <c r="K68" i="21"/>
  <c r="G68" i="21"/>
  <c r="I68" i="21"/>
  <c r="H68" i="21"/>
  <c r="F69" i="21"/>
  <c r="D69" i="21"/>
  <c r="E69" i="21" s="1"/>
  <c r="J69" i="21" s="1"/>
  <c r="C70" i="21"/>
  <c r="N70" i="21"/>
  <c r="R48" i="41"/>
  <c r="I43" i="27"/>
  <c r="A73" i="21" l="1"/>
  <c r="N73" i="21" s="1"/>
  <c r="N72" i="21"/>
  <c r="L68" i="21"/>
  <c r="B32" i="21" s="1"/>
  <c r="K69" i="21"/>
  <c r="G69" i="21"/>
  <c r="F70" i="21"/>
  <c r="D70" i="21"/>
  <c r="E70" i="21" s="1"/>
  <c r="K70" i="21" s="1"/>
  <c r="I69" i="21"/>
  <c r="H69" i="21"/>
  <c r="S48" i="41"/>
  <c r="A74" i="21" l="1"/>
  <c r="A75" i="21" s="1"/>
  <c r="J70" i="21"/>
  <c r="G70" i="21"/>
  <c r="I70" i="21"/>
  <c r="L69" i="21"/>
  <c r="B33" i="21" s="1"/>
  <c r="H70" i="21"/>
  <c r="C74" i="21"/>
  <c r="E3" i="12"/>
  <c r="B48" i="41"/>
  <c r="N74" i="21" l="1"/>
  <c r="L70" i="21"/>
  <c r="B34" i="21" s="1"/>
  <c r="D74" i="21"/>
  <c r="E74" i="21" s="1"/>
  <c r="I74" i="21" s="1"/>
  <c r="F74" i="21"/>
  <c r="N75" i="21"/>
  <c r="C75" i="21"/>
  <c r="E13" i="41"/>
  <c r="E14" i="41" s="1"/>
  <c r="E15" i="41" s="1"/>
  <c r="K74" i="21" l="1"/>
  <c r="J74" i="21"/>
  <c r="G74" i="21"/>
  <c r="H74" i="21"/>
  <c r="D75" i="21"/>
  <c r="E75" i="21" s="1"/>
  <c r="F75" i="21"/>
  <c r="L74" i="21" l="1"/>
  <c r="B38" i="21" s="1"/>
  <c r="K75" i="21"/>
  <c r="J75" i="21"/>
  <c r="H75" i="21"/>
  <c r="G75" i="21"/>
  <c r="I75" i="21"/>
  <c r="L75" i="21" l="1"/>
  <c r="B39" i="21" s="1"/>
  <c r="L76" i="21" l="1"/>
  <c r="B40" i="21" s="1"/>
  <c r="R75" i="21" l="1"/>
  <c r="S75" i="21" s="1"/>
  <c r="T75" i="21"/>
  <c r="Y75" i="21" l="1"/>
  <c r="X75" i="21"/>
  <c r="U75" i="21"/>
  <c r="W75" i="21"/>
  <c r="V75" i="21"/>
  <c r="Z75" i="21" l="1"/>
  <c r="C39" i="21" s="1"/>
  <c r="D39" i="21" s="1"/>
  <c r="K47" i="41" s="1"/>
  <c r="L47" i="41" s="1"/>
  <c r="M47" i="41" s="1"/>
  <c r="E39" i="21" l="1"/>
  <c r="C47" i="41"/>
  <c r="D47" i="41" s="1"/>
  <c r="P62" i="21"/>
  <c r="P65" i="21"/>
  <c r="P61" i="21"/>
  <c r="P209" i="51" l="1"/>
  <c r="G209" i="51"/>
  <c r="P207" i="51"/>
  <c r="P199" i="51"/>
  <c r="P198" i="51"/>
  <c r="P204" i="51"/>
  <c r="P202" i="51"/>
  <c r="P206" i="51"/>
  <c r="P208" i="51"/>
  <c r="P60" i="21"/>
  <c r="P197" i="51"/>
  <c r="P63" i="21"/>
  <c r="P200" i="51"/>
  <c r="P64" i="21"/>
  <c r="P201" i="51"/>
  <c r="P66" i="21"/>
  <c r="P203" i="51"/>
  <c r="P205" i="51"/>
  <c r="P210" i="51"/>
  <c r="G73" i="51" l="1"/>
  <c r="M37" i="51"/>
  <c r="P59" i="21"/>
  <c r="P196" i="51"/>
  <c r="P183" i="51"/>
  <c r="P46" i="21"/>
  <c r="P186" i="51"/>
  <c r="P49" i="21"/>
  <c r="P57" i="21"/>
  <c r="P194" i="51"/>
  <c r="P50" i="21"/>
  <c r="P187" i="51"/>
  <c r="P54" i="21"/>
  <c r="P191" i="51"/>
  <c r="P53" i="21"/>
  <c r="P190" i="51"/>
  <c r="P184" i="51"/>
  <c r="P47" i="21"/>
  <c r="P51" i="21"/>
  <c r="P188" i="51"/>
  <c r="P55" i="21"/>
  <c r="P192" i="51"/>
  <c r="P56" i="21"/>
  <c r="P193" i="51"/>
  <c r="P52" i="21"/>
  <c r="P189" i="51"/>
  <c r="P48" i="21"/>
  <c r="P185" i="51"/>
  <c r="P58" i="21"/>
  <c r="P195" i="51"/>
  <c r="O48" i="21"/>
  <c r="Q183" i="51"/>
  <c r="O59" i="21"/>
  <c r="J202" i="51"/>
  <c r="O65" i="21"/>
  <c r="J193" i="51"/>
  <c r="O56" i="21"/>
  <c r="O50" i="21"/>
  <c r="O52" i="21"/>
  <c r="J188" i="51"/>
  <c r="O62" i="21"/>
  <c r="J184" i="51"/>
  <c r="G191" i="51"/>
  <c r="Q201" i="51"/>
  <c r="O64" i="21"/>
  <c r="O49" i="21"/>
  <c r="G207" i="51"/>
  <c r="G195" i="51"/>
  <c r="O58" i="21"/>
  <c r="J209" i="51"/>
  <c r="Q190" i="51"/>
  <c r="G206" i="51"/>
  <c r="G203" i="51"/>
  <c r="J200" i="51"/>
  <c r="O57" i="21"/>
  <c r="G198" i="51"/>
  <c r="O61" i="21"/>
  <c r="G55" i="51" l="1"/>
  <c r="M19" i="51"/>
  <c r="G62" i="51"/>
  <c r="M26" i="51"/>
  <c r="G70" i="51"/>
  <c r="M34" i="51"/>
  <c r="G71" i="51"/>
  <c r="M35" i="51"/>
  <c r="G67" i="51"/>
  <c r="M31" i="51"/>
  <c r="G59" i="51"/>
  <c r="M23" i="51"/>
  <c r="Q207" i="51"/>
  <c r="T207" i="51" s="1"/>
  <c r="Q198" i="51"/>
  <c r="Q61" i="21" s="1"/>
  <c r="O63" i="21"/>
  <c r="J204" i="51"/>
  <c r="Q203" i="51"/>
  <c r="O66" i="21"/>
  <c r="J183" i="51"/>
  <c r="G188" i="51"/>
  <c r="G193" i="51"/>
  <c r="J186" i="51"/>
  <c r="O47" i="21"/>
  <c r="G200" i="51"/>
  <c r="Q188" i="51"/>
  <c r="Q51" i="21" s="1"/>
  <c r="G183" i="51"/>
  <c r="G190" i="51"/>
  <c r="O46" i="21"/>
  <c r="G205" i="51"/>
  <c r="G189" i="51"/>
  <c r="R74" i="21"/>
  <c r="S74" i="21" s="1"/>
  <c r="T74" i="21"/>
  <c r="Q64" i="21"/>
  <c r="G199" i="51"/>
  <c r="Q199" i="51"/>
  <c r="J199" i="51"/>
  <c r="Q197" i="51"/>
  <c r="J197" i="51"/>
  <c r="H195" i="51"/>
  <c r="J198" i="51"/>
  <c r="H198" i="51"/>
  <c r="O53" i="21"/>
  <c r="O51" i="21"/>
  <c r="H206" i="51"/>
  <c r="Q185" i="51"/>
  <c r="J185" i="51"/>
  <c r="G185" i="51"/>
  <c r="Q192" i="51"/>
  <c r="G192" i="51"/>
  <c r="J205" i="51"/>
  <c r="Q205" i="51"/>
  <c r="J194" i="51"/>
  <c r="G194" i="51"/>
  <c r="Q53" i="21"/>
  <c r="J207" i="51"/>
  <c r="H207" i="51"/>
  <c r="Q210" i="51"/>
  <c r="Q73" i="21" s="1"/>
  <c r="Q204" i="51"/>
  <c r="G196" i="51"/>
  <c r="J196" i="51"/>
  <c r="Q200" i="51"/>
  <c r="G208" i="51"/>
  <c r="J192" i="51"/>
  <c r="Q195" i="51"/>
  <c r="J195" i="51"/>
  <c r="J208" i="51"/>
  <c r="Q208" i="51"/>
  <c r="Q71" i="21" s="1"/>
  <c r="Q206" i="51"/>
  <c r="Q194" i="51"/>
  <c r="J201" i="51"/>
  <c r="G201" i="51"/>
  <c r="Q191" i="51"/>
  <c r="H191" i="51"/>
  <c r="J203" i="51"/>
  <c r="H203" i="51"/>
  <c r="Q209" i="51"/>
  <c r="Q72" i="21" s="1"/>
  <c r="H209" i="51"/>
  <c r="Q186" i="51"/>
  <c r="G186" i="51"/>
  <c r="Q184" i="51"/>
  <c r="G184" i="51"/>
  <c r="J189" i="51"/>
  <c r="Q189" i="51"/>
  <c r="Q46" i="21"/>
  <c r="G204" i="51"/>
  <c r="G202" i="51"/>
  <c r="G197" i="51"/>
  <c r="Q196" i="51"/>
  <c r="Q193" i="51"/>
  <c r="T203" i="51"/>
  <c r="Q66" i="21"/>
  <c r="Q202" i="51"/>
  <c r="Q187" i="51"/>
  <c r="J187" i="51"/>
  <c r="G187" i="51"/>
  <c r="O54" i="21"/>
  <c r="O55" i="21"/>
  <c r="O60" i="21"/>
  <c r="J191" i="51"/>
  <c r="J206" i="51"/>
  <c r="J190" i="51"/>
  <c r="G61" i="51" l="1"/>
  <c r="M25" i="51"/>
  <c r="G53" i="51"/>
  <c r="M17" i="51"/>
  <c r="G66" i="51"/>
  <c r="M30" i="51"/>
  <c r="I71" i="51"/>
  <c r="K71" i="51" s="1"/>
  <c r="C32" i="47"/>
  <c r="T198" i="51"/>
  <c r="G63" i="51"/>
  <c r="M27" i="51"/>
  <c r="H183" i="51"/>
  <c r="G47" i="51"/>
  <c r="M11" i="51"/>
  <c r="F55" i="51"/>
  <c r="L19" i="51"/>
  <c r="H196" i="51"/>
  <c r="G60" i="51"/>
  <c r="M24" i="51"/>
  <c r="T201" i="51"/>
  <c r="G65" i="51"/>
  <c r="M29" i="51"/>
  <c r="F62" i="51"/>
  <c r="L26" i="51"/>
  <c r="M193" i="51"/>
  <c r="O21" i="51" s="1"/>
  <c r="Q21" i="51" s="1"/>
  <c r="G57" i="51"/>
  <c r="M21" i="51"/>
  <c r="H204" i="51"/>
  <c r="G68" i="51"/>
  <c r="M32" i="51"/>
  <c r="F71" i="51"/>
  <c r="L35" i="51"/>
  <c r="G49" i="51"/>
  <c r="M13" i="51"/>
  <c r="F59" i="51"/>
  <c r="L23" i="51"/>
  <c r="H193" i="51"/>
  <c r="G72" i="51"/>
  <c r="M36" i="51"/>
  <c r="F67" i="51"/>
  <c r="L31" i="51"/>
  <c r="M184" i="51"/>
  <c r="O12" i="51" s="1"/>
  <c r="Q12" i="51" s="1"/>
  <c r="G48" i="51"/>
  <c r="M12" i="51"/>
  <c r="G51" i="51"/>
  <c r="M15" i="51"/>
  <c r="G50" i="51"/>
  <c r="M14" i="51"/>
  <c r="G56" i="51"/>
  <c r="M20" i="51"/>
  <c r="H205" i="51"/>
  <c r="G69" i="51"/>
  <c r="M33" i="51"/>
  <c r="H188" i="51"/>
  <c r="G52" i="51"/>
  <c r="M16" i="51"/>
  <c r="F73" i="51"/>
  <c r="L37" i="51"/>
  <c r="G54" i="51"/>
  <c r="M18" i="51"/>
  <c r="I67" i="51"/>
  <c r="K67" i="51" s="1"/>
  <c r="C28" i="47"/>
  <c r="H194" i="51"/>
  <c r="G58" i="51"/>
  <c r="M22" i="51"/>
  <c r="F70" i="51"/>
  <c r="L34" i="51"/>
  <c r="G64" i="51"/>
  <c r="M28" i="51"/>
  <c r="M186" i="51"/>
  <c r="O14" i="51" s="1"/>
  <c r="Q14" i="51" s="1"/>
  <c r="T190" i="51"/>
  <c r="M200" i="51"/>
  <c r="O28" i="51" s="1"/>
  <c r="Q28" i="51" s="1"/>
  <c r="H200" i="51"/>
  <c r="H190" i="51"/>
  <c r="N193" i="51"/>
  <c r="N21" i="51" s="1"/>
  <c r="P21" i="51" s="1"/>
  <c r="M188" i="51"/>
  <c r="O16" i="51" s="1"/>
  <c r="Q16" i="51" s="1"/>
  <c r="Q70" i="21"/>
  <c r="R70" i="21" s="1"/>
  <c r="S70" i="21" s="1"/>
  <c r="T188" i="51"/>
  <c r="M183" i="51"/>
  <c r="O11" i="51" s="1"/>
  <c r="Q11" i="51" s="1"/>
  <c r="N184" i="51"/>
  <c r="N12" i="51" s="1"/>
  <c r="P12" i="51" s="1"/>
  <c r="H189" i="51"/>
  <c r="T183" i="51"/>
  <c r="Q56" i="21"/>
  <c r="T193" i="51"/>
  <c r="T61" i="21"/>
  <c r="R61" i="21"/>
  <c r="S61" i="21" s="1"/>
  <c r="Q59" i="21"/>
  <c r="T196" i="51"/>
  <c r="T186" i="51"/>
  <c r="Q49" i="21"/>
  <c r="Q67" i="21"/>
  <c r="T204" i="51"/>
  <c r="U190" i="51"/>
  <c r="T64" i="21"/>
  <c r="R64" i="21"/>
  <c r="S64" i="21" s="1"/>
  <c r="T46" i="21"/>
  <c r="R46" i="21"/>
  <c r="S46" i="21" s="1"/>
  <c r="H187" i="51"/>
  <c r="T191" i="51"/>
  <c r="Q54" i="21"/>
  <c r="M209" i="51"/>
  <c r="O37" i="51" s="1"/>
  <c r="Q37" i="51" s="1"/>
  <c r="H197" i="51"/>
  <c r="H186" i="51"/>
  <c r="T206" i="51"/>
  <c r="Q69" i="21"/>
  <c r="H192" i="51"/>
  <c r="M199" i="51"/>
  <c r="O27" i="51" s="1"/>
  <c r="Q27" i="51" s="1"/>
  <c r="M191" i="51"/>
  <c r="O19" i="51" s="1"/>
  <c r="Q19" i="51" s="1"/>
  <c r="T184" i="51"/>
  <c r="Q47" i="21"/>
  <c r="Q58" i="21"/>
  <c r="T195" i="51"/>
  <c r="Q68" i="21"/>
  <c r="T205" i="51"/>
  <c r="M198" i="51"/>
  <c r="O26" i="51" s="1"/>
  <c r="Q26" i="51" s="1"/>
  <c r="M187" i="51"/>
  <c r="O15" i="51" s="1"/>
  <c r="Q15" i="51" s="1"/>
  <c r="T53" i="21"/>
  <c r="R53" i="21"/>
  <c r="S53" i="21" s="1"/>
  <c r="Q50" i="21"/>
  <c r="T187" i="51"/>
  <c r="M192" i="51"/>
  <c r="O20" i="51" s="1"/>
  <c r="Q20" i="51" s="1"/>
  <c r="V74" i="21"/>
  <c r="Y74" i="21"/>
  <c r="W74" i="21"/>
  <c r="U74" i="21"/>
  <c r="X74" i="21"/>
  <c r="M189" i="51"/>
  <c r="O17" i="51" s="1"/>
  <c r="Q17" i="51" s="1"/>
  <c r="M201" i="51"/>
  <c r="O29" i="51" s="1"/>
  <c r="Q29" i="51" s="1"/>
  <c r="M208" i="51"/>
  <c r="O36" i="51" s="1"/>
  <c r="Q36" i="51" s="1"/>
  <c r="T210" i="51"/>
  <c r="M194" i="51"/>
  <c r="O22" i="51" s="1"/>
  <c r="Q22" i="51" s="1"/>
  <c r="H185" i="51"/>
  <c r="Q55" i="21"/>
  <c r="T192" i="51"/>
  <c r="T66" i="21"/>
  <c r="R66" i="21"/>
  <c r="S66" i="21" s="1"/>
  <c r="M204" i="51"/>
  <c r="O32" i="51" s="1"/>
  <c r="Q32" i="51" s="1"/>
  <c r="T194" i="51"/>
  <c r="Q57" i="21"/>
  <c r="T185" i="51"/>
  <c r="Q48" i="21"/>
  <c r="M197" i="51"/>
  <c r="O25" i="51" s="1"/>
  <c r="Q25" i="51" s="1"/>
  <c r="H199" i="51"/>
  <c r="H208" i="51"/>
  <c r="M203" i="51"/>
  <c r="O31" i="51" s="1"/>
  <c r="Q31" i="51" s="1"/>
  <c r="M207" i="51"/>
  <c r="O35" i="51" s="1"/>
  <c r="Q35" i="51" s="1"/>
  <c r="M205" i="51"/>
  <c r="O33" i="51" s="1"/>
  <c r="Q33" i="51" s="1"/>
  <c r="T51" i="21"/>
  <c r="R51" i="21"/>
  <c r="S51" i="21" s="1"/>
  <c r="Q52" i="21"/>
  <c r="T189" i="51"/>
  <c r="T208" i="51"/>
  <c r="M185" i="51"/>
  <c r="O13" i="51" s="1"/>
  <c r="Q13" i="51" s="1"/>
  <c r="H201" i="51"/>
  <c r="T199" i="51"/>
  <c r="Q62" i="21"/>
  <c r="M190" i="51"/>
  <c r="O18" i="51" s="1"/>
  <c r="Q18" i="51" s="1"/>
  <c r="H202" i="51"/>
  <c r="T209" i="51"/>
  <c r="Q63" i="21"/>
  <c r="T200" i="51"/>
  <c r="M206" i="51"/>
  <c r="O34" i="51" s="1"/>
  <c r="Q34" i="51" s="1"/>
  <c r="T202" i="51"/>
  <c r="Q65" i="21"/>
  <c r="H184" i="51"/>
  <c r="U198" i="51"/>
  <c r="M195" i="51"/>
  <c r="O23" i="51" s="1"/>
  <c r="Q23" i="51" s="1"/>
  <c r="M196" i="51"/>
  <c r="O24" i="51" s="1"/>
  <c r="Q24" i="51" s="1"/>
  <c r="U207" i="51"/>
  <c r="Q60" i="21"/>
  <c r="T197" i="51"/>
  <c r="M202" i="51"/>
  <c r="O30" i="51" s="1"/>
  <c r="Q30" i="51" s="1"/>
  <c r="U203" i="51"/>
  <c r="N186" i="51" l="1"/>
  <c r="N14" i="51" s="1"/>
  <c r="P14" i="51" s="1"/>
  <c r="H67" i="51"/>
  <c r="J67" i="51" s="1"/>
  <c r="L67" i="51" s="1"/>
  <c r="B28" i="47"/>
  <c r="F58" i="51"/>
  <c r="L22" i="51"/>
  <c r="F48" i="51"/>
  <c r="L12" i="51"/>
  <c r="I68" i="51"/>
  <c r="K68" i="51" s="1"/>
  <c r="C29" i="47"/>
  <c r="U193" i="51"/>
  <c r="I57" i="51"/>
  <c r="K57" i="51" s="1"/>
  <c r="C18" i="47"/>
  <c r="U188" i="51"/>
  <c r="I52" i="51"/>
  <c r="K52" i="51" s="1"/>
  <c r="C13" i="47"/>
  <c r="F52" i="51"/>
  <c r="L16" i="51"/>
  <c r="U197" i="51"/>
  <c r="I61" i="51"/>
  <c r="K61" i="51" s="1"/>
  <c r="C22" i="47"/>
  <c r="N183" i="51"/>
  <c r="N11" i="51" s="1"/>
  <c r="P11" i="51" s="1"/>
  <c r="R11" i="51" s="1"/>
  <c r="I56" i="51"/>
  <c r="K56" i="51" s="1"/>
  <c r="C17" i="47"/>
  <c r="I55" i="51"/>
  <c r="K55" i="51" s="1"/>
  <c r="C16" i="47"/>
  <c r="F57" i="51"/>
  <c r="L21" i="51"/>
  <c r="U208" i="51"/>
  <c r="I72" i="51"/>
  <c r="K72" i="51" s="1"/>
  <c r="C33" i="47"/>
  <c r="U189" i="51"/>
  <c r="I53" i="51"/>
  <c r="K53" i="51" s="1"/>
  <c r="C14" i="47"/>
  <c r="U184" i="51"/>
  <c r="I48" i="51"/>
  <c r="K48" i="51" s="1"/>
  <c r="C9" i="47"/>
  <c r="F66" i="51"/>
  <c r="L30" i="51"/>
  <c r="F63" i="51"/>
  <c r="L27" i="51"/>
  <c r="F56" i="51"/>
  <c r="L20" i="51"/>
  <c r="F51" i="51"/>
  <c r="L15" i="51"/>
  <c r="F68" i="51"/>
  <c r="L32" i="51"/>
  <c r="F47" i="51"/>
  <c r="L11" i="51"/>
  <c r="U199" i="51"/>
  <c r="I63" i="51"/>
  <c r="K63" i="51" s="1"/>
  <c r="C24" i="47"/>
  <c r="U185" i="51"/>
  <c r="I49" i="51"/>
  <c r="K49" i="51" s="1"/>
  <c r="C10" i="47"/>
  <c r="U186" i="51"/>
  <c r="I50" i="51"/>
  <c r="K50" i="51" s="1"/>
  <c r="C11" i="47"/>
  <c r="I47" i="51"/>
  <c r="K47" i="51" s="1"/>
  <c r="C8" i="47"/>
  <c r="L33" i="51"/>
  <c r="F69" i="51"/>
  <c r="H71" i="51"/>
  <c r="J71" i="51" s="1"/>
  <c r="L71" i="51" s="1"/>
  <c r="B32" i="47"/>
  <c r="F65" i="51"/>
  <c r="L29" i="51"/>
  <c r="N200" i="51"/>
  <c r="N28" i="51" s="1"/>
  <c r="P28" i="51" s="1"/>
  <c r="I51" i="51"/>
  <c r="K51" i="51" s="1"/>
  <c r="C12" i="47"/>
  <c r="I59" i="51"/>
  <c r="K59" i="51" s="1"/>
  <c r="C20" i="47"/>
  <c r="U206" i="51"/>
  <c r="I70" i="51"/>
  <c r="K70" i="51" s="1"/>
  <c r="C31" i="47"/>
  <c r="I60" i="51"/>
  <c r="K60" i="51" s="1"/>
  <c r="C21" i="47"/>
  <c r="L17" i="51"/>
  <c r="F53" i="51"/>
  <c r="F54" i="51"/>
  <c r="L18" i="51"/>
  <c r="L25" i="51"/>
  <c r="F61" i="51"/>
  <c r="H62" i="51"/>
  <c r="J62" i="51" s="1"/>
  <c r="B23" i="47"/>
  <c r="I73" i="51"/>
  <c r="K73" i="51" s="1"/>
  <c r="C34" i="47"/>
  <c r="F72" i="51"/>
  <c r="L36" i="51"/>
  <c r="F49" i="51"/>
  <c r="L13" i="51"/>
  <c r="H54" i="51"/>
  <c r="J54" i="51" s="1"/>
  <c r="B15" i="47"/>
  <c r="I54" i="51"/>
  <c r="K54" i="51" s="1"/>
  <c r="C15" i="47"/>
  <c r="I74" i="51"/>
  <c r="K74" i="51" s="1"/>
  <c r="C35" i="47"/>
  <c r="I69" i="51"/>
  <c r="K69" i="51" s="1"/>
  <c r="C30" i="47"/>
  <c r="U201" i="51"/>
  <c r="I65" i="51"/>
  <c r="K65" i="51" s="1"/>
  <c r="C26" i="47"/>
  <c r="U202" i="51"/>
  <c r="I66" i="51"/>
  <c r="K66" i="51" s="1"/>
  <c r="C27" i="47"/>
  <c r="U200" i="51"/>
  <c r="I64" i="51"/>
  <c r="K64" i="51" s="1"/>
  <c r="C25" i="47"/>
  <c r="U194" i="51"/>
  <c r="I58" i="51"/>
  <c r="K58" i="51" s="1"/>
  <c r="C19" i="47"/>
  <c r="F50" i="51"/>
  <c r="L14" i="51"/>
  <c r="F64" i="51"/>
  <c r="L28" i="51"/>
  <c r="F60" i="51"/>
  <c r="L24" i="51"/>
  <c r="I62" i="51"/>
  <c r="K62" i="51" s="1"/>
  <c r="C23" i="47"/>
  <c r="T70" i="21"/>
  <c r="R28" i="51"/>
  <c r="R21" i="51"/>
  <c r="H28" i="41" s="1"/>
  <c r="Z74" i="21"/>
  <c r="C38" i="21" s="1"/>
  <c r="D38" i="21" s="1"/>
  <c r="K46" i="41" s="1"/>
  <c r="L46" i="41" s="1"/>
  <c r="M46" i="41" s="1"/>
  <c r="N194" i="51"/>
  <c r="N192" i="51"/>
  <c r="R12" i="51"/>
  <c r="H19" i="41" s="1"/>
  <c r="N206" i="51"/>
  <c r="N188" i="51"/>
  <c r="N16" i="51" s="1"/>
  <c r="P16" i="51" s="1"/>
  <c r="U183" i="51"/>
  <c r="N195" i="51"/>
  <c r="W51" i="21"/>
  <c r="X51" i="21"/>
  <c r="U51" i="21"/>
  <c r="Y51" i="21"/>
  <c r="V51" i="21"/>
  <c r="V66" i="21"/>
  <c r="W66" i="21"/>
  <c r="X66" i="21"/>
  <c r="Y66" i="21"/>
  <c r="U66" i="21"/>
  <c r="T68" i="21"/>
  <c r="R68" i="21"/>
  <c r="S68" i="21" s="1"/>
  <c r="N191" i="51"/>
  <c r="U191" i="51"/>
  <c r="X64" i="21"/>
  <c r="U64" i="21"/>
  <c r="W64" i="21"/>
  <c r="Y64" i="21"/>
  <c r="V64" i="21"/>
  <c r="T63" i="21"/>
  <c r="R63" i="21"/>
  <c r="S63" i="21" s="1"/>
  <c r="N190" i="51"/>
  <c r="N208" i="51"/>
  <c r="T69" i="21"/>
  <c r="R69" i="21"/>
  <c r="S69" i="21" s="1"/>
  <c r="T56" i="21"/>
  <c r="R56" i="21"/>
  <c r="S56" i="21" s="1"/>
  <c r="T50" i="21"/>
  <c r="R50" i="21"/>
  <c r="S50" i="21" s="1"/>
  <c r="T67" i="21"/>
  <c r="R67" i="21"/>
  <c r="S67" i="21" s="1"/>
  <c r="T59" i="21"/>
  <c r="R59" i="21"/>
  <c r="S59" i="21" s="1"/>
  <c r="T72" i="21"/>
  <c r="R72" i="21"/>
  <c r="S72" i="21" s="1"/>
  <c r="T71" i="21"/>
  <c r="R71" i="21"/>
  <c r="S71" i="21" s="1"/>
  <c r="N197" i="51"/>
  <c r="T55" i="21"/>
  <c r="R55" i="21"/>
  <c r="S55" i="21" s="1"/>
  <c r="N201" i="51"/>
  <c r="U187" i="51"/>
  <c r="N187" i="51"/>
  <c r="U195" i="51"/>
  <c r="N199" i="51"/>
  <c r="U204" i="51"/>
  <c r="U196" i="51"/>
  <c r="N185" i="51"/>
  <c r="R62" i="21"/>
  <c r="S62" i="21" s="1"/>
  <c r="T62" i="21"/>
  <c r="T58" i="21"/>
  <c r="R58" i="21"/>
  <c r="S58" i="21" s="1"/>
  <c r="N202" i="51"/>
  <c r="N30" i="51" s="1"/>
  <c r="P30" i="51" s="1"/>
  <c r="U209" i="51"/>
  <c r="T48" i="21"/>
  <c r="R48" i="21"/>
  <c r="S48" i="21" s="1"/>
  <c r="U192" i="51"/>
  <c r="T73" i="21"/>
  <c r="R73" i="21"/>
  <c r="S73" i="21" s="1"/>
  <c r="T47" i="21"/>
  <c r="R47" i="21"/>
  <c r="S47" i="21" s="1"/>
  <c r="V70" i="21"/>
  <c r="X70" i="21"/>
  <c r="W70" i="21"/>
  <c r="U70" i="21"/>
  <c r="Y70" i="21"/>
  <c r="U61" i="21"/>
  <c r="Y61" i="21"/>
  <c r="W61" i="21"/>
  <c r="V61" i="21"/>
  <c r="X61" i="21"/>
  <c r="T65" i="21"/>
  <c r="R65" i="21"/>
  <c r="S65" i="21" s="1"/>
  <c r="T57" i="21"/>
  <c r="R57" i="21"/>
  <c r="S57" i="21" s="1"/>
  <c r="T60" i="21"/>
  <c r="R60" i="21"/>
  <c r="S60" i="21" s="1"/>
  <c r="N196" i="51"/>
  <c r="N205" i="51"/>
  <c r="N207" i="51"/>
  <c r="U210" i="51"/>
  <c r="N189" i="51"/>
  <c r="N198" i="51"/>
  <c r="N209" i="51"/>
  <c r="N37" i="51" s="1"/>
  <c r="P37" i="51" s="1"/>
  <c r="R14" i="51"/>
  <c r="H21" i="41" s="1"/>
  <c r="T52" i="21"/>
  <c r="R52" i="21"/>
  <c r="S52" i="21" s="1"/>
  <c r="N203" i="51"/>
  <c r="N204" i="51"/>
  <c r="N32" i="51" s="1"/>
  <c r="P32" i="51" s="1"/>
  <c r="U53" i="21"/>
  <c r="V53" i="21"/>
  <c r="X53" i="21"/>
  <c r="Y53" i="21"/>
  <c r="W53" i="21"/>
  <c r="U205" i="51"/>
  <c r="T54" i="21"/>
  <c r="R54" i="21"/>
  <c r="S54" i="21" s="1"/>
  <c r="X46" i="21"/>
  <c r="W46" i="21"/>
  <c r="V46" i="21"/>
  <c r="Y46" i="21"/>
  <c r="U46" i="21"/>
  <c r="T49" i="21"/>
  <c r="R49" i="21"/>
  <c r="S49" i="21" s="1"/>
  <c r="H18" i="41" l="1"/>
  <c r="S11" i="51"/>
  <c r="H69" i="51"/>
  <c r="J69" i="51" s="1"/>
  <c r="L69" i="51" s="1"/>
  <c r="B30" i="47"/>
  <c r="N35" i="51"/>
  <c r="P35" i="51" s="1"/>
  <c r="R35" i="51" s="1"/>
  <c r="H56" i="51"/>
  <c r="J56" i="51" s="1"/>
  <c r="L56" i="51" s="1"/>
  <c r="B17" i="47"/>
  <c r="N29" i="51"/>
  <c r="P29" i="51" s="1"/>
  <c r="R29" i="51" s="1"/>
  <c r="N19" i="51"/>
  <c r="P19" i="51" s="1"/>
  <c r="R19" i="51" s="1"/>
  <c r="N34" i="51"/>
  <c r="P34" i="51" s="1"/>
  <c r="R34" i="51" s="1"/>
  <c r="H70" i="51"/>
  <c r="J70" i="51" s="1"/>
  <c r="L70" i="51" s="1"/>
  <c r="B31" i="47"/>
  <c r="D32" i="47"/>
  <c r="E32" i="47"/>
  <c r="F32" i="47"/>
  <c r="G32" i="47"/>
  <c r="H50" i="51"/>
  <c r="J50" i="51" s="1"/>
  <c r="L50" i="51" s="1"/>
  <c r="B11" i="47"/>
  <c r="H53" i="51"/>
  <c r="J53" i="51" s="1"/>
  <c r="L53" i="51" s="1"/>
  <c r="B14" i="47"/>
  <c r="H51" i="51"/>
  <c r="J51" i="51" s="1"/>
  <c r="L51" i="51" s="1"/>
  <c r="B12" i="47"/>
  <c r="H64" i="51"/>
  <c r="J64" i="51" s="1"/>
  <c r="L64" i="51" s="1"/>
  <c r="B25" i="47"/>
  <c r="N33" i="51"/>
  <c r="P33" i="51" s="1"/>
  <c r="R33" i="51" s="1"/>
  <c r="N13" i="51"/>
  <c r="P13" i="51" s="1"/>
  <c r="R13" i="51" s="1"/>
  <c r="I42" i="41"/>
  <c r="M71" i="51"/>
  <c r="H74" i="51"/>
  <c r="J74" i="51" s="1"/>
  <c r="L74" i="51" s="1"/>
  <c r="B35" i="47"/>
  <c r="H63" i="51"/>
  <c r="J63" i="51" s="1"/>
  <c r="L63" i="51" s="1"/>
  <c r="B24" i="47"/>
  <c r="N31" i="51"/>
  <c r="P31" i="51" s="1"/>
  <c r="R31" i="51" s="1"/>
  <c r="H60" i="51"/>
  <c r="J60" i="51" s="1"/>
  <c r="L60" i="51" s="1"/>
  <c r="B21" i="47"/>
  <c r="H66" i="51"/>
  <c r="J66" i="51" s="1"/>
  <c r="L66" i="51" s="1"/>
  <c r="B27" i="47"/>
  <c r="S28" i="51"/>
  <c r="H35" i="41"/>
  <c r="H72" i="51"/>
  <c r="J72" i="51" s="1"/>
  <c r="L72" i="51" s="1"/>
  <c r="B33" i="47"/>
  <c r="N26" i="51"/>
  <c r="P26" i="51" s="1"/>
  <c r="R26" i="51" s="1"/>
  <c r="N27" i="51"/>
  <c r="P27" i="51" s="1"/>
  <c r="R27" i="51" s="1"/>
  <c r="H58" i="51"/>
  <c r="J58" i="51" s="1"/>
  <c r="L58" i="51" s="1"/>
  <c r="B19" i="47"/>
  <c r="D15" i="47"/>
  <c r="E15" i="47"/>
  <c r="F15" i="47"/>
  <c r="G15" i="47"/>
  <c r="D23" i="47"/>
  <c r="E23" i="47"/>
  <c r="F23" i="47"/>
  <c r="G23" i="47"/>
  <c r="G28" i="47"/>
  <c r="D28" i="47"/>
  <c r="E28" i="47"/>
  <c r="F28" i="47"/>
  <c r="N15" i="51"/>
  <c r="P15" i="51" s="1"/>
  <c r="R15" i="51" s="1"/>
  <c r="N18" i="51"/>
  <c r="P18" i="51" s="1"/>
  <c r="R18" i="51" s="1"/>
  <c r="H47" i="51"/>
  <c r="J47" i="51" s="1"/>
  <c r="L47" i="51" s="1"/>
  <c r="B8" i="47"/>
  <c r="H55" i="51"/>
  <c r="J55" i="51" s="1"/>
  <c r="L55" i="51" s="1"/>
  <c r="B16" i="47"/>
  <c r="N24" i="51"/>
  <c r="P24" i="51" s="1"/>
  <c r="R24" i="51" s="1"/>
  <c r="R20" i="51"/>
  <c r="N20" i="51"/>
  <c r="P20" i="51" s="1"/>
  <c r="H52" i="51"/>
  <c r="J52" i="51" s="1"/>
  <c r="L52" i="51" s="1"/>
  <c r="B13" i="47"/>
  <c r="H73" i="51"/>
  <c r="J73" i="51" s="1"/>
  <c r="L73" i="51" s="1"/>
  <c r="B34" i="47"/>
  <c r="H68" i="51"/>
  <c r="J68" i="51" s="1"/>
  <c r="L68" i="51" s="1"/>
  <c r="B29" i="47"/>
  <c r="R25" i="51"/>
  <c r="H32" i="41" s="1"/>
  <c r="N25" i="51"/>
  <c r="P25" i="51" s="1"/>
  <c r="R22" i="51"/>
  <c r="H29" i="41" s="1"/>
  <c r="N22" i="51"/>
  <c r="P22" i="51" s="1"/>
  <c r="H49" i="51"/>
  <c r="J49" i="51" s="1"/>
  <c r="L49" i="51" s="1"/>
  <c r="B10" i="47"/>
  <c r="N17" i="51"/>
  <c r="P17" i="51" s="1"/>
  <c r="R17" i="51" s="1"/>
  <c r="H59" i="51"/>
  <c r="J59" i="51" s="1"/>
  <c r="L59" i="51" s="1"/>
  <c r="B20" i="47"/>
  <c r="R36" i="51"/>
  <c r="H43" i="41" s="1"/>
  <c r="N36" i="51"/>
  <c r="P36" i="51" s="1"/>
  <c r="N23" i="51"/>
  <c r="P23" i="51" s="1"/>
  <c r="R23" i="51" s="1"/>
  <c r="H65" i="51"/>
  <c r="J65" i="51" s="1"/>
  <c r="L65" i="51" s="1"/>
  <c r="B26" i="47"/>
  <c r="L54" i="51"/>
  <c r="L62" i="51"/>
  <c r="H48" i="51"/>
  <c r="J48" i="51" s="1"/>
  <c r="L48" i="51" s="1"/>
  <c r="B9" i="47"/>
  <c r="H61" i="51"/>
  <c r="J61" i="51" s="1"/>
  <c r="L61" i="51" s="1"/>
  <c r="B22" i="47"/>
  <c r="H57" i="51"/>
  <c r="J57" i="51" s="1"/>
  <c r="L57" i="51" s="1"/>
  <c r="B18" i="47"/>
  <c r="I38" i="41"/>
  <c r="M67" i="51"/>
  <c r="E38" i="21"/>
  <c r="S21" i="51"/>
  <c r="S22" i="51"/>
  <c r="Z51" i="21"/>
  <c r="C15" i="21" s="1"/>
  <c r="D15" i="21" s="1"/>
  <c r="K23" i="41" s="1"/>
  <c r="Z66" i="21"/>
  <c r="C30" i="21" s="1"/>
  <c r="D30" i="21" s="1"/>
  <c r="R16" i="51"/>
  <c r="H23" i="41" s="1"/>
  <c r="R32" i="51"/>
  <c r="H39" i="41" s="1"/>
  <c r="Z61" i="21"/>
  <c r="C25" i="21" s="1"/>
  <c r="D25" i="21" s="1"/>
  <c r="Z64" i="21"/>
  <c r="C28" i="21" s="1"/>
  <c r="D28" i="21" s="1"/>
  <c r="S12" i="51"/>
  <c r="Z70" i="21"/>
  <c r="C34" i="21" s="1"/>
  <c r="D34" i="21" s="1"/>
  <c r="K42" i="41" s="1"/>
  <c r="Z53" i="21"/>
  <c r="C17" i="21" s="1"/>
  <c r="D17" i="21" s="1"/>
  <c r="K25" i="41" s="1"/>
  <c r="Z46" i="21"/>
  <c r="C10" i="21" s="1"/>
  <c r="D10" i="21" s="1"/>
  <c r="K18" i="41" s="1"/>
  <c r="R30" i="51"/>
  <c r="H37" i="41" s="1"/>
  <c r="Y48" i="21"/>
  <c r="W48" i="21"/>
  <c r="V48" i="21"/>
  <c r="U48" i="21"/>
  <c r="X48" i="21"/>
  <c r="S25" i="51"/>
  <c r="V73" i="21"/>
  <c r="U73" i="21"/>
  <c r="X73" i="21"/>
  <c r="Y73" i="21"/>
  <c r="W73" i="21"/>
  <c r="X52" i="21"/>
  <c r="V52" i="21"/>
  <c r="U52" i="21"/>
  <c r="Y52" i="21"/>
  <c r="W52" i="21"/>
  <c r="V58" i="21"/>
  <c r="U58" i="21"/>
  <c r="X58" i="21"/>
  <c r="Y58" i="21"/>
  <c r="W58" i="21"/>
  <c r="X65" i="21"/>
  <c r="W65" i="21"/>
  <c r="U65" i="21"/>
  <c r="Y65" i="21"/>
  <c r="V65" i="21"/>
  <c r="W71" i="21"/>
  <c r="Y71" i="21"/>
  <c r="X71" i="21"/>
  <c r="V71" i="21"/>
  <c r="U71" i="21"/>
  <c r="V50" i="21"/>
  <c r="X50" i="21"/>
  <c r="U50" i="21"/>
  <c r="Y50" i="21"/>
  <c r="W50" i="21"/>
  <c r="R37" i="51"/>
  <c r="H44" i="41" s="1"/>
  <c r="W62" i="21"/>
  <c r="U62" i="21"/>
  <c r="Y62" i="21"/>
  <c r="X62" i="21"/>
  <c r="V62" i="21"/>
  <c r="Y55" i="21"/>
  <c r="V55" i="21"/>
  <c r="U55" i="21"/>
  <c r="X55" i="21"/>
  <c r="W55" i="21"/>
  <c r="V59" i="21"/>
  <c r="W59" i="21"/>
  <c r="Y59" i="21"/>
  <c r="X59" i="21"/>
  <c r="U59" i="21"/>
  <c r="S36" i="51"/>
  <c r="W60" i="21"/>
  <c r="Y60" i="21"/>
  <c r="U60" i="21"/>
  <c r="V60" i="21"/>
  <c r="X60" i="21"/>
  <c r="W56" i="21"/>
  <c r="U56" i="21"/>
  <c r="X56" i="21"/>
  <c r="V56" i="21"/>
  <c r="Y56" i="21"/>
  <c r="X54" i="21"/>
  <c r="U54" i="21"/>
  <c r="V54" i="21"/>
  <c r="W54" i="21"/>
  <c r="Y54" i="21"/>
  <c r="S14" i="51"/>
  <c r="X47" i="21"/>
  <c r="W47" i="21"/>
  <c r="U47" i="21"/>
  <c r="Y47" i="21"/>
  <c r="V47" i="21"/>
  <c r="V49" i="21"/>
  <c r="Y49" i="21"/>
  <c r="W49" i="21"/>
  <c r="U49" i="21"/>
  <c r="X49" i="21"/>
  <c r="W57" i="21"/>
  <c r="U57" i="21"/>
  <c r="X57" i="21"/>
  <c r="Y57" i="21"/>
  <c r="V57" i="21"/>
  <c r="V72" i="21"/>
  <c r="W72" i="21"/>
  <c r="X72" i="21"/>
  <c r="Y72" i="21"/>
  <c r="U72" i="21"/>
  <c r="X67" i="21"/>
  <c r="V67" i="21"/>
  <c r="W67" i="21"/>
  <c r="Y67" i="21"/>
  <c r="U67" i="21"/>
  <c r="W69" i="21"/>
  <c r="V69" i="21"/>
  <c r="U69" i="21"/>
  <c r="Y69" i="21"/>
  <c r="X69" i="21"/>
  <c r="U63" i="21"/>
  <c r="V63" i="21"/>
  <c r="Y63" i="21"/>
  <c r="W63" i="21"/>
  <c r="X63" i="21"/>
  <c r="X68" i="21"/>
  <c r="U68" i="21"/>
  <c r="Y68" i="21"/>
  <c r="W68" i="21"/>
  <c r="V68" i="21"/>
  <c r="H31" i="41" l="1"/>
  <c r="S24" i="51"/>
  <c r="H24" i="41"/>
  <c r="S17" i="51"/>
  <c r="H33" i="41"/>
  <c r="S26" i="51"/>
  <c r="H34" i="41"/>
  <c r="S27" i="51"/>
  <c r="H22" i="41"/>
  <c r="S15" i="51"/>
  <c r="S32" i="51"/>
  <c r="H26" i="41"/>
  <c r="S19" i="51"/>
  <c r="H30" i="41"/>
  <c r="S23" i="51"/>
  <c r="H38" i="41"/>
  <c r="S31" i="51"/>
  <c r="H36" i="41"/>
  <c r="S29" i="51"/>
  <c r="H40" i="41"/>
  <c r="S33" i="51"/>
  <c r="H25" i="41"/>
  <c r="S18" i="51"/>
  <c r="S35" i="51"/>
  <c r="H42" i="41"/>
  <c r="H20" i="41"/>
  <c r="S13" i="51"/>
  <c r="S34" i="51"/>
  <c r="H41" i="41"/>
  <c r="E22" i="47"/>
  <c r="F22" i="47"/>
  <c r="G22" i="47"/>
  <c r="D22" i="47"/>
  <c r="D16" i="47"/>
  <c r="E16" i="47"/>
  <c r="F16" i="47"/>
  <c r="G16" i="47"/>
  <c r="D19" i="47"/>
  <c r="E19" i="47"/>
  <c r="F19" i="47"/>
  <c r="G19" i="47"/>
  <c r="E14" i="47"/>
  <c r="F14" i="47"/>
  <c r="G14" i="47"/>
  <c r="D14" i="47"/>
  <c r="I32" i="41"/>
  <c r="M61" i="51"/>
  <c r="I44" i="41"/>
  <c r="M73" i="51"/>
  <c r="I29" i="41"/>
  <c r="M58" i="51"/>
  <c r="I41" i="41"/>
  <c r="M70" i="51"/>
  <c r="M56" i="51"/>
  <c r="I27" i="41"/>
  <c r="E15" i="21"/>
  <c r="D9" i="47"/>
  <c r="E9" i="47"/>
  <c r="F9" i="47"/>
  <c r="G9" i="47"/>
  <c r="F13" i="47"/>
  <c r="G13" i="47"/>
  <c r="D13" i="47"/>
  <c r="E13" i="47"/>
  <c r="D24" i="47"/>
  <c r="E24" i="47"/>
  <c r="F24" i="47"/>
  <c r="G24" i="47"/>
  <c r="D11" i="47"/>
  <c r="E11" i="47"/>
  <c r="F11" i="47"/>
  <c r="G11" i="47"/>
  <c r="D10" i="47"/>
  <c r="E10" i="47"/>
  <c r="F10" i="47"/>
  <c r="G10" i="47"/>
  <c r="D33" i="47"/>
  <c r="E33" i="47"/>
  <c r="F33" i="47"/>
  <c r="G33" i="47"/>
  <c r="I26" i="41"/>
  <c r="M55" i="51"/>
  <c r="I24" i="41"/>
  <c r="M53" i="51"/>
  <c r="M48" i="51"/>
  <c r="I19" i="41"/>
  <c r="I23" i="41"/>
  <c r="M52" i="51"/>
  <c r="H23" i="47"/>
  <c r="I34" i="41"/>
  <c r="M63" i="51"/>
  <c r="I21" i="41"/>
  <c r="M50" i="51"/>
  <c r="I33" i="41"/>
  <c r="M62" i="51"/>
  <c r="G20" i="47"/>
  <c r="D20" i="47"/>
  <c r="E20" i="47"/>
  <c r="F20" i="47"/>
  <c r="D27" i="47"/>
  <c r="E27" i="47"/>
  <c r="F27" i="47"/>
  <c r="G27" i="47"/>
  <c r="D35" i="47"/>
  <c r="E35" i="47"/>
  <c r="F35" i="47"/>
  <c r="G35" i="47"/>
  <c r="D25" i="47"/>
  <c r="E25" i="47"/>
  <c r="F25" i="47"/>
  <c r="G25" i="47"/>
  <c r="E30" i="47"/>
  <c r="F30" i="47"/>
  <c r="G30" i="47"/>
  <c r="D30" i="47"/>
  <c r="D34" i="47"/>
  <c r="E34" i="47"/>
  <c r="F34" i="47"/>
  <c r="G34" i="47"/>
  <c r="I20" i="41"/>
  <c r="M49" i="51"/>
  <c r="I25" i="41"/>
  <c r="M54" i="51"/>
  <c r="I30" i="41"/>
  <c r="M59" i="51"/>
  <c r="S20" i="51"/>
  <c r="H27" i="41"/>
  <c r="I37" i="41"/>
  <c r="M66" i="51"/>
  <c r="I45" i="41"/>
  <c r="M74" i="51"/>
  <c r="M64" i="51"/>
  <c r="I35" i="41"/>
  <c r="I40" i="41"/>
  <c r="M69" i="51"/>
  <c r="D31" i="47"/>
  <c r="E31" i="47"/>
  <c r="F31" i="47"/>
  <c r="G31" i="47"/>
  <c r="M72" i="51"/>
  <c r="I43" i="41"/>
  <c r="D18" i="47"/>
  <c r="E18" i="47"/>
  <c r="F18" i="47"/>
  <c r="G18" i="47"/>
  <c r="D26" i="47"/>
  <c r="E26" i="47"/>
  <c r="F26" i="47"/>
  <c r="G26" i="47"/>
  <c r="F29" i="47"/>
  <c r="G29" i="47"/>
  <c r="D29" i="47"/>
  <c r="E29" i="47"/>
  <c r="D8" i="47"/>
  <c r="E8" i="47"/>
  <c r="F8" i="47"/>
  <c r="G8" i="47"/>
  <c r="H28" i="47"/>
  <c r="F21" i="47"/>
  <c r="G21" i="47"/>
  <c r="D21" i="47"/>
  <c r="E21" i="47"/>
  <c r="G12" i="47"/>
  <c r="D12" i="47"/>
  <c r="E12" i="47"/>
  <c r="F12" i="47"/>
  <c r="D17" i="47"/>
  <c r="E17" i="47"/>
  <c r="F17" i="47"/>
  <c r="G17" i="47"/>
  <c r="I28" i="41"/>
  <c r="M57" i="51"/>
  <c r="I36" i="41"/>
  <c r="M65" i="51"/>
  <c r="I39" i="41"/>
  <c r="M68" i="51"/>
  <c r="I18" i="41"/>
  <c r="M47" i="51"/>
  <c r="H15" i="47"/>
  <c r="I31" i="41"/>
  <c r="M60" i="51"/>
  <c r="I22" i="41"/>
  <c r="M51" i="51"/>
  <c r="H32" i="47"/>
  <c r="E28" i="21"/>
  <c r="K36" i="41"/>
  <c r="E25" i="21"/>
  <c r="K33" i="41"/>
  <c r="E30" i="21"/>
  <c r="K38" i="41"/>
  <c r="S30" i="51"/>
  <c r="R41" i="51"/>
  <c r="C3" i="51" s="1"/>
  <c r="S16" i="51"/>
  <c r="Z54" i="21"/>
  <c r="C18" i="21" s="1"/>
  <c r="D18" i="21" s="1"/>
  <c r="K26" i="41" s="1"/>
  <c r="E34" i="21"/>
  <c r="E10" i="21"/>
  <c r="Z47" i="21"/>
  <c r="C11" i="21" s="1"/>
  <c r="D11" i="21" s="1"/>
  <c r="Z72" i="21"/>
  <c r="C36" i="21" s="1"/>
  <c r="D36" i="21" s="1"/>
  <c r="K44" i="41" s="1"/>
  <c r="Z56" i="21"/>
  <c r="C20" i="21" s="1"/>
  <c r="D20" i="21" s="1"/>
  <c r="Z67" i="21"/>
  <c r="C31" i="21" s="1"/>
  <c r="D31" i="21" s="1"/>
  <c r="K39" i="41" s="1"/>
  <c r="Z49" i="21"/>
  <c r="C13" i="21" s="1"/>
  <c r="D13" i="21" s="1"/>
  <c r="K21" i="41" s="1"/>
  <c r="Z58" i="21"/>
  <c r="C22" i="21" s="1"/>
  <c r="D22" i="21" s="1"/>
  <c r="K30" i="41" s="1"/>
  <c r="Z48" i="21"/>
  <c r="C12" i="21" s="1"/>
  <c r="D12" i="21" s="1"/>
  <c r="K20" i="41" s="1"/>
  <c r="Z63" i="21"/>
  <c r="C27" i="21" s="1"/>
  <c r="D27" i="21" s="1"/>
  <c r="Z59" i="21"/>
  <c r="C23" i="21" s="1"/>
  <c r="D23" i="21" s="1"/>
  <c r="Z71" i="21"/>
  <c r="C35" i="21" s="1"/>
  <c r="D35" i="21" s="1"/>
  <c r="K43" i="41" s="1"/>
  <c r="Z60" i="21"/>
  <c r="C24" i="21" s="1"/>
  <c r="D24" i="21" s="1"/>
  <c r="Z68" i="21"/>
  <c r="C32" i="21" s="1"/>
  <c r="D32" i="21" s="1"/>
  <c r="Z57" i="21"/>
  <c r="C21" i="21" s="1"/>
  <c r="D21" i="21" s="1"/>
  <c r="Z55" i="21"/>
  <c r="C19" i="21" s="1"/>
  <c r="D19" i="21" s="1"/>
  <c r="Z62" i="21"/>
  <c r="C26" i="21" s="1"/>
  <c r="D26" i="21" s="1"/>
  <c r="K34" i="41" s="1"/>
  <c r="Z50" i="21"/>
  <c r="C14" i="21" s="1"/>
  <c r="D14" i="21" s="1"/>
  <c r="K22" i="41" s="1"/>
  <c r="Z52" i="21"/>
  <c r="C16" i="21" s="1"/>
  <c r="D16" i="21" s="1"/>
  <c r="K24" i="41" s="1"/>
  <c r="E17" i="21"/>
  <c r="Z69" i="21"/>
  <c r="C33" i="21" s="1"/>
  <c r="D33" i="21" s="1"/>
  <c r="Z65" i="21"/>
  <c r="C29" i="21" s="1"/>
  <c r="D29" i="21" s="1"/>
  <c r="K37" i="41" s="1"/>
  <c r="Z73" i="21"/>
  <c r="C37" i="21" s="1"/>
  <c r="D37" i="21" s="1"/>
  <c r="K45" i="41" s="1"/>
  <c r="S37" i="51"/>
  <c r="L77" i="51"/>
  <c r="H20" i="47" l="1"/>
  <c r="H12" i="47"/>
  <c r="H21" i="47"/>
  <c r="H22" i="47"/>
  <c r="I22" i="47" s="1"/>
  <c r="I23" i="47"/>
  <c r="J33" i="41"/>
  <c r="L33" i="41" s="1"/>
  <c r="M33" i="41" s="1"/>
  <c r="C33" i="41" s="1"/>
  <c r="D33" i="41" s="1"/>
  <c r="L38" i="41"/>
  <c r="M38" i="41" s="1"/>
  <c r="C38" i="41" s="1"/>
  <c r="D38" i="41" s="1"/>
  <c r="H35" i="47"/>
  <c r="H9" i="47"/>
  <c r="I28" i="47"/>
  <c r="J38" i="41"/>
  <c r="H18" i="47"/>
  <c r="J32" i="41"/>
  <c r="I15" i="47"/>
  <c r="J25" i="41"/>
  <c r="L25" i="41" s="1"/>
  <c r="M25" i="41" s="1"/>
  <c r="C25" i="41" s="1"/>
  <c r="D25" i="41" s="1"/>
  <c r="H13" i="47"/>
  <c r="H17" i="47"/>
  <c r="I12" i="47"/>
  <c r="J22" i="41"/>
  <c r="L22" i="41" s="1"/>
  <c r="M22" i="41" s="1"/>
  <c r="H34" i="47"/>
  <c r="H25" i="47"/>
  <c r="H27" i="47"/>
  <c r="H33" i="47"/>
  <c r="H19" i="47"/>
  <c r="I21" i="47"/>
  <c r="J31" i="41"/>
  <c r="H29" i="47"/>
  <c r="H16" i="47"/>
  <c r="H30" i="47"/>
  <c r="H11" i="47"/>
  <c r="H14" i="47"/>
  <c r="I20" i="47"/>
  <c r="J30" i="41"/>
  <c r="H31" i="47"/>
  <c r="H10" i="47"/>
  <c r="H24" i="47"/>
  <c r="L30" i="41"/>
  <c r="M30" i="41" s="1"/>
  <c r="J42" i="41"/>
  <c r="L42" i="41" s="1"/>
  <c r="M42" i="41" s="1"/>
  <c r="C42" i="41" s="1"/>
  <c r="D42" i="41" s="1"/>
  <c r="I32" i="47"/>
  <c r="H8" i="47"/>
  <c r="H26" i="47"/>
  <c r="E20" i="21"/>
  <c r="K28" i="41"/>
  <c r="E23" i="21"/>
  <c r="K31" i="41"/>
  <c r="L31" i="41" s="1"/>
  <c r="M31" i="41" s="1"/>
  <c r="E11" i="21"/>
  <c r="K19" i="41"/>
  <c r="E27" i="21"/>
  <c r="K35" i="41"/>
  <c r="E33" i="21"/>
  <c r="K41" i="41"/>
  <c r="E19" i="21"/>
  <c r="K27" i="41"/>
  <c r="E21" i="21"/>
  <c r="K29" i="41"/>
  <c r="E24" i="21"/>
  <c r="K32" i="41"/>
  <c r="E32" i="21"/>
  <c r="K40" i="41"/>
  <c r="E37" i="21"/>
  <c r="E35" i="21"/>
  <c r="S41" i="51"/>
  <c r="C4" i="51" s="1"/>
  <c r="E14" i="21"/>
  <c r="E18" i="21"/>
  <c r="E22" i="21"/>
  <c r="E13" i="21"/>
  <c r="H48" i="41"/>
  <c r="E16" i="21"/>
  <c r="E12" i="21"/>
  <c r="E36" i="21"/>
  <c r="E29" i="21"/>
  <c r="M77" i="51"/>
  <c r="E4" i="51" s="1"/>
  <c r="E26" i="21"/>
  <c r="E31" i="21"/>
  <c r="Z76" i="21"/>
  <c r="C40" i="21"/>
  <c r="E3" i="51"/>
  <c r="I48" i="41"/>
  <c r="L32" i="41" l="1"/>
  <c r="M32" i="41" s="1"/>
  <c r="C32" i="41" s="1"/>
  <c r="D32" i="41" s="1"/>
  <c r="I11" i="47"/>
  <c r="J21" i="41"/>
  <c r="L21" i="41" s="1"/>
  <c r="M21" i="41" s="1"/>
  <c r="C21" i="41" s="1"/>
  <c r="D21" i="41" s="1"/>
  <c r="J19" i="41"/>
  <c r="L19" i="41" s="1"/>
  <c r="M19" i="41" s="1"/>
  <c r="C19" i="41" s="1"/>
  <c r="D19" i="41" s="1"/>
  <c r="I9" i="47"/>
  <c r="L40" i="41"/>
  <c r="M40" i="41" s="1"/>
  <c r="C40" i="41" s="1"/>
  <c r="D40" i="41" s="1"/>
  <c r="L28" i="41"/>
  <c r="M28" i="41" s="1"/>
  <c r="C28" i="41" s="1"/>
  <c r="D28" i="41" s="1"/>
  <c r="J34" i="41"/>
  <c r="L34" i="41" s="1"/>
  <c r="M34" i="41" s="1"/>
  <c r="C34" i="41" s="1"/>
  <c r="D34" i="41" s="1"/>
  <c r="I24" i="47"/>
  <c r="I30" i="47"/>
  <c r="J40" i="41"/>
  <c r="I19" i="47"/>
  <c r="J29" i="41"/>
  <c r="L29" i="41" s="1"/>
  <c r="M29" i="41" s="1"/>
  <c r="C29" i="41" s="1"/>
  <c r="D29" i="41" s="1"/>
  <c r="I10" i="47"/>
  <c r="J20" i="41"/>
  <c r="L20" i="41" s="1"/>
  <c r="M20" i="41" s="1"/>
  <c r="C20" i="41" s="1"/>
  <c r="D20" i="41" s="1"/>
  <c r="J43" i="41"/>
  <c r="L43" i="41" s="1"/>
  <c r="M43" i="41" s="1"/>
  <c r="C43" i="41" s="1"/>
  <c r="D43" i="41" s="1"/>
  <c r="I33" i="47"/>
  <c r="I35" i="47"/>
  <c r="J45" i="41"/>
  <c r="L45" i="41" s="1"/>
  <c r="M45" i="41" s="1"/>
  <c r="I26" i="47"/>
  <c r="J36" i="41"/>
  <c r="L36" i="41" s="1"/>
  <c r="M36" i="41" s="1"/>
  <c r="C36" i="41" s="1"/>
  <c r="D36" i="41" s="1"/>
  <c r="I27" i="47"/>
  <c r="J37" i="41"/>
  <c r="L37" i="41" s="1"/>
  <c r="M37" i="41" s="1"/>
  <c r="C37" i="41" s="1"/>
  <c r="D37" i="41" s="1"/>
  <c r="J27" i="41"/>
  <c r="L27" i="41" s="1"/>
  <c r="M27" i="41" s="1"/>
  <c r="C27" i="41" s="1"/>
  <c r="D27" i="41" s="1"/>
  <c r="I17" i="47"/>
  <c r="I18" i="47"/>
  <c r="J28" i="41"/>
  <c r="I14" i="47"/>
  <c r="J24" i="41"/>
  <c r="L24" i="41" s="1"/>
  <c r="M24" i="41" s="1"/>
  <c r="C24" i="41" s="1"/>
  <c r="D24" i="41" s="1"/>
  <c r="I31" i="47"/>
  <c r="J41" i="41"/>
  <c r="L41" i="41" s="1"/>
  <c r="M41" i="41" s="1"/>
  <c r="C41" i="41" s="1"/>
  <c r="D41" i="41" s="1"/>
  <c r="J18" i="41"/>
  <c r="L18" i="41" s="1"/>
  <c r="M18" i="41" s="1"/>
  <c r="C18" i="41" s="1"/>
  <c r="D18" i="41" s="1"/>
  <c r="I8" i="47"/>
  <c r="J26" i="41"/>
  <c r="L26" i="41" s="1"/>
  <c r="M26" i="41" s="1"/>
  <c r="I16" i="47"/>
  <c r="J35" i="41"/>
  <c r="I25" i="47"/>
  <c r="I13" i="47"/>
  <c r="J23" i="41"/>
  <c r="L23" i="41" s="1"/>
  <c r="M23" i="41" s="1"/>
  <c r="C23" i="41" s="1"/>
  <c r="D23" i="41" s="1"/>
  <c r="L35" i="41"/>
  <c r="M35" i="41" s="1"/>
  <c r="C35" i="41" s="1"/>
  <c r="D35" i="41" s="1"/>
  <c r="I29" i="47"/>
  <c r="J39" i="41"/>
  <c r="L39" i="41" s="1"/>
  <c r="M39" i="41" s="1"/>
  <c r="C39" i="41" s="1"/>
  <c r="D39" i="41" s="1"/>
  <c r="I34" i="47"/>
  <c r="J44" i="41"/>
  <c r="L44" i="41" s="1"/>
  <c r="M44" i="41" s="1"/>
  <c r="C44" i="41" s="1"/>
  <c r="D44" i="41" s="1"/>
  <c r="C45" i="41"/>
  <c r="D45" i="41" s="1"/>
  <c r="D40" i="21"/>
  <c r="C2" i="21" s="1"/>
  <c r="E40" i="21"/>
  <c r="C3" i="21" s="1"/>
  <c r="C30" i="41"/>
  <c r="D30" i="41" s="1"/>
  <c r="C26" i="41"/>
  <c r="D26" i="41" s="1"/>
  <c r="H38" i="47"/>
  <c r="C31" i="41"/>
  <c r="D31" i="41" s="1"/>
  <c r="C22" i="41"/>
  <c r="D22" i="41" s="1"/>
  <c r="K48" i="41" l="1"/>
  <c r="I38" i="47"/>
  <c r="C3" i="47" s="1"/>
  <c r="C17" i="41"/>
  <c r="D17" i="41" s="1"/>
  <c r="C46" i="41"/>
  <c r="D46" i="41" s="1"/>
  <c r="C2" i="47"/>
  <c r="L48" i="41" l="1"/>
  <c r="F3" i="12" s="1"/>
  <c r="M48" i="41"/>
  <c r="C16" i="41"/>
  <c r="J48" i="41"/>
  <c r="C48" i="41" l="1"/>
  <c r="D16" i="41"/>
  <c r="C4" i="41"/>
  <c r="H3" i="12" s="1"/>
  <c r="G3" i="12"/>
  <c r="C6" i="41"/>
  <c r="C5" i="41" l="1"/>
  <c r="E16" i="41"/>
  <c r="E17" i="41" s="1"/>
  <c r="E18" i="41" s="1"/>
  <c r="E19" i="41" s="1"/>
  <c r="E20" i="41" s="1"/>
  <c r="E21" i="41" s="1"/>
  <c r="E22" i="41" s="1"/>
  <c r="E23" i="41" s="1"/>
  <c r="E24" i="41" s="1"/>
  <c r="E25" i="41" s="1"/>
  <c r="E26" i="41" s="1"/>
  <c r="E27" i="41" s="1"/>
  <c r="E28" i="41" s="1"/>
  <c r="E29" i="41" s="1"/>
  <c r="E30" i="41" s="1"/>
  <c r="E31" i="41" s="1"/>
  <c r="E32" i="41" s="1"/>
  <c r="E33" i="41" s="1"/>
  <c r="E34" i="41" s="1"/>
  <c r="E35" i="41" s="1"/>
  <c r="E36" i="41" s="1"/>
  <c r="E37" i="41" s="1"/>
  <c r="E38" i="41" s="1"/>
  <c r="E39" i="41" s="1"/>
  <c r="E40" i="41" s="1"/>
  <c r="E41" i="41" s="1"/>
  <c r="E42" i="41" s="1"/>
  <c r="E43" i="41" s="1"/>
  <c r="E44" i="41" s="1"/>
  <c r="E45" i="41" s="1"/>
  <c r="E46" i="41" s="1"/>
  <c r="E47" i="41" s="1"/>
  <c r="D48" i="41"/>
</calcChain>
</file>

<file path=xl/sharedStrings.xml><?xml version="1.0" encoding="utf-8"?>
<sst xmlns="http://schemas.openxmlformats.org/spreadsheetml/2006/main" count="502" uniqueCount="310">
  <si>
    <t>Total</t>
  </si>
  <si>
    <t>Year</t>
  </si>
  <si>
    <t>Capital Costs</t>
  </si>
  <si>
    <t>Economic Competitiveness</t>
  </si>
  <si>
    <t>Safety</t>
  </si>
  <si>
    <t>Total Net Benefit</t>
  </si>
  <si>
    <t>Net Present Value (NPV)</t>
  </si>
  <si>
    <t>Discount Rate</t>
  </si>
  <si>
    <t>Fatality</t>
  </si>
  <si>
    <t>Benefit-Cost Ratio</t>
  </si>
  <si>
    <t>Non-Incapacitating Injury</t>
  </si>
  <si>
    <t>Possible Injury</t>
  </si>
  <si>
    <t>Property Damage</t>
  </si>
  <si>
    <t>Collisions</t>
  </si>
  <si>
    <t>Persons</t>
  </si>
  <si>
    <t>Collision by Severity</t>
  </si>
  <si>
    <t>Value of Reduced Fatalities and Injuries</t>
  </si>
  <si>
    <t>KABCO Level</t>
  </si>
  <si>
    <t>Monetized Value</t>
  </si>
  <si>
    <t>O - No Injury</t>
  </si>
  <si>
    <t>C - Possible Injury</t>
  </si>
  <si>
    <t>B - Non-incapacitating</t>
  </si>
  <si>
    <t>A - Incapacitating</t>
  </si>
  <si>
    <t>K - Killed</t>
  </si>
  <si>
    <t>U - Injured (Severity Unknown)</t>
  </si>
  <si>
    <t># of Accidents Reported (Unknown if Injured)</t>
  </si>
  <si>
    <t>Property Damage Only Crashes</t>
  </si>
  <si>
    <t>Per Vehicle</t>
  </si>
  <si>
    <t>No Build</t>
  </si>
  <si>
    <t>No Build Scenario</t>
  </si>
  <si>
    <t>Total (5 Years)</t>
  </si>
  <si>
    <t>Total Cost</t>
  </si>
  <si>
    <t>Average Vehicle Occupancy</t>
  </si>
  <si>
    <t>Vehicle Type</t>
  </si>
  <si>
    <t>Passenger Vehicles</t>
  </si>
  <si>
    <t>Trucks</t>
  </si>
  <si>
    <t>Occupancy</t>
  </si>
  <si>
    <t>Build Scenario</t>
  </si>
  <si>
    <t>Potential Cost Savings</t>
  </si>
  <si>
    <t>Average Vehicle per Crash</t>
  </si>
  <si>
    <t>Vehicle/Crash</t>
  </si>
  <si>
    <t>Collision Rate per Average Daily Traffic</t>
  </si>
  <si>
    <t>Build</t>
  </si>
  <si>
    <t>Est. # of Collisions</t>
  </si>
  <si>
    <t>Est. # of Vehicles</t>
  </si>
  <si>
    <t>Est. # of People</t>
  </si>
  <si>
    <t>PDO (Vehicle)</t>
  </si>
  <si>
    <t>PDO (People)</t>
  </si>
  <si>
    <t>Pos. Injury</t>
  </si>
  <si>
    <t>Non-Incap. Injury</t>
  </si>
  <si>
    <t>Damage Costs for Pollutant Emissions</t>
  </si>
  <si>
    <t>Emission Type</t>
  </si>
  <si>
    <t>Carbon Dioxide</t>
  </si>
  <si>
    <t>Volatile Organic Compounds</t>
  </si>
  <si>
    <t>Nitrogen Oxides</t>
  </si>
  <si>
    <t>Particulate Matter</t>
  </si>
  <si>
    <t>Sulfur Dioxide</t>
  </si>
  <si>
    <t>Project Cost</t>
  </si>
  <si>
    <t>Percent Project Cost Paid</t>
  </si>
  <si>
    <t>Project</t>
  </si>
  <si>
    <t>Total Net Benefit (NPV)</t>
  </si>
  <si>
    <t>All Crashes within project extents</t>
  </si>
  <si>
    <t>Total Benefits</t>
  </si>
  <si>
    <t>Injury Type Per Individual</t>
  </si>
  <si>
    <t>Travel Time Savings</t>
  </si>
  <si>
    <t>Direct User Benefits</t>
  </si>
  <si>
    <t>Net Present Value</t>
  </si>
  <si>
    <t>Internal Rate of Return</t>
  </si>
  <si>
    <t>Benefit/Cost Ratio</t>
  </si>
  <si>
    <t>Analysis Year</t>
  </si>
  <si>
    <t>Crash Savings</t>
  </si>
  <si>
    <t>Operation and Maintenance Costs</t>
  </si>
  <si>
    <t>Subtotal</t>
  </si>
  <si>
    <t>7% Discount</t>
  </si>
  <si>
    <t>Total Costs</t>
  </si>
  <si>
    <t>Net Direct Benefits</t>
  </si>
  <si>
    <t>Environmental</t>
  </si>
  <si>
    <t>Reduced Pollutants</t>
  </si>
  <si>
    <t>O&amp;M</t>
  </si>
  <si>
    <t>Net Direct Benefits - 7% Discount</t>
  </si>
  <si>
    <t>Project Life (Years)</t>
  </si>
  <si>
    <t>Project Costs (NPV)</t>
  </si>
  <si>
    <t>ADT</t>
  </si>
  <si>
    <t>Project Cost (NPV)</t>
  </si>
  <si>
    <t>Incapacitating Injury</t>
  </si>
  <si>
    <t>Incap. Injury</t>
  </si>
  <si>
    <t>Savings</t>
  </si>
  <si>
    <t>Cumulative</t>
  </si>
  <si>
    <t>Truck</t>
  </si>
  <si>
    <t>No-Build</t>
  </si>
  <si>
    <t>Reduction in VHT</t>
  </si>
  <si>
    <t>VHT Benefit</t>
  </si>
  <si>
    <t>Vehicle Hours Travelled</t>
  </si>
  <si>
    <t>Reduction in VMT</t>
  </si>
  <si>
    <t>Vehicle Miles Travelled</t>
  </si>
  <si>
    <t>Scenario</t>
  </si>
  <si>
    <t>Total Reduced Damage of Pollutant Emissions</t>
  </si>
  <si>
    <t>Environmental Cost Savings - Summary</t>
  </si>
  <si>
    <t>Economic Competitiveness - Summary</t>
  </si>
  <si>
    <t>Safety Crash Savings - Summary</t>
  </si>
  <si>
    <t>Operational Savings</t>
  </si>
  <si>
    <t>VHT Benefit (NPV)</t>
  </si>
  <si>
    <t>VMT Benefit</t>
  </si>
  <si>
    <t>VMT Benefit (NPV)</t>
  </si>
  <si>
    <t>Benefit</t>
  </si>
  <si>
    <t>Benefit (NPV)</t>
  </si>
  <si>
    <t>Potential Cost Savings (NPV)</t>
  </si>
  <si>
    <t>Source: BCA Guidance 2020</t>
  </si>
  <si>
    <t>Source: Truck Value of Time (DOT Benefit-Cost Analysis (BCA) 2020 Resource Guide)</t>
  </si>
  <si>
    <t>Source: Passenger Vehicle Value of Time (DOT Benefit-Cost Analysis (BCA) 2020 Resource Guide)</t>
  </si>
  <si>
    <t>Source: Per-Mile Truck Operating Cost (DOT Benefit-Cost Analysis (BCA) 2020 Resource Guide)</t>
  </si>
  <si>
    <t>Source: Per-Mile Two-Axle Operating Cost (DOT Benefit-Cost Analysis (BCA) 2020 Resource Guide)</t>
  </si>
  <si>
    <t>$ / short ton ($2018)</t>
  </si>
  <si>
    <t>$ / gram ($2018)</t>
  </si>
  <si>
    <t>Unit Value ($2018)</t>
  </si>
  <si>
    <t>Total Project Costs (2018$)</t>
  </si>
  <si>
    <t>Growth Rate and 2019 ADT Calculation</t>
  </si>
  <si>
    <t>Growth Rates &amp; Truck Data</t>
  </si>
  <si>
    <t>Existing ADT of each roadway segment (2019)</t>
  </si>
  <si>
    <t>Source: ODOT</t>
  </si>
  <si>
    <t>Train Data</t>
  </si>
  <si>
    <t>Train Frequency</t>
  </si>
  <si>
    <t>30.5K Gallon General Purpose Tank Car</t>
  </si>
  <si>
    <t>Feet per Hour</t>
  </si>
  <si>
    <t>Feet per Minute</t>
  </si>
  <si>
    <t>Weighted Average</t>
  </si>
  <si>
    <t xml:space="preserve">Segment </t>
  </si>
  <si>
    <t>Segment</t>
  </si>
  <si>
    <t>1405/US 81 S of Chickasha to Hwy 19</t>
  </si>
  <si>
    <t>1405/US 81 S of Chickasha to I-44 Interchange</t>
  </si>
  <si>
    <t>Two-Axle AADT</t>
  </si>
  <si>
    <t>Hwy 19 to Country Club Road</t>
  </si>
  <si>
    <t>I-44 Interchange to Country Club Road Interchange</t>
  </si>
  <si>
    <t>Truck AADT</t>
  </si>
  <si>
    <t>Country Club Road Interchange to Grand Ave Interchange</t>
  </si>
  <si>
    <t>Total AADT</t>
  </si>
  <si>
    <t>Grand Ave Interchange to Iowa Ave Interchange</t>
  </si>
  <si>
    <t>Segment Distance (Miles)</t>
  </si>
  <si>
    <t>Iowa Ave Interchange to US 62/81 Interchange</t>
  </si>
  <si>
    <t>Segment Miles/Total Miles</t>
  </si>
  <si>
    <t>US 62/81 Interchange to northern extent of project</t>
  </si>
  <si>
    <t>Segment AADT</t>
  </si>
  <si>
    <t>Oversize Load Delay</t>
  </si>
  <si>
    <t>Arrivals/Hour</t>
  </si>
  <si>
    <t>Departures/Hour</t>
  </si>
  <si>
    <t>Blockage (hours)</t>
  </si>
  <si>
    <t>Queue</t>
  </si>
  <si>
    <t>Clearance (hours)</t>
  </si>
  <si>
    <t>Delay (Hours)</t>
  </si>
  <si>
    <t>Car</t>
  </si>
  <si>
    <t>Car (v)</t>
  </si>
  <si>
    <t>Truck (v)</t>
  </si>
  <si>
    <t>Car (d)</t>
  </si>
  <si>
    <t>Truck (d)</t>
  </si>
  <si>
    <t>Car (t1)</t>
  </si>
  <si>
    <t>Truck (t1)</t>
  </si>
  <si>
    <t>Car (Qm1)</t>
  </si>
  <si>
    <t>Truck (Qm1)</t>
  </si>
  <si>
    <t>Car (t2)</t>
  </si>
  <si>
    <t>Truck (t2)</t>
  </si>
  <si>
    <t>Notes:</t>
  </si>
  <si>
    <t>Signal is green 45% of the time</t>
  </si>
  <si>
    <t>Train Delay Day Time</t>
  </si>
  <si>
    <t>Trains</t>
  </si>
  <si>
    <t>Day</t>
  </si>
  <si>
    <t>Night</t>
  </si>
  <si>
    <t>Total Reduced Damage of Pollutant Emissions (NPV)</t>
  </si>
  <si>
    <t>CAGR - 2017-2040</t>
  </si>
  <si>
    <t>Truck % - Build</t>
  </si>
  <si>
    <t>Truck % - Build Existing</t>
  </si>
  <si>
    <t>Truck % - No Build</t>
  </si>
  <si>
    <t>Segment 13</t>
  </si>
  <si>
    <t>Segment 15</t>
  </si>
  <si>
    <t>Annual Delay (Hours)</t>
  </si>
  <si>
    <t>Number of Trains/Day</t>
  </si>
  <si>
    <t>6 hours</t>
  </si>
  <si>
    <t>Train Speed (Day)</t>
  </si>
  <si>
    <t>Train Speed (Night)</t>
  </si>
  <si>
    <t>Est. Length of Train (Ft)</t>
  </si>
  <si>
    <t>Est. Length of Train (Mi.)</t>
  </si>
  <si>
    <t>*Assumed 100 cars based upon Table 4.1 in https://expresslanes.codot.gov/programs/transitandrail/resource-materials-new/AARStudy.pdf</t>
  </si>
  <si>
    <t>**https://www.uprr.com/newsinfo/releases/community/2012/1008_up_ok.shtml</t>
  </si>
  <si>
    <t xml:space="preserve">***https://www.gbrx.com/manufacturing/north-america-rail/tank-cars/305k-tank-ethanol-general-purpose/
Assume length of 60.5' </t>
  </si>
  <si>
    <t>Assumed Train Length (Cars)*</t>
  </si>
  <si>
    <t>Assumed Train Car Type**</t>
  </si>
  <si>
    <t>Est. Length of Train Car (Ft.)</t>
  </si>
  <si>
    <t>Train Gate Data - Day</t>
  </si>
  <si>
    <t>Speed (MPH)</t>
  </si>
  <si>
    <t>Gate Down Time (Min.)</t>
  </si>
  <si>
    <t>Buffer**** (Min.)</t>
  </si>
  <si>
    <t>Total Down Time (Min.)</t>
  </si>
  <si>
    <t>Train Gate Data - Night</t>
  </si>
  <si>
    <t>****http://www.seattle.gov/transportation/docs/121105PR-CoalTrainTrafficImpactStudy.pdf 
Page 13 and
http://www.caltrain.com/assets/_engineering/engineering-standards-2/criteria/CHAPTER7.pdf Page 7-19</t>
  </si>
  <si>
    <t>Super Oversize Load Delay</t>
  </si>
  <si>
    <t>Est. Super Oversize Loads at Intersection/Day (Excluding Weekends)</t>
  </si>
  <si>
    <t>Est. Super Oversize Loads at Intersection/Year</t>
  </si>
  <si>
    <t>Total time for loads to clear intersection/day, excluding weekends (Min.)</t>
  </si>
  <si>
    <t>Corridor Information</t>
  </si>
  <si>
    <t>Corridor Length (Mi.)</t>
  </si>
  <si>
    <t>Speed Limit (MPH)</t>
  </si>
  <si>
    <t>Travel Time (Hr.)</t>
  </si>
  <si>
    <t>Avg. time for loads to clear intersection (Min.)</t>
  </si>
  <si>
    <t>Super Load Delay (Hours)</t>
  </si>
  <si>
    <t>Total Delay (Hours)</t>
  </si>
  <si>
    <t>Environmental Protection Cost Savings</t>
  </si>
  <si>
    <t>VMT Savings</t>
  </si>
  <si>
    <t>Pollutant Emissions Calculations (grams)</t>
  </si>
  <si>
    <t>Benefit of Reduced Damage from Pollutant Emissions</t>
  </si>
  <si>
    <t>Benefit of Reduced Damage from Pollutant Emissions (NPV)</t>
  </si>
  <si>
    <t>Particulate Matter (2.5)</t>
  </si>
  <si>
    <t>Carbon Dioxide (2017-2034)</t>
  </si>
  <si>
    <t>Carbon Dioxide (2035-2050)</t>
  </si>
  <si>
    <t>Pollution Emission by Mode (g/Mile)</t>
  </si>
  <si>
    <t>Mode</t>
  </si>
  <si>
    <t>Nox</t>
  </si>
  <si>
    <t>VOC</t>
  </si>
  <si>
    <t>PM2.5</t>
  </si>
  <si>
    <t>CO2e</t>
  </si>
  <si>
    <t>Automobile</t>
  </si>
  <si>
    <t>Trucks - Diesel</t>
  </si>
  <si>
    <t>EPA - Average In-Use Emissions from Heavy Duty Trucks - Table 1</t>
  </si>
  <si>
    <t>Bus - Diesel</t>
  </si>
  <si>
    <t>Bus - CNG</t>
  </si>
  <si>
    <t>Bus - Electric</t>
  </si>
  <si>
    <t>Source: Emissions rates obtained from FTA New and Small Starts Evaluation and Rating Process Final Policy Guidance (June 2016). Carbon dioxide equivalent (CO2e) includes carbon dioxide in addition to other common greenhouse gases standardized in units with social cost equivalent to carbon dioxide alone.</t>
  </si>
  <si>
    <t>Source: https://www.epa.gov/sites/production/files/2015-12/documents/emission-factors_nov_2015.pdf, Table 9</t>
  </si>
  <si>
    <t>Inflation Adjustment</t>
  </si>
  <si>
    <t>Base Year</t>
  </si>
  <si>
    <t>Multiplier</t>
  </si>
  <si>
    <t>Table A-8, 2020 BCA Guidance</t>
  </si>
  <si>
    <t>Growth 2019-2040</t>
  </si>
  <si>
    <t>Source: ODOT; Google Maps</t>
  </si>
  <si>
    <t>Source: USDOT Crossing Inventory Form</t>
  </si>
  <si>
    <t>Build - Existing</t>
  </si>
  <si>
    <t>Train Delay (Hours)</t>
  </si>
  <si>
    <t>Source: ODOT, Google Maps</t>
  </si>
  <si>
    <t>Segment (2019) - Existing</t>
  </si>
  <si>
    <t>Residual Value (2054$)</t>
  </si>
  <si>
    <t>Capital and Operating Cost Calculations</t>
  </si>
  <si>
    <t>30 Year Costs</t>
  </si>
  <si>
    <t>30 Year O&amp;M Costs</t>
  </si>
  <si>
    <t>Existing O&amp;M</t>
  </si>
  <si>
    <t>Future O&amp;M</t>
  </si>
  <si>
    <t>Strategy</t>
  </si>
  <si>
    <t>Lane Miles</t>
  </si>
  <si>
    <t>Frequency (Years)</t>
  </si>
  <si>
    <t>Pavement Preservation - JCP for Control 2606</t>
  </si>
  <si>
    <t>Pavement Preservation - JCP for Control 2608</t>
  </si>
  <si>
    <t>Pavement Preservation - AC for Control 2608</t>
  </si>
  <si>
    <t>General Maintenance</t>
  </si>
  <si>
    <t>Reconstruction Year</t>
  </si>
  <si>
    <t>Pavement Preservation - JCP for Control 2602</t>
  </si>
  <si>
    <t>O&amp;M Strategy - Existing</t>
  </si>
  <si>
    <t>Frequency After (Years)</t>
  </si>
  <si>
    <t>Rehab Every X Years</t>
  </si>
  <si>
    <t>O&amp;M Strategy - Proposed</t>
  </si>
  <si>
    <t>Pavement Preservation - Roadway</t>
  </si>
  <si>
    <t>Pavement Preservation - Bridge Joint Replacement</t>
  </si>
  <si>
    <t>Pavement Preservation - Bridge Silane</t>
  </si>
  <si>
    <t>One time</t>
  </si>
  <si>
    <t>Existing Rehab Project</t>
  </si>
  <si>
    <t>Future Rehab Project</t>
  </si>
  <si>
    <t>Safety Crash Savings</t>
  </si>
  <si>
    <t>Source: http://sp.mdot.ms.gov/Environmental/Projects/Current%20Projects/District%201%20and%202/Tupelo%20Railroad%20Relocation/Feasibility%20Study/Volume%20I%20-%20Report/Report/Section%2007%20-%20At%20Grade%20Traffic%20Delay.pdf</t>
  </si>
  <si>
    <t>Arterial capacity of a single lane for cars is 1800/hour, trucks 900/hour; Cars = Highway Capacity Manual; Trucks = Assumed 50% of car capacity</t>
  </si>
  <si>
    <t>Source: 2018 Grady County Crash Facts</t>
  </si>
  <si>
    <t>http://ohso.ok.gov/Websites/ohso/images/CrashBooks/2018/2018_S2_Crashes.pdf</t>
  </si>
  <si>
    <t>Existing (No Build Rate)</t>
  </si>
  <si>
    <t>Total Crash Rate/100 Million VMT</t>
  </si>
  <si>
    <t>Grady County</t>
  </si>
  <si>
    <t>Source: ODOT 2017 Crash Facts</t>
  </si>
  <si>
    <t>ADT Bypass</t>
  </si>
  <si>
    <t>ADT Existing</t>
  </si>
  <si>
    <t>Source: ODOT Project Area Crash Data 2014-2018</t>
  </si>
  <si>
    <t>Preservation Cost / Lane Mile</t>
  </si>
  <si>
    <t>2020 BCA SUMMARY - U.S. 81 Realignment</t>
  </si>
  <si>
    <t>Rehab Cost / Lane Mile</t>
  </si>
  <si>
    <t>Reconstruction or Rehab Cost / Lane Mile</t>
  </si>
  <si>
    <t>30 Year BENEFITS</t>
  </si>
  <si>
    <t>Maintenance Cost Calculations</t>
  </si>
  <si>
    <t>Source: BCA Guidelines 2020</t>
  </si>
  <si>
    <t>Source: Truck - Diesel rates obtained from EPA, Emissions Facts, Average In-Use Emissions from Heavy-Duty Trucks, October 2008, Table 1</t>
  </si>
  <si>
    <t>Traffic Volumes</t>
  </si>
  <si>
    <t>No Build ADT</t>
  </si>
  <si>
    <t>Build ADT</t>
  </si>
  <si>
    <t>VHT</t>
  </si>
  <si>
    <t>VMT</t>
  </si>
  <si>
    <t>ADT - Bypass</t>
  </si>
  <si>
    <t>ADT - Existing</t>
  </si>
  <si>
    <t>Truck VHT</t>
  </si>
  <si>
    <t>Build - Bypass</t>
  </si>
  <si>
    <t>Truck VMT</t>
  </si>
  <si>
    <t>Segment (2055) - Build (Existing US 81)</t>
  </si>
  <si>
    <t>Segment (2055) - Build (US 81 Bypass)</t>
  </si>
  <si>
    <t>AADT (Segment 9) Annual</t>
  </si>
  <si>
    <t>Passenger Vehicle VMT</t>
  </si>
  <si>
    <t>Passenger Vehicle VHT</t>
  </si>
  <si>
    <t>AADT (Segment 9) Daily</t>
  </si>
  <si>
    <t>AADT (Segment 7) Daily</t>
  </si>
  <si>
    <t>AADT (Segment 8) Daily</t>
  </si>
  <si>
    <t>Country Club Road to I-44</t>
  </si>
  <si>
    <t>I-44 to Alabama Ave</t>
  </si>
  <si>
    <t>Alabama Ave to Idaho Ave</t>
  </si>
  <si>
    <t>Idaho Ave to Choctaw Ave</t>
  </si>
  <si>
    <t>Choctaw Ave/US 81 to 9th St</t>
  </si>
  <si>
    <t>9th St to US 81/US 61 Intersection</t>
  </si>
  <si>
    <t>US 81/US 61 Intersection to North end of project</t>
  </si>
  <si>
    <t>30 Year COSTS</t>
  </si>
  <si>
    <t>Growth 2041-2056</t>
  </si>
  <si>
    <t>CAGR - 2041-2056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</si>
</sst>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0.0000000000"/>
    <numFmt numFmtId="165" formatCode="_(&quot;$&quot;* #,##0_);_(&quot;$&quot;* \(#,##0\);_(&quot;$&quot;* &quot;-&quot;??_);_(@_)"/>
    <numFmt numFmtId="166" formatCode="0.00000"/>
    <numFmt numFmtId="167" formatCode="0.000"/>
    <numFmt numFmtId="168" formatCode="0.0%"/>
    <numFmt numFmtId="169" formatCode="&quot;$&quot;#,##0"/>
    <numFmt numFmtId="170" formatCode="0.0"/>
    <numFmt numFmtId="171" formatCode="_(* #,##0_);_(* \(#,##0\);_(* &quot;-&quot;??_);_(@_)"/>
    <numFmt numFmtId="172" formatCode="0.000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sz val="10"/>
      <name val="MS Sans Serif"/>
      <family val="2"/>
    </font>
    <font>
      <sz val="11"/>
      <color theme="1"/>
      <name val="Calibri"/>
      <family val="2"/>
      <scheme val="minor"/>
    </font>
    <font>
      <sz val="10"/>
      <color rgb="FFFF0000"/>
      <name val="Arial"/>
      <family val="2"/>
    </font>
    <font>
      <b/>
      <sz val="18"/>
      <color theme="1"/>
      <name val="Calibri"/>
      <family val="2"/>
      <scheme val="minor"/>
    </font>
    <font>
      <b/>
      <sz val="14"/>
      <color theme="1"/>
      <name val="Calibri"/>
      <family val="2"/>
      <scheme val="minor"/>
    </font>
    <font>
      <sz val="10"/>
      <name val="Arial Narrow"/>
      <family val="2"/>
    </font>
    <font>
      <b/>
      <sz val="10"/>
      <name val="Arial Narrow"/>
      <family val="2"/>
    </font>
    <font>
      <b/>
      <sz val="10"/>
      <color theme="0"/>
      <name val="Arial Narrow"/>
      <family val="2"/>
    </font>
    <font>
      <sz val="10"/>
      <color theme="0"/>
      <name val="Arial Narrow"/>
      <family val="2"/>
    </font>
    <font>
      <sz val="10"/>
      <color rgb="FFFF0000"/>
      <name val="Arial Narrow"/>
      <family val="2"/>
    </font>
    <font>
      <b/>
      <sz val="11"/>
      <color theme="0"/>
      <name val="Arial Narrow"/>
      <family val="2"/>
    </font>
    <font>
      <sz val="12"/>
      <name val="Arial Narrow"/>
      <family val="2"/>
    </font>
    <font>
      <b/>
      <sz val="11"/>
      <name val="Arial Narrow"/>
      <family val="2"/>
    </font>
    <font>
      <sz val="11"/>
      <color theme="1"/>
      <name val="Arial Narrow"/>
      <family val="2"/>
    </font>
    <font>
      <b/>
      <sz val="12"/>
      <name val="Arial Narrow"/>
      <family val="2"/>
    </font>
    <font>
      <sz val="16"/>
      <name val="Arial Narrow"/>
      <family val="2"/>
    </font>
    <font>
      <i/>
      <sz val="10"/>
      <name val="Arial Narrow"/>
      <family val="2"/>
    </font>
    <font>
      <b/>
      <sz val="14"/>
      <name val="Arial Narrow"/>
      <family val="2"/>
    </font>
    <font>
      <b/>
      <sz val="12"/>
      <color theme="0"/>
      <name val="Arial Narrow"/>
      <family val="2"/>
    </font>
    <font>
      <b/>
      <sz val="16"/>
      <name val="Arial Narrow"/>
      <family val="2"/>
    </font>
    <font>
      <u/>
      <sz val="10"/>
      <color theme="10"/>
      <name val="Arial"/>
      <family val="2"/>
    </font>
    <font>
      <u/>
      <sz val="11"/>
      <color theme="10"/>
      <name val="Calibri"/>
      <family val="2"/>
      <scheme val="minor"/>
    </font>
    <font>
      <sz val="8"/>
      <name val="Arial Narrow"/>
      <family val="2"/>
    </font>
    <font>
      <sz val="10"/>
      <color theme="1"/>
      <name val="Arial Narrow"/>
      <family val="2"/>
    </font>
    <font>
      <b/>
      <sz val="10"/>
      <color theme="1"/>
      <name val="Arial Narrow"/>
      <family val="2"/>
    </font>
    <font>
      <sz val="11"/>
      <name val="Arial Narrow"/>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EF5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top style="hair">
        <color indexed="64"/>
      </top>
      <bottom style="double">
        <color indexed="64"/>
      </bottom>
      <diagonal/>
    </border>
  </borders>
  <cellStyleXfs count="37">
    <xf numFmtId="0" fontId="0" fillId="0" borderId="0"/>
    <xf numFmtId="0" fontId="10" fillId="0" borderId="0" applyNumberFormat="0" applyAlignment="0"/>
    <xf numFmtId="43" fontId="14" fillId="0" borderId="0" applyFont="0" applyFill="0" applyBorder="0" applyAlignment="0" applyProtection="0"/>
    <xf numFmtId="44" fontId="9" fillId="0" borderId="0" applyFont="0" applyFill="0" applyBorder="0" applyAlignment="0" applyProtection="0"/>
    <xf numFmtId="38" fontId="10" fillId="2"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10" fontId="10" fillId="3" borderId="3" applyNumberFormat="0" applyBorder="0" applyAlignment="0" applyProtection="0"/>
    <xf numFmtId="164" fontId="9" fillId="0" borderId="0"/>
    <xf numFmtId="0" fontId="9" fillId="0" borderId="0"/>
    <xf numFmtId="9" fontId="9" fillId="0" borderId="0" applyFont="0" applyFill="0" applyBorder="0" applyAlignment="0" applyProtection="0"/>
    <xf numFmtId="10" fontId="9" fillId="0" borderId="0" applyFont="0" applyFill="0" applyBorder="0" applyAlignment="0" applyProtection="0"/>
    <xf numFmtId="0" fontId="13" fillId="0" borderId="0" applyNumberFormat="0" applyFont="0" applyFill="0" applyBorder="0" applyAlignment="0" applyProtection="0">
      <alignment horizontal="left"/>
    </xf>
    <xf numFmtId="0" fontId="9" fillId="0" borderId="0"/>
    <xf numFmtId="43" fontId="9" fillId="0" borderId="0" applyFont="0" applyFill="0" applyBorder="0" applyAlignment="0" applyProtection="0"/>
    <xf numFmtId="0" fontId="8" fillId="0" borderId="0"/>
    <xf numFmtId="0" fontId="8" fillId="0" borderId="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44" fontId="9" fillId="0" borderId="0" applyFont="0" applyFill="0" applyBorder="0" applyAlignment="0" applyProtection="0"/>
    <xf numFmtId="0" fontId="9" fillId="0" borderId="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3" fillId="0" borderId="0" applyNumberForma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4" fillId="0" borderId="0" applyNumberForma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506">
    <xf numFmtId="0" fontId="0" fillId="0" borderId="0" xfId="0"/>
    <xf numFmtId="0" fontId="18" fillId="0" borderId="0" xfId="0" applyFont="1"/>
    <xf numFmtId="0" fontId="18" fillId="0" borderId="0" xfId="0" applyFont="1" applyFill="1" applyBorder="1"/>
    <xf numFmtId="0" fontId="19" fillId="0" borderId="0" xfId="0" applyFont="1" applyFill="1" applyBorder="1" applyAlignment="1"/>
    <xf numFmtId="0" fontId="18" fillId="0" borderId="0" xfId="0" applyFont="1" applyFill="1" applyBorder="1" applyAlignment="1">
      <alignmen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9" fontId="18" fillId="0" borderId="0" xfId="10" applyFont="1" applyFill="1" applyBorder="1" applyAlignment="1">
      <alignment horizontal="center"/>
    </xf>
    <xf numFmtId="0" fontId="22" fillId="0" borderId="0" xfId="0" applyFont="1" applyAlignment="1">
      <alignment horizontal="center"/>
    </xf>
    <xf numFmtId="7" fontId="18" fillId="0" borderId="4" xfId="0" applyNumberFormat="1" applyFont="1" applyFill="1" applyBorder="1"/>
    <xf numFmtId="7" fontId="18" fillId="0" borderId="5" xfId="0" applyNumberFormat="1" applyFont="1" applyFill="1" applyBorder="1"/>
    <xf numFmtId="0" fontId="18" fillId="0" borderId="0" xfId="0" applyFont="1" applyAlignment="1"/>
    <xf numFmtId="1" fontId="18" fillId="0" borderId="17" xfId="0" applyNumberFormat="1" applyFont="1" applyFill="1" applyBorder="1" applyAlignment="1">
      <alignment horizontal="center"/>
    </xf>
    <xf numFmtId="1" fontId="18" fillId="0" borderId="17" xfId="0" applyNumberFormat="1" applyFont="1" applyFill="1" applyBorder="1" applyAlignment="1">
      <alignment horizontal="center" vertical="center"/>
    </xf>
    <xf numFmtId="169" fontId="18" fillId="0" borderId="17" xfId="0" applyNumberFormat="1" applyFont="1" applyFill="1" applyBorder="1"/>
    <xf numFmtId="0" fontId="20" fillId="7" borderId="6" xfId="0" applyFont="1" applyFill="1" applyBorder="1" applyAlignment="1">
      <alignment horizontal="center" vertical="center"/>
    </xf>
    <xf numFmtId="0" fontId="20" fillId="7" borderId="6" xfId="0" applyFont="1" applyFill="1" applyBorder="1" applyAlignment="1">
      <alignment horizontal="center" vertical="center" wrapText="1"/>
    </xf>
    <xf numFmtId="0" fontId="23" fillId="7" borderId="6" xfId="9" applyFont="1" applyFill="1" applyBorder="1" applyAlignment="1">
      <alignment horizontal="center" vertical="center"/>
    </xf>
    <xf numFmtId="5" fontId="24" fillId="0" borderId="5" xfId="3" applyNumberFormat="1" applyFont="1" applyFill="1" applyBorder="1" applyAlignment="1">
      <alignment horizontal="center" vertical="center"/>
    </xf>
    <xf numFmtId="2" fontId="24" fillId="0" borderId="5" xfId="9" applyNumberFormat="1" applyFont="1" applyFill="1" applyBorder="1" applyAlignment="1">
      <alignment horizontal="center" vertical="center"/>
    </xf>
    <xf numFmtId="0" fontId="20" fillId="7" borderId="3" xfId="0" applyFont="1" applyFill="1" applyBorder="1" applyAlignment="1">
      <alignment horizontal="center" wrapText="1"/>
    </xf>
    <xf numFmtId="0" fontId="20" fillId="7" borderId="3" xfId="0" applyFont="1" applyFill="1" applyBorder="1" applyAlignment="1">
      <alignment vertical="center"/>
    </xf>
    <xf numFmtId="5" fontId="18" fillId="0" borderId="13" xfId="0" applyNumberFormat="1" applyFont="1" applyFill="1" applyBorder="1" applyAlignment="1">
      <alignment horizontal="right"/>
    </xf>
    <xf numFmtId="5" fontId="18" fillId="0" borderId="15" xfId="3" applyNumberFormat="1" applyFont="1" applyFill="1" applyBorder="1" applyAlignment="1">
      <alignment horizontal="right"/>
    </xf>
    <xf numFmtId="5" fontId="18" fillId="0" borderId="14" xfId="3" applyNumberFormat="1" applyFont="1" applyFill="1" applyBorder="1" applyAlignment="1">
      <alignment horizontal="right"/>
    </xf>
    <xf numFmtId="3" fontId="18" fillId="0" borderId="17" xfId="0" applyNumberFormat="1" applyFont="1" applyFill="1" applyBorder="1" applyAlignment="1">
      <alignment horizontal="center"/>
    </xf>
    <xf numFmtId="3" fontId="18" fillId="5" borderId="17" xfId="0" applyNumberFormat="1" applyFont="1" applyFill="1" applyBorder="1" applyAlignment="1">
      <alignment horizontal="center"/>
    </xf>
    <xf numFmtId="0" fontId="18" fillId="0" borderId="13" xfId="0" applyFont="1" applyFill="1" applyBorder="1" applyAlignment="1">
      <alignment horizontal="center"/>
    </xf>
    <xf numFmtId="9" fontId="18" fillId="0" borderId="13" xfId="10" applyFont="1" applyFill="1" applyBorder="1" applyAlignment="1">
      <alignment horizontal="center"/>
    </xf>
    <xf numFmtId="0" fontId="18" fillId="0" borderId="14" xfId="0" applyFont="1" applyFill="1" applyBorder="1" applyAlignment="1">
      <alignment horizontal="center"/>
    </xf>
    <xf numFmtId="9" fontId="18" fillId="0" borderId="14" xfId="10" applyFont="1" applyFill="1" applyBorder="1" applyAlignment="1">
      <alignment horizontal="center"/>
    </xf>
    <xf numFmtId="0" fontId="18" fillId="0" borderId="13" xfId="0" applyFont="1" applyFill="1" applyBorder="1" applyAlignment="1">
      <alignment horizontal="center" vertical="center"/>
    </xf>
    <xf numFmtId="0" fontId="18" fillId="0" borderId="16" xfId="0" applyFont="1" applyFill="1" applyBorder="1" applyAlignment="1">
      <alignment horizontal="center" vertical="center"/>
    </xf>
    <xf numFmtId="0" fontId="20" fillId="7" borderId="5" xfId="0" quotePrefix="1"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3" xfId="0" applyFont="1" applyFill="1" applyBorder="1" applyAlignment="1">
      <alignment horizontal="left"/>
    </xf>
    <xf numFmtId="0" fontId="20" fillId="7" borderId="3" xfId="0" applyFont="1" applyFill="1" applyBorder="1" applyAlignment="1"/>
    <xf numFmtId="0" fontId="20" fillId="7" borderId="3" xfId="0" applyFont="1" applyFill="1" applyBorder="1" applyAlignment="1">
      <alignment horizontal="left" vertical="center" wrapText="1"/>
    </xf>
    <xf numFmtId="0" fontId="19" fillId="8" borderId="13" xfId="0" applyFont="1" applyFill="1" applyBorder="1" applyAlignment="1">
      <alignment horizontal="left" vertical="center" wrapText="1"/>
    </xf>
    <xf numFmtId="3" fontId="18" fillId="4" borderId="3" xfId="0" applyNumberFormat="1" applyFont="1" applyFill="1" applyBorder="1" applyAlignment="1">
      <alignment horizontal="right"/>
    </xf>
    <xf numFmtId="10" fontId="18" fillId="5" borderId="3" xfId="10" applyNumberFormat="1" applyFont="1" applyFill="1" applyBorder="1" applyAlignment="1">
      <alignment horizontal="center"/>
    </xf>
    <xf numFmtId="166" fontId="18" fillId="5" borderId="13" xfId="0" applyNumberFormat="1" applyFont="1" applyFill="1" applyBorder="1" applyAlignment="1">
      <alignment horizontal="center" wrapText="1"/>
    </xf>
    <xf numFmtId="2" fontId="18" fillId="4" borderId="3" xfId="0" applyNumberFormat="1"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5" borderId="13" xfId="0" applyFont="1" applyFill="1" applyBorder="1" applyAlignment="1">
      <alignment horizontal="center"/>
    </xf>
    <xf numFmtId="0" fontId="18" fillId="5" borderId="14" xfId="0" applyFont="1" applyFill="1" applyBorder="1" applyAlignment="1">
      <alignment horizontal="center"/>
    </xf>
    <xf numFmtId="0" fontId="18" fillId="5" borderId="13" xfId="0" applyFont="1" applyFill="1" applyBorder="1" applyAlignment="1">
      <alignment horizontal="center" vertical="center"/>
    </xf>
    <xf numFmtId="0" fontId="18" fillId="5" borderId="16" xfId="0" applyFont="1" applyFill="1" applyBorder="1" applyAlignment="1">
      <alignment horizontal="center" vertical="center"/>
    </xf>
    <xf numFmtId="3" fontId="18" fillId="0" borderId="15" xfId="0" applyNumberFormat="1" applyFont="1" applyFill="1" applyBorder="1" applyAlignment="1">
      <alignment horizontal="center"/>
    </xf>
    <xf numFmtId="37" fontId="18" fillId="5" borderId="15" xfId="2" applyNumberFormat="1" applyFont="1" applyFill="1" applyBorder="1" applyAlignment="1">
      <alignment horizontal="center"/>
    </xf>
    <xf numFmtId="1" fontId="18" fillId="5" borderId="17" xfId="0" applyNumberFormat="1" applyFont="1" applyFill="1" applyBorder="1" applyAlignment="1">
      <alignment horizontal="center"/>
    </xf>
    <xf numFmtId="169" fontId="18" fillId="5" borderId="17" xfId="0" applyNumberFormat="1" applyFont="1" applyFill="1" applyBorder="1"/>
    <xf numFmtId="1" fontId="18" fillId="5" borderId="17" xfId="0" applyNumberFormat="1" applyFont="1" applyFill="1" applyBorder="1" applyAlignment="1">
      <alignment horizontal="center" vertical="center"/>
    </xf>
    <xf numFmtId="9" fontId="18" fillId="0" borderId="17" xfId="10" applyFont="1" applyFill="1" applyBorder="1" applyAlignment="1">
      <alignment horizontal="center"/>
    </xf>
    <xf numFmtId="9" fontId="18" fillId="0" borderId="15" xfId="10" applyFont="1" applyFill="1" applyBorder="1" applyAlignment="1">
      <alignment horizontal="center"/>
    </xf>
    <xf numFmtId="5" fontId="18" fillId="5" borderId="3" xfId="3" applyNumberFormat="1" applyFont="1" applyFill="1" applyBorder="1" applyAlignment="1">
      <alignment horizontal="right"/>
    </xf>
    <xf numFmtId="5" fontId="18" fillId="4" borderId="3" xfId="3" applyNumberFormat="1" applyFont="1" applyFill="1" applyBorder="1" applyAlignment="1">
      <alignment horizontal="right"/>
    </xf>
    <xf numFmtId="0" fontId="18" fillId="4" borderId="3" xfId="3" applyNumberFormat="1" applyFont="1" applyFill="1" applyBorder="1" applyAlignment="1">
      <alignment horizontal="right"/>
    </xf>
    <xf numFmtId="9" fontId="19" fillId="0" borderId="5" xfId="0" applyNumberFormat="1" applyFont="1" applyFill="1" applyBorder="1" applyAlignment="1">
      <alignment horizontal="center"/>
    </xf>
    <xf numFmtId="0" fontId="18" fillId="0" borderId="15" xfId="0" applyFont="1" applyFill="1" applyBorder="1" applyAlignment="1">
      <alignment horizontal="center"/>
    </xf>
    <xf numFmtId="9" fontId="18" fillId="0" borderId="3" xfId="10" applyFont="1" applyFill="1" applyBorder="1"/>
    <xf numFmtId="169" fontId="18" fillId="4" borderId="3" xfId="3" applyNumberFormat="1" applyFont="1" applyFill="1" applyBorder="1"/>
    <xf numFmtId="169" fontId="19" fillId="5" borderId="5" xfId="0" applyNumberFormat="1" applyFont="1" applyFill="1" applyBorder="1" applyAlignment="1"/>
    <xf numFmtId="169" fontId="18" fillId="4" borderId="13" xfId="3" applyNumberFormat="1" applyFont="1" applyFill="1" applyBorder="1" applyAlignment="1">
      <alignment horizontal="right"/>
    </xf>
    <xf numFmtId="169" fontId="18" fillId="4" borderId="15" xfId="3" applyNumberFormat="1" applyFont="1" applyFill="1" applyBorder="1" applyAlignment="1">
      <alignment horizontal="right"/>
    </xf>
    <xf numFmtId="169" fontId="18" fillId="4" borderId="15" xfId="3" applyNumberFormat="1" applyFont="1" applyFill="1" applyBorder="1" applyAlignment="1">
      <alignment horizontal="right" vertical="center"/>
    </xf>
    <xf numFmtId="169" fontId="18" fillId="4" borderId="14" xfId="3" applyNumberFormat="1" applyFont="1" applyFill="1" applyBorder="1" applyAlignment="1">
      <alignment horizontal="right" vertical="center"/>
    </xf>
    <xf numFmtId="169" fontId="18" fillId="5" borderId="3" xfId="3" applyNumberFormat="1" applyFont="1" applyFill="1" applyBorder="1" applyAlignment="1">
      <alignment horizontal="right" vertical="center"/>
    </xf>
    <xf numFmtId="169" fontId="19" fillId="0" borderId="5" xfId="0" applyNumberFormat="1" applyFont="1" applyFill="1" applyBorder="1"/>
    <xf numFmtId="3" fontId="18" fillId="0" borderId="28" xfId="0" applyNumberFormat="1" applyFont="1" applyFill="1" applyBorder="1" applyAlignment="1">
      <alignment horizontal="center"/>
    </xf>
    <xf numFmtId="3" fontId="18" fillId="5" borderId="28" xfId="0" applyNumberFormat="1" applyFont="1" applyFill="1" applyBorder="1" applyAlignment="1">
      <alignment horizontal="center"/>
    </xf>
    <xf numFmtId="37" fontId="18" fillId="5" borderId="28" xfId="2" applyNumberFormat="1" applyFont="1" applyFill="1" applyBorder="1" applyAlignment="1">
      <alignment horizontal="center"/>
    </xf>
    <xf numFmtId="1" fontId="18" fillId="0" borderId="28" xfId="0" applyNumberFormat="1" applyFont="1" applyFill="1" applyBorder="1" applyAlignment="1">
      <alignment horizontal="center"/>
    </xf>
    <xf numFmtId="1" fontId="18" fillId="5" borderId="28" xfId="0" applyNumberFormat="1" applyFont="1" applyFill="1" applyBorder="1" applyAlignment="1">
      <alignment horizontal="center"/>
    </xf>
    <xf numFmtId="1" fontId="18" fillId="0" borderId="28" xfId="0" applyNumberFormat="1" applyFont="1" applyFill="1" applyBorder="1" applyAlignment="1">
      <alignment horizontal="center" vertical="center"/>
    </xf>
    <xf numFmtId="169" fontId="18" fillId="5" borderId="28" xfId="0" applyNumberFormat="1" applyFont="1" applyFill="1" applyBorder="1"/>
    <xf numFmtId="1" fontId="18" fillId="5" borderId="28" xfId="0" applyNumberFormat="1" applyFont="1" applyFill="1" applyBorder="1" applyAlignment="1">
      <alignment horizontal="center" vertical="center"/>
    </xf>
    <xf numFmtId="169" fontId="18" fillId="0" borderId="28" xfId="0" applyNumberFormat="1" applyFont="1" applyFill="1" applyBorder="1"/>
    <xf numFmtId="9" fontId="18" fillId="0" borderId="28" xfId="10" applyFont="1" applyFill="1" applyBorder="1" applyAlignment="1">
      <alignment horizontal="center"/>
    </xf>
    <xf numFmtId="0" fontId="18" fillId="0" borderId="0" xfId="13" applyFont="1"/>
    <xf numFmtId="0" fontId="20" fillId="7" borderId="6" xfId="13" applyFont="1" applyFill="1" applyBorder="1" applyAlignment="1">
      <alignment horizontal="center" vertical="center" wrapText="1"/>
    </xf>
    <xf numFmtId="0" fontId="19" fillId="9" borderId="17" xfId="13" applyFont="1" applyFill="1" applyBorder="1" applyAlignment="1">
      <alignment horizontal="center"/>
    </xf>
    <xf numFmtId="3" fontId="18" fillId="5" borderId="17" xfId="13" applyNumberFormat="1" applyFont="1" applyFill="1" applyBorder="1" applyAlignment="1">
      <alignment horizontal="center"/>
    </xf>
    <xf numFmtId="0" fontId="19" fillId="9" borderId="15" xfId="13" applyFont="1" applyFill="1" applyBorder="1" applyAlignment="1">
      <alignment horizontal="center"/>
    </xf>
    <xf numFmtId="3" fontId="18" fillId="5" borderId="24" xfId="13" applyNumberFormat="1" applyFont="1" applyFill="1" applyBorder="1" applyAlignment="1">
      <alignment horizontal="center"/>
    </xf>
    <xf numFmtId="0" fontId="19" fillId="9" borderId="28" xfId="13" applyFont="1" applyFill="1" applyBorder="1" applyAlignment="1">
      <alignment horizontal="center"/>
    </xf>
    <xf numFmtId="3" fontId="18" fillId="5" borderId="28" xfId="13" applyNumberFormat="1" applyFont="1" applyFill="1" applyBorder="1" applyAlignment="1">
      <alignment horizontal="center"/>
    </xf>
    <xf numFmtId="0" fontId="18" fillId="0" borderId="17" xfId="0" applyFont="1" applyFill="1" applyBorder="1" applyAlignment="1">
      <alignment horizontal="center"/>
    </xf>
    <xf numFmtId="10" fontId="27" fillId="6" borderId="3" xfId="13" applyNumberFormat="1" applyFont="1" applyFill="1" applyBorder="1" applyAlignment="1">
      <alignment horizontal="center"/>
    </xf>
    <xf numFmtId="6" fontId="27" fillId="6" borderId="3" xfId="13" applyNumberFormat="1" applyFont="1" applyFill="1" applyBorder="1" applyAlignment="1">
      <alignment horizontal="center"/>
    </xf>
    <xf numFmtId="40" fontId="32" fillId="6" borderId="3" xfId="13" applyNumberFormat="1" applyFont="1" applyFill="1" applyBorder="1" applyAlignment="1">
      <alignment horizontal="center"/>
    </xf>
    <xf numFmtId="0" fontId="20" fillId="7" borderId="3" xfId="0" applyFont="1" applyFill="1" applyBorder="1" applyAlignment="1">
      <alignment horizontal="center"/>
    </xf>
    <xf numFmtId="0" fontId="19" fillId="0" borderId="10" xfId="0" applyFont="1" applyBorder="1" applyAlignment="1">
      <alignment horizontal="right"/>
    </xf>
    <xf numFmtId="0" fontId="20" fillId="7" borderId="6" xfId="0" applyFont="1" applyFill="1" applyBorder="1" applyAlignment="1">
      <alignment horizontal="center" wrapText="1"/>
    </xf>
    <xf numFmtId="0" fontId="19" fillId="9" borderId="14" xfId="13" applyFont="1" applyFill="1" applyBorder="1" applyAlignment="1">
      <alignment horizontal="center"/>
    </xf>
    <xf numFmtId="0" fontId="20" fillId="7" borderId="3" xfId="0" applyFont="1" applyFill="1" applyBorder="1" applyAlignment="1">
      <alignment horizontal="center" vertical="center" wrapText="1"/>
    </xf>
    <xf numFmtId="0" fontId="20" fillId="7" borderId="6" xfId="0" applyFont="1" applyFill="1" applyBorder="1" applyAlignment="1">
      <alignment horizontal="center" vertical="center" wrapText="1"/>
    </xf>
    <xf numFmtId="3" fontId="18" fillId="5" borderId="15" xfId="13" applyNumberFormat="1" applyFont="1" applyFill="1" applyBorder="1" applyAlignment="1">
      <alignment horizontal="center"/>
    </xf>
    <xf numFmtId="3" fontId="18" fillId="5" borderId="14" xfId="13" applyNumberFormat="1" applyFont="1" applyFill="1" applyBorder="1" applyAlignment="1">
      <alignment horizontal="center"/>
    </xf>
    <xf numFmtId="4" fontId="18" fillId="5" borderId="17" xfId="13" applyNumberFormat="1" applyFont="1" applyFill="1" applyBorder="1" applyAlignment="1">
      <alignment horizontal="center"/>
    </xf>
    <xf numFmtId="0" fontId="20" fillId="7" borderId="6" xfId="0" applyFont="1" applyFill="1" applyBorder="1" applyAlignment="1">
      <alignment horizontal="center" vertical="center" wrapText="1"/>
    </xf>
    <xf numFmtId="0" fontId="20" fillId="7" borderId="3" xfId="13" applyFont="1" applyFill="1" applyBorder="1" applyAlignment="1">
      <alignment horizontal="center" vertical="center" wrapText="1"/>
    </xf>
    <xf numFmtId="0" fontId="0" fillId="11" borderId="0" xfId="0" applyFill="1"/>
    <xf numFmtId="0" fontId="19" fillId="9" borderId="15" xfId="0" applyFont="1" applyFill="1" applyBorder="1" applyAlignment="1">
      <alignment horizontal="center"/>
    </xf>
    <xf numFmtId="3" fontId="18" fillId="11" borderId="17" xfId="0" applyNumberFormat="1" applyFont="1" applyFill="1" applyBorder="1" applyAlignment="1">
      <alignment horizontal="center"/>
    </xf>
    <xf numFmtId="0" fontId="19" fillId="9" borderId="13" xfId="0" applyFont="1" applyFill="1" applyBorder="1"/>
    <xf numFmtId="0" fontId="19" fillId="9" borderId="15" xfId="0" applyFont="1" applyFill="1" applyBorder="1"/>
    <xf numFmtId="0" fontId="19" fillId="9" borderId="14" xfId="0" applyFont="1" applyFill="1" applyBorder="1"/>
    <xf numFmtId="0" fontId="15" fillId="11" borderId="0" xfId="0" applyFont="1" applyFill="1"/>
    <xf numFmtId="0" fontId="20" fillId="7" borderId="5" xfId="0" applyFont="1" applyFill="1" applyBorder="1" applyAlignment="1">
      <alignment horizontal="center" wrapText="1"/>
    </xf>
    <xf numFmtId="0" fontId="0" fillId="9" borderId="3" xfId="0" applyFont="1" applyFill="1" applyBorder="1" applyAlignment="1">
      <alignment horizontal="center"/>
    </xf>
    <xf numFmtId="0" fontId="0" fillId="11" borderId="3" xfId="0" applyFont="1" applyFill="1" applyBorder="1" applyAlignment="1">
      <alignment horizontal="center" vertical="center"/>
    </xf>
    <xf numFmtId="0" fontId="33" fillId="11" borderId="0" xfId="28" applyFill="1"/>
    <xf numFmtId="0" fontId="0" fillId="11" borderId="0" xfId="0" applyFont="1" applyFill="1" applyBorder="1" applyAlignment="1">
      <alignment wrapText="1"/>
    </xf>
    <xf numFmtId="0" fontId="0" fillId="11" borderId="0" xfId="0" applyFill="1" applyAlignment="1">
      <alignment vertical="top" wrapText="1"/>
    </xf>
    <xf numFmtId="0" fontId="20" fillId="7" borderId="31" xfId="0" applyFont="1" applyFill="1" applyBorder="1" applyAlignment="1">
      <alignment vertical="center"/>
    </xf>
    <xf numFmtId="0" fontId="20" fillId="7" borderId="32" xfId="0" applyFont="1" applyFill="1" applyBorder="1" applyAlignment="1">
      <alignment vertical="center"/>
    </xf>
    <xf numFmtId="0" fontId="19" fillId="11" borderId="17" xfId="0" applyFont="1" applyFill="1" applyBorder="1" applyAlignment="1">
      <alignment horizontal="center"/>
    </xf>
    <xf numFmtId="172" fontId="19" fillId="11" borderId="17" xfId="0" applyNumberFormat="1" applyFont="1" applyFill="1" applyBorder="1" applyAlignment="1">
      <alignment horizontal="center"/>
    </xf>
    <xf numFmtId="0" fontId="18" fillId="11" borderId="0" xfId="0" applyFont="1" applyFill="1" applyBorder="1" applyAlignment="1">
      <alignment horizontal="left" wrapText="1"/>
    </xf>
    <xf numFmtId="0" fontId="19" fillId="11" borderId="0" xfId="0" applyFont="1" applyFill="1" applyBorder="1" applyAlignment="1">
      <alignment horizontal="left" wrapText="1"/>
    </xf>
    <xf numFmtId="0" fontId="18" fillId="11" borderId="0" xfId="0" applyFont="1" applyFill="1"/>
    <xf numFmtId="3" fontId="18" fillId="11" borderId="0" xfId="0" applyNumberFormat="1" applyFont="1" applyFill="1"/>
    <xf numFmtId="43" fontId="18" fillId="11" borderId="0" xfId="0" applyNumberFormat="1" applyFont="1" applyFill="1"/>
    <xf numFmtId="0" fontId="19" fillId="11" borderId="0" xfId="0" applyFont="1" applyFill="1" applyBorder="1" applyAlignment="1">
      <alignment horizontal="left"/>
    </xf>
    <xf numFmtId="0" fontId="9" fillId="11" borderId="0" xfId="0" applyFont="1" applyFill="1"/>
    <xf numFmtId="0" fontId="9" fillId="11" borderId="0" xfId="0" applyFont="1" applyFill="1" applyAlignment="1"/>
    <xf numFmtId="0" fontId="0" fillId="11" borderId="0" xfId="0" applyFill="1" applyAlignment="1"/>
    <xf numFmtId="0" fontId="18" fillId="11" borderId="0" xfId="0" applyFont="1" applyFill="1" applyAlignment="1"/>
    <xf numFmtId="0" fontId="18" fillId="11" borderId="0" xfId="0" applyFont="1" applyFill="1" applyBorder="1" applyAlignment="1">
      <alignment horizontal="center" vertical="center"/>
    </xf>
    <xf numFmtId="0" fontId="18" fillId="11" borderId="0" xfId="0" applyFont="1" applyFill="1" applyBorder="1" applyAlignment="1">
      <alignment horizontal="center" vertical="center" wrapText="1"/>
    </xf>
    <xf numFmtId="0" fontId="18" fillId="11" borderId="0" xfId="0" applyFont="1" applyFill="1" applyBorder="1" applyAlignment="1">
      <alignment vertical="center" wrapText="1"/>
    </xf>
    <xf numFmtId="167" fontId="18" fillId="11" borderId="0" xfId="0" applyNumberFormat="1" applyFont="1" applyFill="1" applyBorder="1" applyAlignment="1">
      <alignment horizontal="center" vertical="center"/>
    </xf>
    <xf numFmtId="0" fontId="18" fillId="11" borderId="0" xfId="0" applyFont="1" applyFill="1" applyBorder="1"/>
    <xf numFmtId="0" fontId="18" fillId="11" borderId="0" xfId="0" applyNumberFormat="1" applyFont="1" applyFill="1"/>
    <xf numFmtId="167" fontId="18" fillId="11" borderId="0" xfId="0" applyNumberFormat="1" applyFont="1" applyFill="1"/>
    <xf numFmtId="0" fontId="21" fillId="11" borderId="0" xfId="0" applyFont="1" applyFill="1" applyBorder="1" applyAlignment="1"/>
    <xf numFmtId="0" fontId="21" fillId="11" borderId="0" xfId="0" applyFont="1" applyFill="1" applyBorder="1" applyAlignment="1">
      <alignment horizontal="center" vertical="center"/>
    </xf>
    <xf numFmtId="0" fontId="21" fillId="11" borderId="0" xfId="0" applyFont="1" applyFill="1" applyBorder="1" applyAlignment="1">
      <alignment horizontal="left" vertical="center"/>
    </xf>
    <xf numFmtId="0" fontId="18" fillId="11" borderId="0" xfId="0" applyFont="1" applyFill="1" applyBorder="1" applyAlignment="1">
      <alignment horizontal="right" vertical="center"/>
    </xf>
    <xf numFmtId="0" fontId="18" fillId="11" borderId="0" xfId="0" applyFont="1" applyFill="1" applyBorder="1" applyAlignment="1"/>
    <xf numFmtId="0" fontId="19" fillId="11" borderId="0" xfId="0" applyFont="1" applyFill="1" applyBorder="1" applyAlignment="1">
      <alignment horizontal="left" vertical="center" wrapText="1"/>
    </xf>
    <xf numFmtId="0" fontId="19" fillId="11" borderId="0" xfId="0" applyFont="1" applyFill="1"/>
    <xf numFmtId="0" fontId="0" fillId="11" borderId="0" xfId="0" applyFill="1" applyBorder="1"/>
    <xf numFmtId="0" fontId="11" fillId="11" borderId="0" xfId="0" applyFont="1" applyFill="1" applyBorder="1" applyAlignment="1">
      <alignment horizontal="center"/>
    </xf>
    <xf numFmtId="0" fontId="11" fillId="11" borderId="0" xfId="0" applyFont="1" applyFill="1" applyBorder="1" applyAlignment="1"/>
    <xf numFmtId="0" fontId="20" fillId="11" borderId="0" xfId="0" applyFont="1" applyFill="1" applyBorder="1" applyAlignment="1"/>
    <xf numFmtId="0" fontId="9" fillId="11" borderId="0" xfId="0" applyFont="1" applyFill="1" applyBorder="1" applyAlignment="1"/>
    <xf numFmtId="0" fontId="9" fillId="11" borderId="0" xfId="0" applyFont="1" applyFill="1" applyBorder="1" applyAlignment="1">
      <alignment horizontal="center"/>
    </xf>
    <xf numFmtId="0" fontId="9" fillId="11" borderId="0" xfId="0" quotePrefix="1" applyFont="1" applyFill="1" applyBorder="1" applyAlignment="1">
      <alignment horizontal="center" vertical="center" wrapText="1"/>
    </xf>
    <xf numFmtId="0" fontId="9" fillId="11" borderId="0" xfId="0" applyFont="1" applyFill="1" applyBorder="1" applyAlignment="1">
      <alignment horizontal="center" vertical="center" wrapText="1"/>
    </xf>
    <xf numFmtId="168" fontId="9" fillId="11" borderId="0" xfId="0" applyNumberFormat="1" applyFont="1" applyFill="1" applyBorder="1" applyAlignment="1">
      <alignment horizontal="center" vertical="center" wrapText="1"/>
    </xf>
    <xf numFmtId="10" fontId="9" fillId="11" borderId="0" xfId="0" applyNumberFormat="1" applyFont="1" applyFill="1" applyBorder="1" applyAlignment="1">
      <alignment horizontal="center" vertical="center"/>
    </xf>
    <xf numFmtId="0" fontId="19" fillId="11" borderId="0" xfId="0" applyFont="1" applyFill="1" applyBorder="1" applyAlignment="1"/>
    <xf numFmtId="0" fontId="9" fillId="11" borderId="0" xfId="0" applyFont="1" applyFill="1" applyBorder="1" applyAlignment="1">
      <alignment vertical="center"/>
    </xf>
    <xf numFmtId="0" fontId="0" fillId="11" borderId="0" xfId="0" applyFill="1" applyBorder="1" applyAlignment="1">
      <alignment horizontal="center" vertical="center"/>
    </xf>
    <xf numFmtId="10" fontId="0" fillId="11" borderId="0" xfId="0" applyNumberFormat="1" applyFill="1" applyBorder="1" applyAlignment="1">
      <alignment horizontal="center"/>
    </xf>
    <xf numFmtId="0" fontId="18" fillId="11" borderId="0" xfId="0" applyFont="1" applyFill="1" applyBorder="1" applyAlignment="1">
      <alignment vertical="center"/>
    </xf>
    <xf numFmtId="9" fontId="18" fillId="11" borderId="0" xfId="10" applyFont="1" applyFill="1" applyBorder="1" applyAlignment="1">
      <alignment horizontal="center"/>
    </xf>
    <xf numFmtId="0" fontId="9" fillId="11" borderId="0" xfId="0" applyFont="1" applyFill="1" applyBorder="1"/>
    <xf numFmtId="0" fontId="0" fillId="11" borderId="0" xfId="0" applyFill="1" applyBorder="1" applyAlignment="1">
      <alignment horizontal="right" vertical="center"/>
    </xf>
    <xf numFmtId="0" fontId="18" fillId="11" borderId="0" xfId="0" applyFont="1" applyFill="1" applyBorder="1" applyAlignment="1">
      <alignment horizontal="center"/>
    </xf>
    <xf numFmtId="0" fontId="18" fillId="11" borderId="20" xfId="0" applyFont="1" applyFill="1" applyBorder="1" applyAlignment="1">
      <alignment vertical="center"/>
    </xf>
    <xf numFmtId="0" fontId="18" fillId="11" borderId="0" xfId="0" applyFont="1" applyFill="1" applyAlignment="1">
      <alignment vertical="center"/>
    </xf>
    <xf numFmtId="0" fontId="22" fillId="11" borderId="0" xfId="0" applyFont="1" applyFill="1"/>
    <xf numFmtId="0" fontId="22" fillId="11" borderId="0" xfId="0" applyFont="1" applyFill="1" applyAlignment="1">
      <alignment horizontal="center"/>
    </xf>
    <xf numFmtId="0" fontId="28" fillId="11" borderId="0" xfId="0" applyFont="1" applyFill="1" applyAlignment="1"/>
    <xf numFmtId="0" fontId="25" fillId="11" borderId="0" xfId="0" applyFont="1" applyFill="1" applyBorder="1" applyAlignment="1"/>
    <xf numFmtId="0" fontId="18" fillId="11" borderId="0" xfId="0" quotePrefix="1" applyFont="1" applyFill="1" applyBorder="1" applyAlignment="1">
      <alignment horizontal="center" vertical="center" wrapText="1"/>
    </xf>
    <xf numFmtId="0" fontId="18" fillId="11" borderId="0" xfId="13" applyFont="1" applyFill="1"/>
    <xf numFmtId="44" fontId="18" fillId="11" borderId="3" xfId="3" applyFont="1" applyFill="1" applyBorder="1"/>
    <xf numFmtId="3" fontId="18" fillId="11" borderId="0" xfId="13" applyNumberFormat="1" applyFont="1" applyFill="1" applyBorder="1" applyAlignment="1">
      <alignment horizontal="center"/>
    </xf>
    <xf numFmtId="0" fontId="19" fillId="11" borderId="0" xfId="13" applyFont="1" applyFill="1" applyBorder="1" applyAlignment="1">
      <alignment horizontal="center"/>
    </xf>
    <xf numFmtId="1" fontId="18" fillId="11" borderId="0" xfId="13" applyNumberFormat="1" applyFont="1" applyFill="1"/>
    <xf numFmtId="0" fontId="22" fillId="11" borderId="0" xfId="13" applyFont="1" applyFill="1" applyAlignment="1">
      <alignment horizontal="center"/>
    </xf>
    <xf numFmtId="0" fontId="18" fillId="11" borderId="0" xfId="13" quotePrefix="1" applyFont="1" applyFill="1"/>
    <xf numFmtId="0" fontId="20" fillId="7" borderId="3" xfId="13" applyFont="1" applyFill="1" applyBorder="1" applyAlignment="1">
      <alignment horizontal="center" wrapText="1"/>
    </xf>
    <xf numFmtId="0" fontId="16" fillId="11" borderId="0" xfId="0" applyFont="1" applyFill="1"/>
    <xf numFmtId="14" fontId="17" fillId="11" borderId="0" xfId="0" applyNumberFormat="1" applyFont="1" applyFill="1"/>
    <xf numFmtId="6" fontId="18" fillId="11" borderId="0" xfId="0" applyNumberFormat="1" applyFont="1" applyFill="1"/>
    <xf numFmtId="0" fontId="25" fillId="11" borderId="0" xfId="13" applyFont="1" applyFill="1" applyBorder="1" applyAlignment="1"/>
    <xf numFmtId="0" fontId="20" fillId="11" borderId="0" xfId="13" applyFont="1" applyFill="1" applyBorder="1" applyAlignment="1"/>
    <xf numFmtId="0" fontId="26" fillId="11" borderId="0" xfId="25" applyFont="1" applyFill="1"/>
    <xf numFmtId="0" fontId="0" fillId="11" borderId="0" xfId="0" applyFill="1" applyAlignment="1">
      <alignment horizontal="center"/>
    </xf>
    <xf numFmtId="0" fontId="18" fillId="11" borderId="0" xfId="13" applyFont="1" applyFill="1" applyAlignment="1">
      <alignment horizontal="center"/>
    </xf>
    <xf numFmtId="0" fontId="12" fillId="11" borderId="0" xfId="5" applyFill="1" applyBorder="1" applyAlignment="1"/>
    <xf numFmtId="2" fontId="18" fillId="4" borderId="3" xfId="3" applyNumberFormat="1" applyFont="1" applyFill="1" applyBorder="1" applyAlignment="1">
      <alignment horizontal="right" vertical="center"/>
    </xf>
    <xf numFmtId="1" fontId="18" fillId="5" borderId="3" xfId="3" applyNumberFormat="1" applyFont="1" applyFill="1" applyBorder="1" applyAlignment="1">
      <alignment horizontal="right" vertical="center"/>
    </xf>
    <xf numFmtId="1" fontId="18" fillId="10" borderId="3" xfId="3" applyNumberFormat="1" applyFont="1" applyFill="1" applyBorder="1" applyAlignment="1">
      <alignment horizontal="right" vertical="center"/>
    </xf>
    <xf numFmtId="169" fontId="18" fillId="10" borderId="3" xfId="3" applyNumberFormat="1" applyFont="1" applyFill="1" applyBorder="1" applyAlignment="1">
      <alignment horizontal="right" vertical="center"/>
    </xf>
    <xf numFmtId="0" fontId="0" fillId="11" borderId="0" xfId="0" applyFill="1" applyAlignment="1">
      <alignment wrapText="1"/>
    </xf>
    <xf numFmtId="6" fontId="18" fillId="5" borderId="15" xfId="3" applyNumberFormat="1" applyFont="1" applyFill="1" applyBorder="1" applyAlignment="1">
      <alignment horizontal="right"/>
    </xf>
    <xf numFmtId="6" fontId="18" fillId="0" borderId="17" xfId="3" applyNumberFormat="1" applyFont="1" applyFill="1" applyBorder="1" applyAlignment="1">
      <alignment horizontal="right"/>
    </xf>
    <xf numFmtId="6" fontId="18" fillId="5" borderId="17" xfId="3" applyNumberFormat="1" applyFont="1" applyFill="1" applyBorder="1" applyAlignment="1">
      <alignment horizontal="right"/>
    </xf>
    <xf numFmtId="6" fontId="18" fillId="5" borderId="28" xfId="3" applyNumberFormat="1" applyFont="1" applyFill="1" applyBorder="1" applyAlignment="1">
      <alignment horizontal="right"/>
    </xf>
    <xf numFmtId="6" fontId="18" fillId="0" borderId="28" xfId="3" applyNumberFormat="1" applyFont="1" applyFill="1" applyBorder="1" applyAlignment="1">
      <alignment horizontal="right"/>
    </xf>
    <xf numFmtId="6" fontId="19" fillId="5" borderId="5" xfId="3" applyNumberFormat="1" applyFont="1" applyFill="1" applyBorder="1" applyAlignment="1">
      <alignment horizontal="right"/>
    </xf>
    <xf numFmtId="6" fontId="19" fillId="0" borderId="5" xfId="3" applyNumberFormat="1" applyFont="1" applyFill="1" applyBorder="1" applyAlignment="1">
      <alignment horizontal="right"/>
    </xf>
    <xf numFmtId="6" fontId="18" fillId="0" borderId="17" xfId="10" applyNumberFormat="1" applyFont="1" applyFill="1" applyBorder="1" applyAlignment="1"/>
    <xf numFmtId="6" fontId="18" fillId="5" borderId="17" xfId="10" applyNumberFormat="1" applyFont="1" applyFill="1" applyBorder="1" applyAlignment="1"/>
    <xf numFmtId="6" fontId="18" fillId="0" borderId="15" xfId="3" applyNumberFormat="1" applyFont="1" applyFill="1" applyBorder="1" applyAlignment="1"/>
    <xf numFmtId="6" fontId="18" fillId="5" borderId="17" xfId="3" applyNumberFormat="1" applyFont="1" applyFill="1" applyBorder="1" applyAlignment="1"/>
    <xf numFmtId="6" fontId="18" fillId="0" borderId="17" xfId="3" applyNumberFormat="1" applyFont="1" applyFill="1" applyBorder="1" applyAlignment="1"/>
    <xf numFmtId="6" fontId="18" fillId="0" borderId="28" xfId="10" applyNumberFormat="1" applyFont="1" applyFill="1" applyBorder="1" applyAlignment="1"/>
    <xf numFmtId="6" fontId="18" fillId="5" borderId="28" xfId="10" applyNumberFormat="1" applyFont="1" applyFill="1" applyBorder="1" applyAlignment="1"/>
    <xf numFmtId="6" fontId="18" fillId="0" borderId="28" xfId="3" applyNumberFormat="1" applyFont="1" applyFill="1" applyBorder="1" applyAlignment="1"/>
    <xf numFmtId="6" fontId="18" fillId="5" borderId="28" xfId="3" applyNumberFormat="1" applyFont="1" applyFill="1" applyBorder="1" applyAlignment="1"/>
    <xf numFmtId="6" fontId="18" fillId="0" borderId="5" xfId="10" applyNumberFormat="1" applyFont="1" applyFill="1" applyBorder="1" applyAlignment="1">
      <alignment horizontal="right"/>
    </xf>
    <xf numFmtId="6" fontId="18" fillId="5" borderId="5" xfId="10" applyNumberFormat="1" applyFont="1" applyFill="1" applyBorder="1" applyAlignment="1">
      <alignment horizontal="right"/>
    </xf>
    <xf numFmtId="0" fontId="19" fillId="11" borderId="20" xfId="13" applyFont="1" applyFill="1" applyBorder="1" applyAlignment="1">
      <alignment wrapText="1"/>
    </xf>
    <xf numFmtId="0" fontId="19" fillId="11" borderId="25" xfId="13" applyFont="1" applyFill="1" applyBorder="1" applyAlignment="1">
      <alignment wrapText="1"/>
    </xf>
    <xf numFmtId="2" fontId="18" fillId="4" borderId="13" xfId="0" applyNumberFormat="1" applyFont="1" applyFill="1" applyBorder="1" applyAlignment="1">
      <alignment horizontal="center" vertical="center" wrapText="1"/>
    </xf>
    <xf numFmtId="0" fontId="33" fillId="0" borderId="0" xfId="28"/>
    <xf numFmtId="1" fontId="18" fillId="11" borderId="17" xfId="0" applyNumberFormat="1" applyFont="1" applyFill="1" applyBorder="1" applyAlignment="1">
      <alignment horizontal="center" vertical="center"/>
    </xf>
    <xf numFmtId="169" fontId="18" fillId="11" borderId="17" xfId="0" applyNumberFormat="1" applyFont="1" applyFill="1" applyBorder="1"/>
    <xf numFmtId="1" fontId="18" fillId="11" borderId="28" xfId="0" applyNumberFormat="1" applyFont="1" applyFill="1" applyBorder="1" applyAlignment="1">
      <alignment horizontal="center" vertical="center"/>
    </xf>
    <xf numFmtId="169" fontId="18" fillId="11" borderId="28" xfId="0" applyNumberFormat="1" applyFont="1" applyFill="1" applyBorder="1"/>
    <xf numFmtId="169" fontId="19" fillId="11" borderId="5" xfId="0" applyNumberFormat="1" applyFont="1" applyFill="1" applyBorder="1" applyAlignment="1"/>
    <xf numFmtId="37" fontId="18" fillId="11" borderId="17" xfId="2" applyNumberFormat="1" applyFont="1" applyFill="1" applyBorder="1" applyAlignment="1">
      <alignment horizontal="center"/>
    </xf>
    <xf numFmtId="1" fontId="18" fillId="11" borderId="17" xfId="0" applyNumberFormat="1" applyFont="1" applyFill="1" applyBorder="1" applyAlignment="1">
      <alignment horizontal="center"/>
    </xf>
    <xf numFmtId="3" fontId="18" fillId="11" borderId="28" xfId="0" applyNumberFormat="1" applyFont="1" applyFill="1" applyBorder="1" applyAlignment="1">
      <alignment horizontal="center"/>
    </xf>
    <xf numFmtId="37" fontId="18" fillId="11" borderId="28" xfId="2" applyNumberFormat="1" applyFont="1" applyFill="1" applyBorder="1" applyAlignment="1">
      <alignment horizontal="center"/>
    </xf>
    <xf numFmtId="1" fontId="18" fillId="11" borderId="28" xfId="0" applyNumberFormat="1" applyFont="1" applyFill="1" applyBorder="1" applyAlignment="1">
      <alignment horizontal="center"/>
    </xf>
    <xf numFmtId="169" fontId="19" fillId="5" borderId="5" xfId="0" applyNumberFormat="1" applyFont="1" applyFill="1" applyBorder="1"/>
    <xf numFmtId="6" fontId="18" fillId="11" borderId="17" xfId="3" applyNumberFormat="1" applyFont="1" applyFill="1" applyBorder="1" applyAlignment="1"/>
    <xf numFmtId="6" fontId="18" fillId="11" borderId="28" xfId="3" applyNumberFormat="1" applyFont="1" applyFill="1" applyBorder="1" applyAlignment="1"/>
    <xf numFmtId="6" fontId="18" fillId="11" borderId="5" xfId="3" applyNumberFormat="1" applyFont="1" applyFill="1" applyBorder="1" applyAlignment="1"/>
    <xf numFmtId="6" fontId="18" fillId="5" borderId="5" xfId="3" applyNumberFormat="1" applyFont="1" applyFill="1" applyBorder="1" applyAlignment="1"/>
    <xf numFmtId="0" fontId="20" fillId="7" borderId="3" xfId="13" applyFont="1" applyFill="1" applyBorder="1" applyAlignment="1">
      <alignment horizontal="center" vertical="center" wrapText="1"/>
    </xf>
    <xf numFmtId="6" fontId="36" fillId="11" borderId="17" xfId="0" applyNumberFormat="1" applyFont="1" applyFill="1" applyBorder="1" applyAlignment="1">
      <alignment horizontal="right"/>
    </xf>
    <xf numFmtId="6" fontId="36" fillId="5" borderId="17" xfId="0" applyNumberFormat="1" applyFont="1" applyFill="1" applyBorder="1" applyAlignment="1">
      <alignment horizontal="right"/>
    </xf>
    <xf numFmtId="6" fontId="36" fillId="5" borderId="16" xfId="0" applyNumberFormat="1" applyFont="1" applyFill="1" applyBorder="1" applyAlignment="1">
      <alignment horizontal="right"/>
    </xf>
    <xf numFmtId="6" fontId="36" fillId="5" borderId="15" xfId="0" applyNumberFormat="1" applyFont="1" applyFill="1" applyBorder="1" applyAlignment="1">
      <alignment horizontal="right"/>
    </xf>
    <xf numFmtId="6" fontId="36" fillId="11" borderId="5" xfId="0" applyNumberFormat="1" applyFont="1" applyFill="1" applyBorder="1" applyAlignment="1">
      <alignment horizontal="right"/>
    </xf>
    <xf numFmtId="6" fontId="36" fillId="5" borderId="5" xfId="0" applyNumberFormat="1" applyFont="1" applyFill="1" applyBorder="1" applyAlignment="1">
      <alignment horizontal="right"/>
    </xf>
    <xf numFmtId="6" fontId="37" fillId="5" borderId="5" xfId="0" applyNumberFormat="1" applyFont="1" applyFill="1" applyBorder="1"/>
    <xf numFmtId="6" fontId="36" fillId="11" borderId="17" xfId="0" applyNumberFormat="1" applyFont="1" applyFill="1" applyBorder="1" applyAlignment="1">
      <alignment horizontal="right" vertical="center" wrapText="1"/>
    </xf>
    <xf numFmtId="6" fontId="36" fillId="5" borderId="17" xfId="0" applyNumberFormat="1" applyFont="1" applyFill="1" applyBorder="1" applyAlignment="1">
      <alignment horizontal="right" vertical="center" wrapText="1"/>
    </xf>
    <xf numFmtId="6" fontId="36" fillId="0" borderId="5" xfId="0" applyNumberFormat="1" applyFont="1" applyFill="1" applyBorder="1" applyAlignment="1"/>
    <xf numFmtId="6" fontId="36" fillId="5" borderId="5" xfId="0" applyNumberFormat="1" applyFont="1" applyFill="1" applyBorder="1" applyAlignment="1"/>
    <xf numFmtId="0" fontId="20" fillId="7" borderId="3" xfId="13" applyFont="1" applyFill="1" applyBorder="1" applyAlignment="1">
      <alignment horizontal="center" vertical="center" wrapText="1"/>
    </xf>
    <xf numFmtId="0" fontId="20" fillId="7" borderId="3" xfId="13" applyFont="1" applyFill="1" applyBorder="1" applyAlignment="1">
      <alignment horizontal="center"/>
    </xf>
    <xf numFmtId="0" fontId="20" fillId="7" borderId="3" xfId="13" applyFont="1" applyFill="1" applyBorder="1" applyAlignment="1">
      <alignment horizontal="center" vertical="center"/>
    </xf>
    <xf numFmtId="0" fontId="20" fillId="7" borderId="7" xfId="13" applyFont="1" applyFill="1" applyBorder="1" applyAlignment="1">
      <alignment horizontal="center" vertical="center" wrapText="1"/>
    </xf>
    <xf numFmtId="10" fontId="18" fillId="5" borderId="3" xfId="13" applyNumberFormat="1" applyFont="1" applyFill="1" applyBorder="1" applyAlignment="1">
      <alignment horizontal="right" vertical="center" wrapText="1"/>
    </xf>
    <xf numFmtId="0" fontId="20" fillId="7" borderId="3" xfId="13" applyFont="1" applyFill="1" applyBorder="1" applyAlignment="1">
      <alignment horizontal="center" vertical="center" wrapText="1"/>
    </xf>
    <xf numFmtId="0" fontId="20" fillId="7" borderId="3" xfId="13" applyFont="1" applyFill="1" applyBorder="1" applyAlignment="1">
      <alignment horizontal="center"/>
    </xf>
    <xf numFmtId="10" fontId="18" fillId="5" borderId="3" xfId="13" applyNumberFormat="1" applyFont="1" applyFill="1" applyBorder="1" applyAlignment="1">
      <alignment horizontal="right" vertical="center" wrapText="1"/>
    </xf>
    <xf numFmtId="2" fontId="18" fillId="5" borderId="3" xfId="13" applyNumberFormat="1" applyFont="1" applyFill="1" applyBorder="1" applyAlignment="1">
      <alignment horizontal="right" vertical="center" wrapText="1"/>
    </xf>
    <xf numFmtId="0" fontId="20" fillId="7" borderId="3" xfId="13" applyFont="1" applyFill="1" applyBorder="1" applyAlignment="1">
      <alignment horizontal="center" vertical="center"/>
    </xf>
    <xf numFmtId="0" fontId="30" fillId="11" borderId="0" xfId="13" applyFont="1" applyFill="1"/>
    <xf numFmtId="0" fontId="20" fillId="7" borderId="6" xfId="13" applyFont="1" applyFill="1" applyBorder="1" applyAlignment="1">
      <alignment horizontal="center" vertical="center"/>
    </xf>
    <xf numFmtId="3" fontId="18" fillId="0" borderId="17" xfId="13" applyNumberFormat="1" applyFont="1" applyBorder="1" applyAlignment="1">
      <alignment horizontal="center"/>
    </xf>
    <xf numFmtId="3" fontId="18" fillId="0" borderId="28" xfId="13" applyNumberFormat="1" applyFont="1" applyBorder="1" applyAlignment="1">
      <alignment horizontal="center"/>
    </xf>
    <xf numFmtId="0" fontId="19" fillId="11" borderId="0" xfId="13" applyFont="1" applyFill="1"/>
    <xf numFmtId="165" fontId="19" fillId="11" borderId="0" xfId="3" applyNumberFormat="1" applyFont="1" applyFill="1"/>
    <xf numFmtId="3" fontId="18" fillId="11" borderId="0" xfId="13" applyNumberFormat="1" applyFont="1" applyFill="1" applyAlignment="1">
      <alignment horizontal="center"/>
    </xf>
    <xf numFmtId="0" fontId="18" fillId="11" borderId="0" xfId="13" applyFont="1" applyFill="1" applyAlignment="1">
      <alignment horizontal="right"/>
    </xf>
    <xf numFmtId="0" fontId="19" fillId="11" borderId="0" xfId="13" applyFont="1" applyFill="1" applyAlignment="1">
      <alignment horizontal="right"/>
    </xf>
    <xf numFmtId="4" fontId="18" fillId="0" borderId="17" xfId="13" applyNumberFormat="1" applyFont="1" applyBorder="1" applyAlignment="1">
      <alignment horizontal="center"/>
    </xf>
    <xf numFmtId="3" fontId="18" fillId="0" borderId="15" xfId="13" applyNumberFormat="1" applyFont="1" applyBorder="1" applyAlignment="1">
      <alignment horizontal="center"/>
    </xf>
    <xf numFmtId="0" fontId="9" fillId="11" borderId="0" xfId="13" applyFill="1"/>
    <xf numFmtId="3" fontId="18" fillId="0" borderId="14" xfId="13" applyNumberFormat="1" applyFont="1" applyBorder="1" applyAlignment="1">
      <alignment horizontal="center"/>
    </xf>
    <xf numFmtId="0" fontId="18" fillId="11" borderId="0" xfId="13" applyFont="1" applyFill="1" applyAlignment="1">
      <alignment horizontal="center" vertical="center"/>
    </xf>
    <xf numFmtId="43" fontId="18" fillId="11" borderId="0" xfId="36" applyFont="1" applyFill="1" applyAlignment="1">
      <alignment vertical="center"/>
    </xf>
    <xf numFmtId="0" fontId="19" fillId="11" borderId="0" xfId="13" applyFont="1" applyFill="1" applyAlignment="1">
      <alignment horizontal="center"/>
    </xf>
    <xf numFmtId="0" fontId="18" fillId="11" borderId="0" xfId="13" applyFont="1" applyFill="1" applyAlignment="1">
      <alignment vertical="center"/>
    </xf>
    <xf numFmtId="0" fontId="19" fillId="11" borderId="0" xfId="13" applyFont="1" applyFill="1" applyAlignment="1">
      <alignment horizontal="center" vertical="center"/>
    </xf>
    <xf numFmtId="9" fontId="18" fillId="11" borderId="0" xfId="13" applyNumberFormat="1" applyFont="1" applyFill="1" applyAlignment="1">
      <alignment horizontal="center" vertical="center"/>
    </xf>
    <xf numFmtId="0" fontId="19" fillId="11" borderId="0" xfId="13" applyFont="1" applyFill="1" applyAlignment="1">
      <alignment horizontal="left" wrapText="1"/>
    </xf>
    <xf numFmtId="0" fontId="19" fillId="11" borderId="0" xfId="13" applyFont="1" applyFill="1" applyAlignment="1">
      <alignment horizontal="center" vertical="center" wrapText="1"/>
    </xf>
    <xf numFmtId="0" fontId="19" fillId="11" borderId="0" xfId="13" applyFont="1" applyFill="1" applyAlignment="1">
      <alignment vertical="center" wrapText="1"/>
    </xf>
    <xf numFmtId="0" fontId="19" fillId="11" borderId="0" xfId="13" applyFont="1" applyFill="1" applyAlignment="1">
      <alignment wrapText="1"/>
    </xf>
    <xf numFmtId="0" fontId="19" fillId="9" borderId="3" xfId="13" applyFont="1" applyFill="1" applyBorder="1"/>
    <xf numFmtId="171" fontId="18" fillId="0" borderId="3" xfId="36" applyNumberFormat="1" applyFont="1" applyBorder="1" applyAlignment="1">
      <alignment horizontal="right" vertical="center" wrapText="1"/>
    </xf>
    <xf numFmtId="171" fontId="18" fillId="5" borderId="3" xfId="36" applyNumberFormat="1" applyFont="1" applyFill="1" applyBorder="1" applyAlignment="1">
      <alignment horizontal="right" vertical="center" wrapText="1"/>
    </xf>
    <xf numFmtId="171" fontId="18" fillId="6" borderId="3" xfId="36" applyNumberFormat="1" applyFont="1" applyFill="1" applyBorder="1" applyAlignment="1">
      <alignment horizontal="right" vertical="center" wrapText="1"/>
    </xf>
    <xf numFmtId="2" fontId="18" fillId="0" borderId="3" xfId="13" applyNumberFormat="1" applyFont="1" applyBorder="1" applyAlignment="1">
      <alignment horizontal="right" vertical="center" wrapText="1"/>
    </xf>
    <xf numFmtId="10" fontId="18" fillId="0" borderId="3" xfId="13" applyNumberFormat="1" applyFont="1" applyBorder="1" applyAlignment="1">
      <alignment horizontal="right" vertical="center" wrapText="1"/>
    </xf>
    <xf numFmtId="10" fontId="19" fillId="6" borderId="3" xfId="13" applyNumberFormat="1" applyFont="1" applyFill="1" applyBorder="1"/>
    <xf numFmtId="2" fontId="19" fillId="9" borderId="3" xfId="13" applyNumberFormat="1" applyFont="1" applyFill="1" applyBorder="1"/>
    <xf numFmtId="1" fontId="19" fillId="6" borderId="3" xfId="13" applyNumberFormat="1" applyFont="1" applyFill="1" applyBorder="1"/>
    <xf numFmtId="2" fontId="19" fillId="6" borderId="3" xfId="13" applyNumberFormat="1" applyFont="1" applyFill="1" applyBorder="1"/>
    <xf numFmtId="170" fontId="19" fillId="6" borderId="3" xfId="13" applyNumberFormat="1" applyFont="1" applyFill="1" applyBorder="1"/>
    <xf numFmtId="0" fontId="19" fillId="11" borderId="0" xfId="13" applyFont="1" applyFill="1" applyAlignment="1">
      <alignment horizontal="left"/>
    </xf>
    <xf numFmtId="0" fontId="18" fillId="0" borderId="3" xfId="13" applyFont="1" applyBorder="1"/>
    <xf numFmtId="0" fontId="19" fillId="0" borderId="3" xfId="13" applyFont="1" applyBorder="1" applyAlignment="1">
      <alignment wrapText="1"/>
    </xf>
    <xf numFmtId="0" fontId="19" fillId="0" borderId="3" xfId="13" applyFont="1" applyBorder="1"/>
    <xf numFmtId="2" fontId="19" fillId="7" borderId="3" xfId="13" applyNumberFormat="1" applyFont="1" applyFill="1" applyBorder="1"/>
    <xf numFmtId="0" fontId="29" fillId="11" borderId="0" xfId="13" applyFont="1" applyFill="1"/>
    <xf numFmtId="0" fontId="18" fillId="11" borderId="0" xfId="3" applyNumberFormat="1" applyFont="1" applyFill="1" applyAlignment="1">
      <alignment horizontal="right"/>
    </xf>
    <xf numFmtId="0" fontId="19" fillId="11" borderId="0" xfId="13" applyFont="1" applyFill="1" applyAlignment="1">
      <alignment horizontal="left" vertical="center"/>
    </xf>
    <xf numFmtId="0" fontId="18" fillId="11" borderId="0" xfId="13" applyFont="1" applyFill="1" applyAlignment="1">
      <alignment horizontal="left"/>
    </xf>
    <xf numFmtId="3" fontId="18" fillId="11" borderId="0" xfId="3" applyNumberFormat="1" applyFont="1" applyFill="1" applyAlignment="1">
      <alignment horizontal="center"/>
    </xf>
    <xf numFmtId="0" fontId="20" fillId="7" borderId="3" xfId="13" applyFont="1" applyFill="1" applyBorder="1" applyAlignment="1"/>
    <xf numFmtId="171" fontId="18" fillId="6" borderId="3" xfId="36" applyNumberFormat="1" applyFont="1" applyFill="1" applyBorder="1" applyAlignment="1">
      <alignment vertical="center" wrapText="1"/>
    </xf>
    <xf numFmtId="10" fontId="18" fillId="5" borderId="3" xfId="13" applyNumberFormat="1" applyFont="1" applyFill="1" applyBorder="1" applyAlignment="1">
      <alignment vertical="center" wrapText="1"/>
    </xf>
    <xf numFmtId="171" fontId="18" fillId="5" borderId="3" xfId="36" applyNumberFormat="1" applyFont="1" applyFill="1" applyBorder="1" applyAlignment="1">
      <alignment vertical="center" wrapText="1"/>
    </xf>
    <xf numFmtId="2" fontId="18" fillId="5" borderId="3" xfId="13" applyNumberFormat="1" applyFont="1" applyFill="1" applyBorder="1" applyAlignment="1">
      <alignment vertical="center" wrapText="1"/>
    </xf>
    <xf numFmtId="0" fontId="20" fillId="11" borderId="0" xfId="13" applyFont="1" applyFill="1" applyBorder="1" applyAlignment="1">
      <alignment horizontal="center"/>
    </xf>
    <xf numFmtId="0" fontId="20" fillId="11" borderId="0" xfId="13" applyFont="1" applyFill="1" applyBorder="1" applyAlignment="1">
      <alignment horizontal="center" vertical="center"/>
    </xf>
    <xf numFmtId="3" fontId="18" fillId="0" borderId="7" xfId="13" applyNumberFormat="1" applyFont="1" applyBorder="1" applyAlignment="1">
      <alignment horizontal="center"/>
    </xf>
    <xf numFmtId="3" fontId="18" fillId="5" borderId="7" xfId="13" applyNumberFormat="1" applyFont="1" applyFill="1" applyBorder="1" applyAlignment="1">
      <alignment horizontal="center"/>
    </xf>
    <xf numFmtId="169" fontId="38" fillId="11" borderId="0" xfId="13" applyNumberFormat="1" applyFont="1" applyFill="1" applyAlignment="1"/>
    <xf numFmtId="3" fontId="18" fillId="11" borderId="15" xfId="13" applyNumberFormat="1" applyFont="1" applyFill="1" applyBorder="1" applyAlignment="1">
      <alignment horizontal="center"/>
    </xf>
    <xf numFmtId="0" fontId="20" fillId="7" borderId="12" xfId="0" applyFont="1" applyFill="1" applyBorder="1" applyAlignment="1">
      <alignment horizontal="center"/>
    </xf>
    <xf numFmtId="0" fontId="20" fillId="7" borderId="6" xfId="0" applyFont="1" applyFill="1" applyBorder="1" applyAlignment="1">
      <alignment horizontal="center" vertical="center" wrapText="1"/>
    </xf>
    <xf numFmtId="0" fontId="20" fillId="7" borderId="3" xfId="13" applyFont="1" applyFill="1" applyBorder="1" applyAlignment="1">
      <alignment horizontal="center" vertical="center" wrapText="1"/>
    </xf>
    <xf numFmtId="2" fontId="18" fillId="11" borderId="3" xfId="13" applyNumberFormat="1" applyFont="1" applyFill="1" applyBorder="1" applyAlignment="1">
      <alignment horizontal="right" vertical="center" wrapText="1"/>
    </xf>
    <xf numFmtId="3" fontId="18" fillId="11" borderId="17" xfId="13" applyNumberFormat="1" applyFont="1" applyFill="1" applyBorder="1" applyAlignment="1">
      <alignment horizontal="center"/>
    </xf>
    <xf numFmtId="0" fontId="19" fillId="9" borderId="17" xfId="0" applyFont="1" applyFill="1" applyBorder="1" applyAlignment="1">
      <alignment horizontal="center"/>
    </xf>
    <xf numFmtId="0" fontId="19" fillId="9" borderId="28" xfId="0" applyFont="1" applyFill="1" applyBorder="1" applyAlignment="1">
      <alignment horizontal="center"/>
    </xf>
    <xf numFmtId="0" fontId="19" fillId="9" borderId="5" xfId="0" applyFont="1" applyFill="1" applyBorder="1" applyAlignment="1">
      <alignment horizontal="center"/>
    </xf>
    <xf numFmtId="0" fontId="19" fillId="9" borderId="3" xfId="13" applyFont="1" applyFill="1" applyBorder="1" applyAlignment="1">
      <alignment horizontal="left"/>
    </xf>
    <xf numFmtId="0" fontId="19" fillId="9" borderId="15" xfId="0" applyNumberFormat="1" applyFont="1" applyFill="1" applyBorder="1" applyAlignment="1">
      <alignment horizontal="center"/>
    </xf>
    <xf numFmtId="0" fontId="19" fillId="9" borderId="28" xfId="0" applyNumberFormat="1" applyFont="1" applyFill="1" applyBorder="1" applyAlignment="1">
      <alignment horizontal="center"/>
    </xf>
    <xf numFmtId="0" fontId="19" fillId="9" borderId="16" xfId="0" applyFont="1" applyFill="1" applyBorder="1"/>
    <xf numFmtId="0" fontId="19" fillId="9" borderId="3" xfId="0" applyFont="1" applyFill="1" applyBorder="1" applyAlignment="1">
      <alignment horizontal="left"/>
    </xf>
    <xf numFmtId="0" fontId="19" fillId="9" borderId="13" xfId="0" applyFont="1" applyFill="1" applyBorder="1" applyAlignment="1">
      <alignment horizontal="left"/>
    </xf>
    <xf numFmtId="0" fontId="19" fillId="9" borderId="15" xfId="0" applyFont="1" applyFill="1" applyBorder="1" applyAlignment="1">
      <alignment horizontal="left"/>
    </xf>
    <xf numFmtId="0" fontId="19" fillId="9" borderId="15" xfId="0" applyFont="1" applyFill="1" applyBorder="1" applyAlignment="1">
      <alignment horizontal="left" wrapText="1"/>
    </xf>
    <xf numFmtId="0" fontId="19" fillId="9" borderId="14" xfId="0" applyFont="1" applyFill="1" applyBorder="1" applyAlignment="1">
      <alignment horizontal="left" wrapText="1"/>
    </xf>
    <xf numFmtId="0" fontId="19" fillId="9" borderId="13" xfId="0" applyFont="1" applyFill="1" applyBorder="1" applyAlignment="1">
      <alignment horizontal="left" vertical="center" wrapText="1"/>
    </xf>
    <xf numFmtId="0" fontId="19" fillId="9" borderId="14" xfId="0" applyFont="1" applyFill="1" applyBorder="1" applyAlignment="1">
      <alignment horizontal="left" vertical="center" wrapText="1"/>
    </xf>
    <xf numFmtId="0" fontId="19" fillId="9" borderId="3" xfId="0" applyFont="1" applyFill="1" applyBorder="1" applyAlignment="1">
      <alignment horizontal="center" vertical="center" wrapText="1"/>
    </xf>
    <xf numFmtId="0" fontId="19" fillId="9" borderId="12" xfId="0" applyFont="1" applyFill="1" applyBorder="1" applyAlignment="1"/>
    <xf numFmtId="0" fontId="19" fillId="9" borderId="12" xfId="0" applyFont="1" applyFill="1" applyBorder="1" applyAlignment="1">
      <alignment horizontal="left"/>
    </xf>
    <xf numFmtId="0" fontId="0" fillId="11" borderId="0" xfId="0" applyFont="1" applyFill="1" applyBorder="1"/>
    <xf numFmtId="0" fontId="20" fillId="7" borderId="3" xfId="13" applyFont="1" applyFill="1" applyBorder="1" applyAlignment="1">
      <alignment horizontal="center" vertical="center" wrapText="1"/>
    </xf>
    <xf numFmtId="6" fontId="27" fillId="6" borderId="3" xfId="13" applyNumberFormat="1" applyFont="1" applyFill="1" applyBorder="1" applyAlignment="1">
      <alignment horizontal="center" vertical="center" wrapText="1"/>
    </xf>
    <xf numFmtId="6" fontId="18" fillId="5" borderId="17" xfId="0" applyNumberFormat="1" applyFont="1" applyFill="1" applyBorder="1"/>
    <xf numFmtId="6" fontId="18" fillId="0" borderId="17" xfId="0" applyNumberFormat="1" applyFont="1" applyFill="1" applyBorder="1"/>
    <xf numFmtId="6" fontId="18" fillId="5" borderId="28" xfId="0" applyNumberFormat="1" applyFont="1" applyFill="1" applyBorder="1"/>
    <xf numFmtId="6" fontId="18" fillId="0" borderId="28" xfId="0" applyNumberFormat="1" applyFont="1" applyFill="1" applyBorder="1"/>
    <xf numFmtId="6" fontId="19" fillId="5" borderId="5" xfId="0" applyNumberFormat="1" applyFont="1" applyFill="1" applyBorder="1" applyAlignment="1"/>
    <xf numFmtId="6" fontId="19" fillId="0" borderId="5" xfId="0" applyNumberFormat="1" applyFont="1" applyFill="1" applyBorder="1"/>
    <xf numFmtId="6" fontId="37" fillId="9" borderId="5" xfId="0" applyNumberFormat="1" applyFont="1" applyFill="1" applyBorder="1" applyAlignment="1">
      <alignment horizontal="center"/>
    </xf>
    <xf numFmtId="6" fontId="36" fillId="11" borderId="28" xfId="0" applyNumberFormat="1" applyFont="1" applyFill="1" applyBorder="1" applyAlignment="1">
      <alignment horizontal="right" vertical="center" wrapText="1"/>
    </xf>
    <xf numFmtId="6" fontId="36" fillId="5" borderId="28" xfId="0" applyNumberFormat="1" applyFont="1" applyFill="1" applyBorder="1" applyAlignment="1">
      <alignment horizontal="right" vertical="center" wrapText="1"/>
    </xf>
    <xf numFmtId="6" fontId="36" fillId="11" borderId="28" xfId="0" applyNumberFormat="1" applyFont="1" applyFill="1" applyBorder="1" applyAlignment="1">
      <alignment horizontal="right"/>
    </xf>
    <xf numFmtId="6" fontId="36" fillId="5" borderId="28" xfId="0" applyNumberFormat="1" applyFont="1" applyFill="1" applyBorder="1" applyAlignment="1">
      <alignment horizontal="right"/>
    </xf>
    <xf numFmtId="3" fontId="18" fillId="5" borderId="33" xfId="13" applyNumberFormat="1" applyFont="1" applyFill="1" applyBorder="1" applyAlignment="1">
      <alignment horizontal="center"/>
    </xf>
    <xf numFmtId="3" fontId="18" fillId="5" borderId="16" xfId="13" applyNumberFormat="1" applyFont="1" applyFill="1" applyBorder="1" applyAlignment="1">
      <alignment horizontal="center"/>
    </xf>
    <xf numFmtId="4" fontId="18" fillId="0" borderId="15" xfId="13" applyNumberFormat="1" applyFont="1" applyBorder="1" applyAlignment="1">
      <alignment horizontal="center"/>
    </xf>
    <xf numFmtId="4" fontId="18" fillId="5" borderId="15" xfId="13" applyNumberFormat="1" applyFont="1" applyFill="1" applyBorder="1" applyAlignment="1">
      <alignment horizontal="center"/>
    </xf>
    <xf numFmtId="4" fontId="18" fillId="0" borderId="7" xfId="13" applyNumberFormat="1" applyFont="1" applyBorder="1" applyAlignment="1">
      <alignment horizontal="center"/>
    </xf>
    <xf numFmtId="4" fontId="18" fillId="5" borderId="7" xfId="13" applyNumberFormat="1" applyFont="1" applyFill="1" applyBorder="1" applyAlignment="1">
      <alignment horizontal="center"/>
    </xf>
    <xf numFmtId="3" fontId="18" fillId="0" borderId="5" xfId="13" applyNumberFormat="1" applyFont="1" applyBorder="1" applyAlignment="1">
      <alignment horizontal="center"/>
    </xf>
    <xf numFmtId="3" fontId="18" fillId="5" borderId="5" xfId="13" applyNumberFormat="1" applyFont="1" applyFill="1" applyBorder="1" applyAlignment="1">
      <alignment horizontal="center"/>
    </xf>
    <xf numFmtId="4" fontId="18" fillId="0" borderId="5" xfId="13" applyNumberFormat="1" applyFont="1" applyBorder="1" applyAlignment="1">
      <alignment horizontal="center"/>
    </xf>
    <xf numFmtId="4" fontId="18" fillId="5" borderId="5" xfId="13" applyNumberFormat="1" applyFont="1" applyFill="1" applyBorder="1" applyAlignment="1">
      <alignment horizontal="center"/>
    </xf>
    <xf numFmtId="0" fontId="32" fillId="11" borderId="0" xfId="13" applyFont="1" applyFill="1" applyBorder="1" applyAlignment="1"/>
    <xf numFmtId="6" fontId="19" fillId="0" borderId="17" xfId="3" applyNumberFormat="1" applyFont="1" applyBorder="1"/>
    <xf numFmtId="6" fontId="19" fillId="5" borderId="15" xfId="3" applyNumberFormat="1" applyFont="1" applyFill="1" applyBorder="1"/>
    <xf numFmtId="6" fontId="19" fillId="0" borderId="28" xfId="3" applyNumberFormat="1" applyFont="1" applyBorder="1"/>
    <xf numFmtId="6" fontId="19" fillId="5" borderId="28" xfId="3" applyNumberFormat="1" applyFont="1" applyFill="1" applyBorder="1"/>
    <xf numFmtId="6" fontId="19" fillId="0" borderId="5" xfId="3" applyNumberFormat="1" applyFont="1" applyBorder="1"/>
    <xf numFmtId="6" fontId="19" fillId="5" borderId="5" xfId="3" applyNumberFormat="1" applyFont="1" applyFill="1" applyBorder="1"/>
    <xf numFmtId="6" fontId="18" fillId="11" borderId="17" xfId="0" applyNumberFormat="1" applyFont="1" applyFill="1" applyBorder="1" applyAlignment="1">
      <alignment horizontal="right"/>
    </xf>
    <xf numFmtId="6" fontId="18" fillId="5" borderId="17" xfId="0" applyNumberFormat="1" applyFont="1" applyFill="1" applyBorder="1" applyAlignment="1">
      <alignment horizontal="right"/>
    </xf>
    <xf numFmtId="6" fontId="11" fillId="11" borderId="3" xfId="0" applyNumberFormat="1" applyFont="1" applyFill="1" applyBorder="1" applyAlignment="1">
      <alignment horizontal="right"/>
    </xf>
    <xf numFmtId="6" fontId="11" fillId="5" borderId="3" xfId="0" applyNumberFormat="1" applyFont="1" applyFill="1" applyBorder="1" applyAlignment="1">
      <alignment horizontal="right"/>
    </xf>
    <xf numFmtId="4" fontId="18" fillId="11" borderId="28" xfId="13" applyNumberFormat="1" applyFont="1" applyFill="1" applyBorder="1" applyAlignment="1">
      <alignment horizontal="center"/>
    </xf>
    <xf numFmtId="6" fontId="0" fillId="11" borderId="0" xfId="0" applyNumberFormat="1" applyFill="1"/>
    <xf numFmtId="0" fontId="23" fillId="7" borderId="6" xfId="9" applyFont="1" applyFill="1" applyBorder="1" applyAlignment="1">
      <alignment horizontal="center" vertical="center"/>
    </xf>
    <xf numFmtId="0" fontId="27" fillId="9" borderId="10" xfId="9" applyFont="1" applyFill="1" applyBorder="1" applyAlignment="1">
      <alignment horizontal="center" vertical="center" wrapText="1"/>
    </xf>
    <xf numFmtId="0" fontId="27" fillId="9" borderId="18" xfId="9" applyFont="1" applyFill="1" applyBorder="1" applyAlignment="1">
      <alignment horizontal="center" vertical="center" wrapText="1"/>
    </xf>
    <xf numFmtId="0" fontId="20" fillId="7" borderId="3" xfId="0" applyFont="1" applyFill="1" applyBorder="1" applyAlignment="1">
      <alignment horizontal="center"/>
    </xf>
    <xf numFmtId="0" fontId="20" fillId="7" borderId="6" xfId="0" applyFont="1" applyFill="1" applyBorder="1" applyAlignment="1">
      <alignment horizontal="center"/>
    </xf>
    <xf numFmtId="0" fontId="20" fillId="7" borderId="19"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7" borderId="30"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0" fillId="7" borderId="19" xfId="0" applyFont="1" applyFill="1" applyBorder="1" applyAlignment="1">
      <alignment horizontal="center" vertical="center"/>
    </xf>
    <xf numFmtId="0" fontId="20" fillId="7" borderId="25" xfId="0" applyFont="1" applyFill="1" applyBorder="1" applyAlignment="1">
      <alignment horizontal="center" vertical="center"/>
    </xf>
    <xf numFmtId="0" fontId="20" fillId="7" borderId="8" xfId="0" applyFont="1" applyFill="1" applyBorder="1" applyAlignment="1">
      <alignment horizontal="center" wrapText="1"/>
    </xf>
    <xf numFmtId="0" fontId="20" fillId="7" borderId="7" xfId="0" applyFont="1" applyFill="1" applyBorder="1" applyAlignment="1">
      <alignment horizontal="center" wrapText="1"/>
    </xf>
    <xf numFmtId="0" fontId="20" fillId="7" borderId="12" xfId="0" applyFont="1" applyFill="1" applyBorder="1" applyAlignment="1">
      <alignment horizontal="center"/>
    </xf>
    <xf numFmtId="0" fontId="20" fillId="7" borderId="2" xfId="0" applyFont="1" applyFill="1" applyBorder="1" applyAlignment="1">
      <alignment horizontal="center"/>
    </xf>
    <xf numFmtId="0" fontId="31" fillId="7" borderId="22" xfId="0" applyFont="1" applyFill="1" applyBorder="1" applyAlignment="1">
      <alignment horizontal="center" vertical="center"/>
    </xf>
    <xf numFmtId="0" fontId="31" fillId="7" borderId="21" xfId="0" applyFont="1" applyFill="1" applyBorder="1" applyAlignment="1">
      <alignment horizontal="center" vertical="center"/>
    </xf>
    <xf numFmtId="0" fontId="32" fillId="9" borderId="3" xfId="0" applyFont="1" applyFill="1" applyBorder="1" applyAlignment="1">
      <alignment horizontal="left"/>
    </xf>
    <xf numFmtId="0" fontId="27" fillId="9" borderId="3" xfId="0" applyFont="1" applyFill="1" applyBorder="1" applyAlignment="1">
      <alignment horizontal="left"/>
    </xf>
    <xf numFmtId="0" fontId="20" fillId="7" borderId="11" xfId="0" applyFont="1" applyFill="1" applyBorder="1" applyAlignment="1">
      <alignment horizontal="center" vertical="center"/>
    </xf>
    <xf numFmtId="0" fontId="20" fillId="7" borderId="26" xfId="0" applyFont="1" applyFill="1" applyBorder="1" applyAlignment="1">
      <alignment horizontal="center" vertical="center"/>
    </xf>
    <xf numFmtId="0" fontId="20" fillId="7" borderId="27" xfId="0" applyFont="1" applyFill="1" applyBorder="1" applyAlignment="1">
      <alignment horizontal="center" vertical="center"/>
    </xf>
    <xf numFmtId="0" fontId="19" fillId="9" borderId="12" xfId="0" applyFont="1" applyFill="1" applyBorder="1" applyAlignment="1">
      <alignment horizontal="center"/>
    </xf>
    <xf numFmtId="0" fontId="19" fillId="9" borderId="9" xfId="0" applyFont="1" applyFill="1" applyBorder="1" applyAlignment="1">
      <alignment horizontal="center"/>
    </xf>
    <xf numFmtId="0" fontId="20" fillId="7" borderId="12" xfId="0" applyFont="1" applyFill="1" applyBorder="1" applyAlignment="1">
      <alignment horizontal="center" vertical="center"/>
    </xf>
    <xf numFmtId="0" fontId="20" fillId="7" borderId="2" xfId="0" applyFont="1" applyFill="1" applyBorder="1" applyAlignment="1">
      <alignment horizontal="center" vertical="center"/>
    </xf>
    <xf numFmtId="0" fontId="19" fillId="0" borderId="12" xfId="0" applyFont="1" applyFill="1" applyBorder="1" applyAlignment="1">
      <alignment horizontal="left"/>
    </xf>
    <xf numFmtId="0" fontId="19" fillId="0" borderId="9" xfId="0" applyFont="1" applyFill="1" applyBorder="1" applyAlignment="1">
      <alignment horizontal="left"/>
    </xf>
    <xf numFmtId="0" fontId="20" fillId="7" borderId="3" xfId="0" applyFont="1" applyFill="1" applyBorder="1" applyAlignment="1">
      <alignment horizontal="right" vertical="center"/>
    </xf>
    <xf numFmtId="0" fontId="20" fillId="7" borderId="9" xfId="0" applyFont="1" applyFill="1" applyBorder="1" applyAlignment="1">
      <alignment horizontal="center"/>
    </xf>
    <xf numFmtId="0" fontId="20" fillId="7" borderId="12" xfId="13" applyFont="1" applyFill="1" applyBorder="1" applyAlignment="1">
      <alignment horizontal="center"/>
    </xf>
    <xf numFmtId="0" fontId="20" fillId="7" borderId="2" xfId="13" applyFont="1" applyFill="1" applyBorder="1" applyAlignment="1">
      <alignment horizontal="center"/>
    </xf>
    <xf numFmtId="0" fontId="20" fillId="7" borderId="9" xfId="13" applyFont="1" applyFill="1" applyBorder="1" applyAlignment="1">
      <alignment horizontal="center"/>
    </xf>
    <xf numFmtId="0" fontId="35" fillId="0" borderId="12" xfId="13" applyFont="1" applyFill="1" applyBorder="1" applyAlignment="1">
      <alignment horizontal="left" vertical="center"/>
    </xf>
    <xf numFmtId="0" fontId="35" fillId="0" borderId="2" xfId="13" applyFont="1" applyFill="1" applyBorder="1" applyAlignment="1">
      <alignment horizontal="left" vertical="center"/>
    </xf>
    <xf numFmtId="0" fontId="35" fillId="0" borderId="9" xfId="13" applyFont="1" applyFill="1" applyBorder="1" applyAlignment="1">
      <alignment horizontal="left" vertical="center"/>
    </xf>
    <xf numFmtId="0" fontId="18" fillId="0" borderId="12" xfId="0" applyFont="1" applyFill="1" applyBorder="1" applyAlignment="1">
      <alignment horizontal="left" wrapText="1"/>
    </xf>
    <xf numFmtId="0" fontId="18" fillId="0" borderId="9" xfId="0" applyFont="1" applyFill="1" applyBorder="1" applyAlignment="1">
      <alignment horizontal="left" wrapText="1"/>
    </xf>
    <xf numFmtId="0" fontId="20" fillId="7" borderId="8"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7" xfId="0" applyFont="1" applyFill="1" applyBorder="1" applyAlignment="1">
      <alignment horizontal="center" vertical="center"/>
    </xf>
    <xf numFmtId="0" fontId="19" fillId="0" borderId="10" xfId="0" applyFont="1" applyBorder="1" applyAlignment="1">
      <alignment horizontal="right"/>
    </xf>
    <xf numFmtId="0" fontId="19" fillId="0" borderId="29" xfId="0" applyFont="1" applyBorder="1" applyAlignment="1">
      <alignment horizontal="right"/>
    </xf>
    <xf numFmtId="0" fontId="19" fillId="0" borderId="18" xfId="0" applyFont="1" applyBorder="1" applyAlignment="1">
      <alignment horizontal="right"/>
    </xf>
    <xf numFmtId="0" fontId="20" fillId="7" borderId="8"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18" fillId="0" borderId="3" xfId="0" applyFont="1" applyFill="1" applyBorder="1" applyAlignment="1">
      <alignment horizontal="left" wrapText="1"/>
    </xf>
    <xf numFmtId="0" fontId="20" fillId="7" borderId="3" xfId="0" applyFont="1" applyFill="1" applyBorder="1" applyAlignment="1">
      <alignment horizontal="center" vertical="center"/>
    </xf>
    <xf numFmtId="0" fontId="20" fillId="7" borderId="5" xfId="0" applyFont="1" applyFill="1" applyBorder="1" applyAlignment="1">
      <alignment horizontal="center"/>
    </xf>
    <xf numFmtId="0" fontId="19" fillId="9" borderId="3" xfId="0" applyFont="1" applyFill="1" applyBorder="1" applyAlignment="1">
      <alignment horizontal="center" vertical="center" wrapText="1"/>
    </xf>
    <xf numFmtId="0" fontId="31" fillId="7" borderId="3" xfId="13"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6" xfId="0" applyFont="1" applyFill="1" applyBorder="1" applyAlignment="1">
      <alignment horizontal="center" vertical="center"/>
    </xf>
    <xf numFmtId="6" fontId="27" fillId="6" borderId="3" xfId="13" applyNumberFormat="1" applyFont="1" applyFill="1" applyBorder="1" applyAlignment="1">
      <alignment horizontal="center" vertical="center" wrapText="1"/>
    </xf>
    <xf numFmtId="0" fontId="27" fillId="9" borderId="3" xfId="13" applyFont="1" applyFill="1" applyBorder="1" applyAlignment="1">
      <alignment horizontal="center" vertical="center" wrapText="1"/>
    </xf>
    <xf numFmtId="0" fontId="20" fillId="7" borderId="9" xfId="0" applyFont="1" applyFill="1" applyBorder="1" applyAlignment="1">
      <alignment horizontal="center" vertical="center"/>
    </xf>
    <xf numFmtId="0" fontId="20" fillId="7" borderId="5" xfId="0" applyFont="1" applyFill="1" applyBorder="1" applyAlignment="1">
      <alignment horizontal="center" vertical="center" wrapText="1"/>
    </xf>
    <xf numFmtId="0" fontId="18" fillId="0" borderId="12" xfId="0" applyFont="1" applyFill="1" applyBorder="1" applyAlignment="1">
      <alignment horizontal="left"/>
    </xf>
    <xf numFmtId="0" fontId="18" fillId="0" borderId="9" xfId="0" applyFont="1" applyFill="1" applyBorder="1" applyAlignment="1">
      <alignment horizontal="left"/>
    </xf>
    <xf numFmtId="0" fontId="20" fillId="7" borderId="12"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9" fillId="9" borderId="8" xfId="0" applyFont="1" applyFill="1" applyBorder="1" applyAlignment="1">
      <alignment horizontal="center" vertical="center" wrapText="1"/>
    </xf>
    <xf numFmtId="0" fontId="18" fillId="0" borderId="2" xfId="0" applyFont="1" applyFill="1" applyBorder="1" applyAlignment="1">
      <alignment horizontal="left"/>
    </xf>
    <xf numFmtId="0" fontId="20" fillId="11" borderId="0" xfId="13" applyFont="1" applyFill="1" applyBorder="1" applyAlignment="1">
      <alignment horizontal="center"/>
    </xf>
    <xf numFmtId="171" fontId="18" fillId="0" borderId="12" xfId="36" applyNumberFormat="1" applyFont="1" applyBorder="1" applyAlignment="1">
      <alignment horizontal="right" vertical="center" wrapText="1"/>
    </xf>
    <xf numFmtId="171" fontId="18" fillId="0" borderId="2" xfId="36" applyNumberFormat="1" applyFont="1" applyBorder="1" applyAlignment="1">
      <alignment horizontal="right" vertical="center" wrapText="1"/>
    </xf>
    <xf numFmtId="171" fontId="18" fillId="0" borderId="9" xfId="36" applyNumberFormat="1" applyFont="1" applyBorder="1" applyAlignment="1">
      <alignment horizontal="right" vertical="center" wrapText="1"/>
    </xf>
    <xf numFmtId="10" fontId="18" fillId="0" borderId="12" xfId="13" applyNumberFormat="1" applyFont="1" applyBorder="1" applyAlignment="1">
      <alignment horizontal="right" vertical="center" wrapText="1"/>
    </xf>
    <xf numFmtId="10" fontId="18" fillId="0" borderId="2" xfId="13" applyNumberFormat="1" applyFont="1" applyBorder="1" applyAlignment="1">
      <alignment horizontal="right" vertical="center" wrapText="1"/>
    </xf>
    <xf numFmtId="10" fontId="18" fillId="0" borderId="9" xfId="13" applyNumberFormat="1" applyFont="1" applyBorder="1" applyAlignment="1">
      <alignment horizontal="right" vertical="center" wrapText="1"/>
    </xf>
    <xf numFmtId="2" fontId="18" fillId="0" borderId="12" xfId="13" applyNumberFormat="1" applyFont="1" applyBorder="1" applyAlignment="1">
      <alignment horizontal="right" vertical="center" wrapText="1"/>
    </xf>
    <xf numFmtId="2" fontId="18" fillId="0" borderId="2" xfId="13" applyNumberFormat="1" applyFont="1" applyBorder="1" applyAlignment="1">
      <alignment horizontal="right" vertical="center" wrapText="1"/>
    </xf>
    <xf numFmtId="2" fontId="18" fillId="0" borderId="9" xfId="13" applyNumberFormat="1" applyFont="1" applyBorder="1" applyAlignment="1">
      <alignment horizontal="right" vertical="center" wrapText="1"/>
    </xf>
    <xf numFmtId="171" fontId="18" fillId="6" borderId="12" xfId="36" applyNumberFormat="1" applyFont="1" applyFill="1" applyBorder="1" applyAlignment="1">
      <alignment horizontal="right" vertical="center" wrapText="1"/>
    </xf>
    <xf numFmtId="171" fontId="18" fillId="6" borderId="2" xfId="36" applyNumberFormat="1" applyFont="1" applyFill="1" applyBorder="1" applyAlignment="1">
      <alignment horizontal="right" vertical="center" wrapText="1"/>
    </xf>
    <xf numFmtId="171" fontId="18" fillId="6" borderId="9" xfId="36" applyNumberFormat="1" applyFont="1" applyFill="1" applyBorder="1" applyAlignment="1">
      <alignment horizontal="right" vertical="center" wrapText="1"/>
    </xf>
    <xf numFmtId="0" fontId="20" fillId="11" borderId="0" xfId="13" applyFont="1" applyFill="1" applyBorder="1" applyAlignment="1">
      <alignment horizontal="center" vertical="center"/>
    </xf>
    <xf numFmtId="2" fontId="19" fillId="9" borderId="12" xfId="13" applyNumberFormat="1" applyFont="1" applyFill="1" applyBorder="1" applyAlignment="1">
      <alignment horizontal="left"/>
    </xf>
    <xf numFmtId="2" fontId="19" fillId="9" borderId="2" xfId="13" applyNumberFormat="1" applyFont="1" applyFill="1" applyBorder="1" applyAlignment="1">
      <alignment horizontal="left"/>
    </xf>
    <xf numFmtId="2" fontId="19" fillId="9" borderId="9" xfId="13" applyNumberFormat="1" applyFont="1" applyFill="1" applyBorder="1" applyAlignment="1">
      <alignment horizontal="left"/>
    </xf>
    <xf numFmtId="0" fontId="18" fillId="0" borderId="3" xfId="13" applyFont="1" applyBorder="1" applyAlignment="1">
      <alignment horizontal="left" wrapText="1"/>
    </xf>
    <xf numFmtId="0" fontId="20" fillId="7" borderId="22" xfId="13" applyFont="1" applyFill="1" applyBorder="1" applyAlignment="1">
      <alignment horizontal="center"/>
    </xf>
    <xf numFmtId="0" fontId="20" fillId="7" borderId="21" xfId="13" applyFont="1" applyFill="1" applyBorder="1" applyAlignment="1">
      <alignment horizontal="center"/>
    </xf>
    <xf numFmtId="0" fontId="18" fillId="0" borderId="12" xfId="13" applyFont="1" applyBorder="1" applyAlignment="1">
      <alignment horizontal="left" wrapText="1"/>
    </xf>
    <xf numFmtId="0" fontId="18" fillId="0" borderId="2" xfId="13" applyFont="1" applyBorder="1" applyAlignment="1">
      <alignment horizontal="left" wrapText="1"/>
    </xf>
    <xf numFmtId="0" fontId="18" fillId="0" borderId="9" xfId="13" applyFont="1" applyBorder="1" applyAlignment="1">
      <alignment horizontal="left" wrapText="1"/>
    </xf>
    <xf numFmtId="0" fontId="20" fillId="7" borderId="23" xfId="13" applyFont="1" applyFill="1" applyBorder="1" applyAlignment="1">
      <alignment horizontal="center"/>
    </xf>
    <xf numFmtId="0" fontId="31" fillId="7" borderId="12" xfId="13" applyFont="1" applyFill="1" applyBorder="1" applyAlignment="1">
      <alignment horizontal="center" vertical="center" wrapText="1"/>
    </xf>
    <xf numFmtId="0" fontId="31" fillId="7" borderId="2" xfId="13" applyFont="1" applyFill="1" applyBorder="1" applyAlignment="1">
      <alignment horizontal="center" vertical="center" wrapText="1"/>
    </xf>
    <xf numFmtId="0" fontId="31" fillId="7" borderId="9" xfId="13" applyFont="1" applyFill="1" applyBorder="1" applyAlignment="1">
      <alignment horizontal="center" vertical="center" wrapText="1"/>
    </xf>
    <xf numFmtId="6" fontId="27" fillId="6" borderId="12" xfId="13" applyNumberFormat="1" applyFont="1" applyFill="1" applyBorder="1" applyAlignment="1">
      <alignment horizontal="center" vertical="center" wrapText="1"/>
    </xf>
    <xf numFmtId="6" fontId="27" fillId="6" borderId="9" xfId="13" applyNumberFormat="1" applyFont="1" applyFill="1" applyBorder="1" applyAlignment="1">
      <alignment horizontal="center" vertical="center" wrapText="1"/>
    </xf>
    <xf numFmtId="0" fontId="20" fillId="7" borderId="8" xfId="13" applyFont="1" applyFill="1" applyBorder="1" applyAlignment="1">
      <alignment horizontal="center" vertical="center"/>
    </xf>
    <xf numFmtId="0" fontId="20" fillId="7" borderId="4" xfId="13" applyFont="1" applyFill="1" applyBorder="1" applyAlignment="1">
      <alignment horizontal="center" vertical="center"/>
    </xf>
    <xf numFmtId="0" fontId="20" fillId="7" borderId="7" xfId="13" applyFont="1" applyFill="1" applyBorder="1" applyAlignment="1">
      <alignment horizontal="center" vertical="center"/>
    </xf>
    <xf numFmtId="0" fontId="20" fillId="7" borderId="19" xfId="13" applyFont="1" applyFill="1" applyBorder="1" applyAlignment="1">
      <alignment horizontal="center" vertical="center" wrapText="1"/>
    </xf>
    <xf numFmtId="0" fontId="20" fillId="7" borderId="30" xfId="13" applyFont="1" applyFill="1" applyBorder="1" applyAlignment="1">
      <alignment horizontal="center" vertical="center" wrapText="1"/>
    </xf>
    <xf numFmtId="0" fontId="20" fillId="7" borderId="22" xfId="13" applyFont="1" applyFill="1" applyBorder="1" applyAlignment="1">
      <alignment horizontal="center" vertical="center" wrapText="1"/>
    </xf>
    <xf numFmtId="0" fontId="20" fillId="7" borderId="23" xfId="13" applyFont="1" applyFill="1" applyBorder="1" applyAlignment="1">
      <alignment horizontal="center" vertical="center" wrapText="1"/>
    </xf>
    <xf numFmtId="0" fontId="20" fillId="7" borderId="8" xfId="13" applyFont="1" applyFill="1" applyBorder="1" applyAlignment="1">
      <alignment horizontal="center" vertical="center" wrapText="1"/>
    </xf>
    <xf numFmtId="0" fontId="20" fillId="7" borderId="4" xfId="13" applyFont="1" applyFill="1" applyBorder="1" applyAlignment="1">
      <alignment horizontal="center" vertical="center" wrapText="1"/>
    </xf>
    <xf numFmtId="0" fontId="20" fillId="7" borderId="7" xfId="13" applyFont="1" applyFill="1" applyBorder="1" applyAlignment="1">
      <alignment horizontal="center" vertical="center" wrapText="1"/>
    </xf>
    <xf numFmtId="0" fontId="20" fillId="7" borderId="12" xfId="13" applyFont="1" applyFill="1" applyBorder="1" applyAlignment="1">
      <alignment horizontal="center" vertical="center" wrapText="1"/>
    </xf>
    <xf numFmtId="0" fontId="20" fillId="7" borderId="9" xfId="13" applyFont="1" applyFill="1" applyBorder="1" applyAlignment="1">
      <alignment horizontal="center" vertical="center" wrapText="1"/>
    </xf>
    <xf numFmtId="0" fontId="20" fillId="7" borderId="3" xfId="13" applyFont="1" applyFill="1" applyBorder="1" applyAlignment="1">
      <alignment horizontal="center" vertical="center" wrapText="1"/>
    </xf>
    <xf numFmtId="0" fontId="19" fillId="0" borderId="22" xfId="13" applyFont="1" applyBorder="1" applyAlignment="1">
      <alignment horizontal="right"/>
    </xf>
    <xf numFmtId="0" fontId="19" fillId="0" borderId="23" xfId="13" applyFont="1" applyBorder="1" applyAlignment="1">
      <alignment horizontal="right"/>
    </xf>
    <xf numFmtId="0" fontId="20" fillId="7" borderId="3" xfId="13" applyFont="1" applyFill="1" applyBorder="1" applyAlignment="1">
      <alignment horizontal="center" vertical="center"/>
    </xf>
    <xf numFmtId="0" fontId="20" fillId="7" borderId="3" xfId="13" applyFont="1" applyFill="1" applyBorder="1" applyAlignment="1">
      <alignment horizontal="center"/>
    </xf>
    <xf numFmtId="0" fontId="19" fillId="7" borderId="3" xfId="13" applyFont="1" applyFill="1" applyBorder="1" applyAlignment="1">
      <alignment horizontal="center" vertical="center" wrapText="1"/>
    </xf>
    <xf numFmtId="171" fontId="18" fillId="0" borderId="3" xfId="36" applyNumberFormat="1" applyFont="1" applyBorder="1" applyAlignment="1">
      <alignment horizontal="center"/>
    </xf>
    <xf numFmtId="0" fontId="20" fillId="7" borderId="12" xfId="13" applyFont="1" applyFill="1" applyBorder="1" applyAlignment="1">
      <alignment horizontal="center" vertical="center"/>
    </xf>
    <xf numFmtId="0" fontId="20" fillId="7" borderId="2" xfId="13" applyFont="1" applyFill="1" applyBorder="1" applyAlignment="1">
      <alignment horizontal="center" vertical="center"/>
    </xf>
    <xf numFmtId="0" fontId="20" fillId="7" borderId="9" xfId="13" applyFont="1" applyFill="1" applyBorder="1" applyAlignment="1">
      <alignment horizontal="center" vertical="center"/>
    </xf>
    <xf numFmtId="0" fontId="20" fillId="7" borderId="5" xfId="13" applyFont="1" applyFill="1" applyBorder="1" applyAlignment="1">
      <alignment horizontal="center" vertical="center"/>
    </xf>
    <xf numFmtId="0" fontId="20" fillId="7" borderId="2" xfId="13" applyFont="1" applyFill="1" applyBorder="1" applyAlignment="1">
      <alignment horizontal="center" vertical="center" wrapText="1"/>
    </xf>
    <xf numFmtId="0" fontId="20" fillId="7" borderId="12" xfId="13" applyFont="1" applyFill="1" applyBorder="1" applyAlignment="1">
      <alignment horizontal="right"/>
    </xf>
    <xf numFmtId="0" fontId="20" fillId="7" borderId="9" xfId="13" applyFont="1" applyFill="1" applyBorder="1" applyAlignment="1">
      <alignment horizontal="right"/>
    </xf>
    <xf numFmtId="0" fontId="20" fillId="7" borderId="2" xfId="13" applyFont="1" applyFill="1" applyBorder="1" applyAlignment="1">
      <alignment horizontal="right"/>
    </xf>
    <xf numFmtId="171" fontId="18" fillId="5" borderId="8" xfId="36" applyNumberFormat="1" applyFont="1" applyFill="1" applyBorder="1" applyAlignment="1">
      <alignment horizontal="center" vertical="center" wrapText="1"/>
    </xf>
    <xf numFmtId="171" fontId="18" fillId="5" borderId="4" xfId="36" applyNumberFormat="1" applyFont="1" applyFill="1" applyBorder="1" applyAlignment="1">
      <alignment horizontal="center" vertical="center" wrapText="1"/>
    </xf>
    <xf numFmtId="171" fontId="18" fillId="5" borderId="5" xfId="36" applyNumberFormat="1" applyFont="1" applyFill="1" applyBorder="1" applyAlignment="1">
      <alignment horizontal="center" vertical="center" wrapText="1"/>
    </xf>
    <xf numFmtId="0" fontId="31" fillId="7" borderId="22" xfId="13" applyFont="1" applyFill="1" applyBorder="1" applyAlignment="1">
      <alignment horizontal="center" vertical="center" wrapText="1"/>
    </xf>
    <xf numFmtId="0" fontId="31" fillId="7" borderId="21" xfId="13" applyFont="1" applyFill="1" applyBorder="1" applyAlignment="1">
      <alignment horizontal="center" vertical="center" wrapText="1"/>
    </xf>
    <xf numFmtId="0" fontId="27" fillId="9" borderId="12" xfId="13" applyFont="1" applyFill="1" applyBorder="1" applyAlignment="1">
      <alignment horizontal="center" vertical="center" wrapText="1"/>
    </xf>
    <xf numFmtId="0" fontId="27" fillId="9" borderId="9" xfId="13" applyFont="1" applyFill="1" applyBorder="1" applyAlignment="1">
      <alignment horizontal="center" vertical="center" wrapText="1"/>
    </xf>
    <xf numFmtId="0" fontId="20" fillId="7" borderId="2" xfId="0" applyFont="1" applyFill="1" applyBorder="1" applyAlignment="1">
      <alignment horizontal="center" vertical="center" wrapText="1"/>
    </xf>
    <xf numFmtId="0" fontId="0" fillId="11" borderId="3" xfId="0" applyFont="1" applyFill="1" applyBorder="1" applyAlignment="1">
      <alignment horizontal="left" wrapText="1"/>
    </xf>
    <xf numFmtId="0" fontId="11" fillId="0" borderId="12" xfId="0" applyFont="1" applyBorder="1" applyAlignment="1">
      <alignment horizontal="right"/>
    </xf>
    <xf numFmtId="0" fontId="11" fillId="0" borderId="2" xfId="0" applyFont="1" applyBorder="1" applyAlignment="1">
      <alignment horizontal="right"/>
    </xf>
    <xf numFmtId="0" fontId="11" fillId="0" borderId="9" xfId="0" applyFont="1" applyBorder="1" applyAlignment="1">
      <alignment horizontal="right"/>
    </xf>
    <xf numFmtId="0" fontId="9" fillId="0" borderId="12" xfId="0" applyFont="1" applyFill="1" applyBorder="1" applyAlignment="1">
      <alignment horizontal="left"/>
    </xf>
    <xf numFmtId="0" fontId="9" fillId="0" borderId="2" xfId="0" applyFont="1" applyFill="1" applyBorder="1" applyAlignment="1">
      <alignment horizontal="left"/>
    </xf>
    <xf numFmtId="0" fontId="9" fillId="0" borderId="9" xfId="0" applyFont="1" applyFill="1" applyBorder="1" applyAlignment="1">
      <alignment horizontal="left"/>
    </xf>
    <xf numFmtId="0" fontId="23" fillId="7" borderId="3" xfId="0" applyFont="1" applyFill="1" applyBorder="1" applyAlignment="1">
      <alignment horizontal="center"/>
    </xf>
    <xf numFmtId="0" fontId="9" fillId="11" borderId="3" xfId="0" applyFont="1" applyFill="1" applyBorder="1" applyAlignment="1">
      <alignment horizontal="left" vertical="top" wrapText="1"/>
    </xf>
    <xf numFmtId="0" fontId="0" fillId="11" borderId="3" xfId="0" applyFill="1" applyBorder="1" applyAlignment="1">
      <alignment horizontal="left" vertical="top" wrapText="1"/>
    </xf>
  </cellXfs>
  <cellStyles count="37">
    <cellStyle name="active" xfId="1" xr:uid="{00000000-0005-0000-0000-000000000000}"/>
    <cellStyle name="Comma" xfId="2" builtinId="3"/>
    <cellStyle name="Comma 2" xfId="14" xr:uid="{00000000-0005-0000-0000-000002000000}"/>
    <cellStyle name="Comma 3" xfId="24" xr:uid="{00000000-0005-0000-0000-000003000000}"/>
    <cellStyle name="Comma 4" xfId="27" xr:uid="{70843B5B-5B20-425F-A562-FE6217C273E5}"/>
    <cellStyle name="Comma 4 2" xfId="30" xr:uid="{7F7CD4DC-138E-45B6-BD63-8E20BBB70E88}"/>
    <cellStyle name="Comma 4 3" xfId="35" xr:uid="{865A539E-9617-4A9C-8676-579A16C2A4E3}"/>
    <cellStyle name="Comma 5" xfId="36" xr:uid="{4BC2A7B7-C011-4A6D-9EDD-5D96C4863E16}"/>
    <cellStyle name="Currency" xfId="3" builtinId="4"/>
    <cellStyle name="Currency 2" xfId="31" xr:uid="{1EBC2143-73A8-4208-9DCD-D028241C161F}"/>
    <cellStyle name="Currency 2 2" xfId="21" xr:uid="{00000000-0005-0000-0000-000005000000}"/>
    <cellStyle name="Currency 2 3" xfId="34" xr:uid="{C888180E-8EEF-4125-8A3B-FB0092CDE3C9}"/>
    <cellStyle name="Currency 3" xfId="22" xr:uid="{00000000-0005-0000-0000-000006000000}"/>
    <cellStyle name="Currency 8" xfId="18" xr:uid="{00000000-0005-0000-0000-000007000000}"/>
    <cellStyle name="Grey" xfId="4" xr:uid="{00000000-0005-0000-0000-000008000000}"/>
    <cellStyle name="Header1" xfId="5" xr:uid="{00000000-0005-0000-0000-000009000000}"/>
    <cellStyle name="Header2" xfId="6" xr:uid="{00000000-0005-0000-0000-00000A000000}"/>
    <cellStyle name="Hyperlink" xfId="28" builtinId="8"/>
    <cellStyle name="Hyperlink 2" xfId="32" xr:uid="{A264FA62-74C7-4D6F-A50F-0F3D7D9AD2C0}"/>
    <cellStyle name="Input [yellow]" xfId="7" xr:uid="{00000000-0005-0000-0000-00000C000000}"/>
    <cellStyle name="Normal" xfId="0" builtinId="0"/>
    <cellStyle name="Normal - Style1" xfId="8" xr:uid="{00000000-0005-0000-0000-00000E000000}"/>
    <cellStyle name="Normal 11" xfId="17" xr:uid="{00000000-0005-0000-0000-00000F000000}"/>
    <cellStyle name="Normal 11 2" xfId="25" xr:uid="{00000000-0005-0000-0000-000010000000}"/>
    <cellStyle name="Normal 16" xfId="13" xr:uid="{00000000-0005-0000-0000-000011000000}"/>
    <cellStyle name="Normal 2" xfId="9" xr:uid="{00000000-0005-0000-0000-000012000000}"/>
    <cellStyle name="Normal 2 2" xfId="20" xr:uid="{00000000-0005-0000-0000-000013000000}"/>
    <cellStyle name="Normal 3" xfId="29" xr:uid="{1925518A-B263-4CFD-BB5E-0709EEAC8044}"/>
    <cellStyle name="Normal 3 2" xfId="33" xr:uid="{AA2B0321-D12C-419B-9E75-E60F81B6AD7A}"/>
    <cellStyle name="Normal 4" xfId="15" xr:uid="{00000000-0005-0000-0000-000014000000}"/>
    <cellStyle name="Normal 4 2" xfId="16" xr:uid="{00000000-0005-0000-0000-000015000000}"/>
    <cellStyle name="Normal 4 2 2" xfId="26" xr:uid="{BCC2316D-3890-4BC2-81F5-EA24DB0F5E68}"/>
    <cellStyle name="Normal 4 3" xfId="19" xr:uid="{00000000-0005-0000-0000-000016000000}"/>
    <cellStyle name="Normal 5" xfId="23" xr:uid="{00000000-0005-0000-0000-000017000000}"/>
    <cellStyle name="Percent" xfId="10" builtinId="5"/>
    <cellStyle name="Percent [2]" xfId="11" xr:uid="{00000000-0005-0000-0000-000019000000}"/>
    <cellStyle name="PSChar" xfId="12" xr:uid="{00000000-0005-0000-0000-00001A000000}"/>
  </cellStyles>
  <dxfs count="0"/>
  <tableStyles count="0" defaultTableStyle="TableStyleMedium9" defaultPivotStyle="PivotStyleLight16"/>
  <colors>
    <mruColors>
      <color rgb="FFFEF5E4"/>
      <color rgb="FFFDB924"/>
      <color rgb="FFFFFFCC"/>
      <color rgb="FF029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300</xdr:row>
      <xdr:rowOff>21768</xdr:rowOff>
    </xdr:from>
    <xdr:to>
      <xdr:col>5</xdr:col>
      <xdr:colOff>841446</xdr:colOff>
      <xdr:row>328</xdr:row>
      <xdr:rowOff>157214</xdr:rowOff>
    </xdr:to>
    <xdr:pic>
      <xdr:nvPicPr>
        <xdr:cNvPr id="2" name="Picture 1">
          <a:extLst>
            <a:ext uri="{FF2B5EF4-FFF2-40B4-BE49-F238E27FC236}">
              <a16:creationId xmlns:a16="http://schemas.microsoft.com/office/drawing/2014/main" id="{B55A657A-8BD6-44AC-BCFB-39E98E62CB7B}"/>
            </a:ext>
          </a:extLst>
        </xdr:cNvPr>
        <xdr:cNvPicPr>
          <a:picLocks noChangeAspect="1"/>
        </xdr:cNvPicPr>
      </xdr:nvPicPr>
      <xdr:blipFill>
        <a:blip xmlns:r="http://schemas.openxmlformats.org/officeDocument/2006/relationships" r:embed="rId1"/>
        <a:stretch>
          <a:fillRect/>
        </a:stretch>
      </xdr:blipFill>
      <xdr:spPr>
        <a:xfrm>
          <a:off x="0" y="52020648"/>
          <a:ext cx="6670746" cy="5027487"/>
        </a:xfrm>
        <a:prstGeom prst="rect">
          <a:avLst/>
        </a:prstGeom>
      </xdr:spPr>
    </xdr:pic>
    <xdr:clientData/>
  </xdr:twoCellAnchor>
  <xdr:twoCellAnchor editAs="oneCell">
    <xdr:from>
      <xdr:col>8</xdr:col>
      <xdr:colOff>21769</xdr:colOff>
      <xdr:row>300</xdr:row>
      <xdr:rowOff>21768</xdr:rowOff>
    </xdr:from>
    <xdr:to>
      <xdr:col>14</xdr:col>
      <xdr:colOff>199236</xdr:colOff>
      <xdr:row>307</xdr:row>
      <xdr:rowOff>81482</xdr:rowOff>
    </xdr:to>
    <xdr:pic>
      <xdr:nvPicPr>
        <xdr:cNvPr id="3" name="Picture 2">
          <a:extLst>
            <a:ext uri="{FF2B5EF4-FFF2-40B4-BE49-F238E27FC236}">
              <a16:creationId xmlns:a16="http://schemas.microsoft.com/office/drawing/2014/main" id="{8290A893-DCFD-4C25-B679-0F9B1EF1A48E}"/>
            </a:ext>
          </a:extLst>
        </xdr:cNvPr>
        <xdr:cNvPicPr>
          <a:picLocks noChangeAspect="1"/>
        </xdr:cNvPicPr>
      </xdr:nvPicPr>
      <xdr:blipFill>
        <a:blip xmlns:r="http://schemas.openxmlformats.org/officeDocument/2006/relationships" r:embed="rId2"/>
        <a:stretch>
          <a:fillRect/>
        </a:stretch>
      </xdr:blipFill>
      <xdr:spPr>
        <a:xfrm>
          <a:off x="8441869" y="52020648"/>
          <a:ext cx="6322452" cy="1271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204107</xdr:colOff>
      <xdr:row>54</xdr:row>
      <xdr:rowOff>108856</xdr:rowOff>
    </xdr:from>
    <xdr:to>
      <xdr:col>8</xdr:col>
      <xdr:colOff>645118</xdr:colOff>
      <xdr:row>64</xdr:row>
      <xdr:rowOff>149679</xdr:rowOff>
    </xdr:to>
    <xdr:pic>
      <xdr:nvPicPr>
        <xdr:cNvPr id="2" name="Picture 1">
          <a:extLst>
            <a:ext uri="{FF2B5EF4-FFF2-40B4-BE49-F238E27FC236}">
              <a16:creationId xmlns:a16="http://schemas.microsoft.com/office/drawing/2014/main" id="{EAFA030A-2471-4372-BA98-E2D00F80CDDB}"/>
            </a:ext>
          </a:extLst>
        </xdr:cNvPr>
        <xdr:cNvPicPr>
          <a:picLocks noChangeAspect="1"/>
        </xdr:cNvPicPr>
      </xdr:nvPicPr>
      <xdr:blipFill>
        <a:blip xmlns:r="http://schemas.openxmlformats.org/officeDocument/2006/relationships" r:embed="rId1"/>
        <a:stretch>
          <a:fillRect/>
        </a:stretch>
      </xdr:blipFill>
      <xdr:spPr>
        <a:xfrm>
          <a:off x="6711587" y="9946276"/>
          <a:ext cx="3610931" cy="20753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Wyoming%20TIGER\CBA%20Working%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EMCKEN~1\LOCALS~1\Temp\notesE97E9E\Template%20of%20Benefits%20%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TWFP01\Data\Project\FTW_TPTO\061018034\xls\Service%20Area%20D\2007_8_11_FTW_RIF_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trix"/>
      <sheetName val="START Summary"/>
      <sheetName val="START Narrative"/>
      <sheetName val="START Distance Benefit"/>
      <sheetName val="START Costs"/>
      <sheetName val="START VMT Table"/>
      <sheetName val="START Assumptions"/>
      <sheetName val="START Inside Storage Benefit"/>
      <sheetName val="START Mobility Benefit"/>
      <sheetName val="START Safety Benefit"/>
      <sheetName val="START Cost of Extra Idling"/>
      <sheetName val="START Road Cost Benefit"/>
      <sheetName val="START Parking Benefit"/>
      <sheetName val="START Remaining Capital Value"/>
      <sheetName val="START Global Benefit"/>
      <sheetName val="START Energy Cost"/>
      <sheetName val="START CNG Benefits"/>
      <sheetName val="START Value of CO2 rdctn"/>
    </sheetNames>
    <sheetDataSet>
      <sheetData sheetId="0"/>
      <sheetData sheetId="1"/>
      <sheetData sheetId="2"/>
      <sheetData sheetId="3"/>
      <sheetData sheetId="4">
        <row r="5">
          <cell r="I5">
            <v>35873401.852506503</v>
          </cell>
          <cell r="L5">
            <v>-11950617.593879221</v>
          </cell>
        </row>
      </sheetData>
      <sheetData sheetId="5"/>
      <sheetData sheetId="6">
        <row r="31">
          <cell r="B31">
            <v>2013</v>
          </cell>
        </row>
        <row r="32">
          <cell r="B32">
            <v>2015</v>
          </cell>
        </row>
        <row r="33">
          <cell r="B33">
            <v>50</v>
          </cell>
        </row>
        <row r="35">
          <cell r="B35">
            <v>7.0000000000000007E-2</v>
          </cell>
        </row>
        <row r="37">
          <cell r="B37">
            <v>0.26</v>
          </cell>
        </row>
        <row r="39">
          <cell r="B39">
            <v>0.02</v>
          </cell>
        </row>
      </sheetData>
      <sheetData sheetId="7"/>
      <sheetData sheetId="8"/>
      <sheetData sheetId="9"/>
      <sheetData sheetId="10"/>
      <sheetData sheetId="11"/>
      <sheetData sheetId="12"/>
      <sheetData sheetId="13"/>
      <sheetData sheetId="14"/>
      <sheetData sheetId="15">
        <row r="8">
          <cell r="I8">
            <v>101752.39</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nnel Capacity"/>
      <sheetName val="Notes"/>
    </sheetNames>
    <sheetDataSet>
      <sheetData sheetId="0">
        <row r="2">
          <cell r="C2">
            <v>8000</v>
          </cell>
        </row>
        <row r="3">
          <cell r="C3">
            <v>0.57999999999999996</v>
          </cell>
        </row>
        <row r="4">
          <cell r="C4">
            <v>0</v>
          </cell>
        </row>
        <row r="5">
          <cell r="C5">
            <v>63</v>
          </cell>
        </row>
        <row r="6">
          <cell r="C6">
            <v>36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NEW ROAD"/>
      <sheetName val="CCI"/>
      <sheetName val="PayItems"/>
      <sheetName val="Basswood (4)"/>
      <sheetName val="Basswood (5)"/>
      <sheetName val="Basswood (6)"/>
      <sheetName val="Basswood (7)"/>
      <sheetName val="Summerfields"/>
      <sheetName val="NTP (2)"/>
      <sheetName val="NTP (3)"/>
      <sheetName val="NTP (4)"/>
      <sheetName val="Shiver"/>
      <sheetName val="Heritage Trace (5)"/>
      <sheetName val="Heritage Trace (6)"/>
      <sheetName val="Heritage Trace (7)"/>
      <sheetName val="Golden Triangle (2)"/>
      <sheetName val="Golden Triangle (3)"/>
      <sheetName val="Golden Triangle (4)"/>
      <sheetName val="Keller Hicks (2)"/>
      <sheetName val="Keller Hicks (3)"/>
      <sheetName val="Keller Hicks (4)"/>
      <sheetName val="Timberland (1)"/>
      <sheetName val="Timberland (2)"/>
      <sheetName val="Timberland (3)"/>
      <sheetName val="N. Riverside (1)"/>
      <sheetName val="N. Riverside (2)"/>
      <sheetName val="N. Riverside (3)"/>
      <sheetName val="N. Riverside (4)"/>
      <sheetName val="N. Riverside (5)"/>
      <sheetName val="N. Riverside (6)"/>
      <sheetName val="N. Riverside (7)"/>
      <sheetName val="N. Beach (3)"/>
      <sheetName val="N. Beach (4)"/>
      <sheetName val="N. Beach (5)"/>
      <sheetName val="N. Beach (6)"/>
      <sheetName val="N. Beach (7)"/>
      <sheetName val="N. Beach (8)"/>
      <sheetName val="N. Beach (9)"/>
      <sheetName val="N. Beach (10)"/>
      <sheetName val="Park Vista (2)"/>
      <sheetName val="Park Vista (3)"/>
      <sheetName val="Park Vista (4)"/>
      <sheetName val="Park Vista (5)"/>
      <sheetName val="Summary"/>
      <sheetName val="CIP"/>
      <sheetName val="CIP-cost"/>
      <sheetName val="SupD"/>
      <sheetName val="E-D"/>
      <sheetName val="MaxFee"/>
      <sheetName val="PieCharts"/>
      <sheetName val="LUVMET"/>
      <sheetName val="LUVMET (2)"/>
      <sheetName val="10-Yr"/>
    </sheetNames>
    <sheetDataSet>
      <sheetData sheetId="0"/>
      <sheetData sheetId="1">
        <row r="2">
          <cell r="A2" t="str">
            <v>Median</v>
          </cell>
        </row>
        <row r="3">
          <cell r="A3" t="str">
            <v>NEW</v>
          </cell>
        </row>
        <row r="4">
          <cell r="A4" t="str">
            <v>EXISTING</v>
          </cell>
        </row>
      </sheetData>
      <sheetData sheetId="2">
        <row r="6">
          <cell r="B6">
            <v>155.07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hso.ok.gov/Websites/ohso/images/CrashBooks/2018/2018_S2_Crashes.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nepis.epa.gov/Exe/tiff2png.cgi/P100EVY9.PNG?-r+75+-g+7+D%3A%5CZYFILES%5CINDEX%20DATA%5C06THRU10%5CTIFF%5C00001432%5CP100EVY9.TI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Z51"/>
  <sheetViews>
    <sheetView tabSelected="1" zoomScaleNormal="100" workbookViewId="0">
      <selection activeCell="G14" sqref="G14"/>
    </sheetView>
  </sheetViews>
  <sheetFormatPr defaultRowHeight="12.75" x14ac:dyDescent="0.2"/>
  <cols>
    <col min="2" max="2" width="10.28515625" customWidth="1"/>
    <col min="3" max="3" width="11.28515625" bestFit="1" customWidth="1"/>
    <col min="4" max="4" width="18.85546875" customWidth="1"/>
    <col min="5" max="5" width="21" customWidth="1"/>
    <col min="6" max="6" width="22.42578125" customWidth="1"/>
    <col min="7" max="7" width="25" bestFit="1" customWidth="1"/>
    <col min="8" max="8" width="20.140625" bestFit="1" customWidth="1"/>
  </cols>
  <sheetData>
    <row r="1" spans="1:26" x14ac:dyDescent="0.2">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row>
    <row r="2" spans="1:26" ht="32.25" customHeight="1" thickBot="1" x14ac:dyDescent="0.25">
      <c r="A2" s="103"/>
      <c r="B2" s="365" t="s">
        <v>59</v>
      </c>
      <c r="C2" s="365"/>
      <c r="D2" s="18" t="s">
        <v>2</v>
      </c>
      <c r="E2" s="18" t="s">
        <v>81</v>
      </c>
      <c r="F2" s="18" t="s">
        <v>5</v>
      </c>
      <c r="G2" s="18" t="s">
        <v>60</v>
      </c>
      <c r="H2" s="18" t="s">
        <v>9</v>
      </c>
      <c r="I2" s="103"/>
      <c r="J2" s="103"/>
      <c r="K2" s="103"/>
      <c r="L2" s="103"/>
      <c r="M2" s="103"/>
      <c r="N2" s="103"/>
      <c r="O2" s="103"/>
      <c r="P2" s="103"/>
      <c r="Q2" s="103"/>
      <c r="R2" s="103"/>
      <c r="S2" s="103"/>
      <c r="T2" s="103"/>
      <c r="U2" s="103"/>
      <c r="V2" s="103"/>
      <c r="W2" s="103"/>
      <c r="X2" s="103"/>
      <c r="Y2" s="103"/>
      <c r="Z2" s="103"/>
    </row>
    <row r="3" spans="1:26" ht="62.25" customHeight="1" thickTop="1" x14ac:dyDescent="0.2">
      <c r="A3" s="103"/>
      <c r="B3" s="366" t="str">
        <f>'Summary Table'!A1</f>
        <v>2020 BCA SUMMARY - U.S. 81 Realignment</v>
      </c>
      <c r="C3" s="367"/>
      <c r="D3" s="19">
        <f>Costs!C3</f>
        <v>242800000</v>
      </c>
      <c r="E3" s="19">
        <f>'Summary Table'!S48</f>
        <v>156602862.90444642</v>
      </c>
      <c r="F3" s="19">
        <f>'Summary Table'!L48</f>
        <v>2319540843.8783536</v>
      </c>
      <c r="G3" s="19">
        <f>'Summary Table'!M48</f>
        <v>300838298.6680665</v>
      </c>
      <c r="H3" s="20">
        <f>'Summary Table'!C4</f>
        <v>1.9210268132302759</v>
      </c>
      <c r="I3" s="103"/>
      <c r="J3" s="103"/>
      <c r="K3" s="103"/>
      <c r="L3" s="103"/>
      <c r="M3" s="103"/>
      <c r="N3" s="103"/>
      <c r="O3" s="103"/>
      <c r="P3" s="103"/>
      <c r="Q3" s="103"/>
      <c r="R3" s="103"/>
      <c r="S3" s="103"/>
      <c r="T3" s="103"/>
      <c r="U3" s="103"/>
      <c r="V3" s="103"/>
      <c r="W3" s="103"/>
      <c r="X3" s="103"/>
      <c r="Y3" s="103"/>
      <c r="Z3" s="103"/>
    </row>
    <row r="4" spans="1:26" x14ac:dyDescent="0.2">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row>
    <row r="5" spans="1:26" x14ac:dyDescent="0.2">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row>
    <row r="6" spans="1:26" x14ac:dyDescent="0.2">
      <c r="A6" s="103"/>
      <c r="B6" s="103"/>
      <c r="C6" s="103"/>
      <c r="D6" s="103"/>
      <c r="E6" s="103"/>
      <c r="F6" s="103"/>
      <c r="G6" s="103"/>
      <c r="H6" s="144"/>
      <c r="I6" s="144"/>
      <c r="J6" s="144"/>
      <c r="K6" s="144"/>
      <c r="L6" s="103"/>
      <c r="M6" s="103"/>
      <c r="N6" s="103"/>
      <c r="O6" s="103"/>
      <c r="P6" s="103"/>
      <c r="Q6" s="103"/>
      <c r="R6" s="103"/>
      <c r="S6" s="103"/>
      <c r="T6" s="103"/>
      <c r="U6" s="103"/>
      <c r="V6" s="103"/>
      <c r="W6" s="103"/>
      <c r="X6" s="103"/>
      <c r="Y6" s="103"/>
      <c r="Z6" s="103"/>
    </row>
    <row r="7" spans="1:26" ht="15.75" x14ac:dyDescent="0.25">
      <c r="A7" s="103"/>
      <c r="B7" s="103"/>
      <c r="C7" s="103"/>
      <c r="D7" s="103"/>
      <c r="E7" s="103"/>
      <c r="F7" s="103"/>
      <c r="G7" s="103"/>
      <c r="H7" s="144"/>
      <c r="I7" s="186"/>
      <c r="J7" s="186"/>
      <c r="K7" s="144"/>
      <c r="L7" s="103"/>
      <c r="M7" s="103"/>
      <c r="N7" s="103"/>
      <c r="O7" s="103"/>
      <c r="P7" s="103"/>
      <c r="Q7" s="103"/>
      <c r="R7" s="103"/>
      <c r="S7" s="103"/>
      <c r="T7" s="103"/>
      <c r="U7" s="103"/>
      <c r="V7" s="103"/>
      <c r="W7" s="103"/>
      <c r="X7" s="103"/>
      <c r="Y7" s="103"/>
      <c r="Z7" s="103"/>
    </row>
    <row r="8" spans="1:26" ht="15.75" x14ac:dyDescent="0.25">
      <c r="A8" s="103"/>
      <c r="B8" s="103"/>
      <c r="C8" s="103"/>
      <c r="D8" s="103"/>
      <c r="E8" s="103"/>
      <c r="F8" s="103"/>
      <c r="G8" s="103"/>
      <c r="H8" s="144"/>
      <c r="I8" s="186"/>
      <c r="J8" s="186"/>
      <c r="K8" s="144"/>
      <c r="L8" s="103"/>
      <c r="M8" s="103"/>
      <c r="N8" s="103"/>
      <c r="O8" s="103"/>
      <c r="P8" s="103"/>
      <c r="Q8" s="103"/>
      <c r="R8" s="103"/>
      <c r="S8" s="103"/>
      <c r="T8" s="103"/>
      <c r="U8" s="103"/>
      <c r="V8" s="103"/>
      <c r="W8" s="103"/>
      <c r="X8" s="103"/>
      <c r="Y8" s="103"/>
      <c r="Z8" s="103"/>
    </row>
    <row r="9" spans="1:26" x14ac:dyDescent="0.2">
      <c r="A9" s="103"/>
      <c r="B9" s="103"/>
      <c r="C9" s="103"/>
      <c r="D9" s="103"/>
      <c r="E9" s="103"/>
      <c r="F9" s="103"/>
      <c r="G9" s="103"/>
      <c r="H9" s="144"/>
      <c r="I9" s="144"/>
      <c r="J9" s="144"/>
      <c r="K9" s="144"/>
      <c r="L9" s="103"/>
      <c r="M9" s="103"/>
      <c r="N9" s="103"/>
      <c r="O9" s="103"/>
      <c r="P9" s="103"/>
      <c r="Q9" s="103"/>
      <c r="R9" s="103"/>
      <c r="S9" s="103"/>
      <c r="T9" s="103"/>
      <c r="U9" s="103"/>
      <c r="V9" s="103"/>
      <c r="W9" s="103"/>
      <c r="X9" s="103"/>
      <c r="Y9" s="103"/>
      <c r="Z9" s="103"/>
    </row>
    <row r="10" spans="1:26" x14ac:dyDescent="0.2">
      <c r="A10" s="103"/>
      <c r="B10" s="103"/>
      <c r="C10" s="103"/>
      <c r="D10" s="103"/>
      <c r="E10" s="103"/>
      <c r="F10" s="103"/>
      <c r="G10" s="103"/>
      <c r="H10" s="144"/>
      <c r="I10" s="144"/>
      <c r="J10" s="144"/>
      <c r="K10" s="144"/>
      <c r="L10" s="103"/>
      <c r="M10" s="103"/>
      <c r="N10" s="103"/>
      <c r="O10" s="103"/>
      <c r="P10" s="103"/>
      <c r="Q10" s="103"/>
      <c r="R10" s="103"/>
      <c r="S10" s="103"/>
      <c r="T10" s="103"/>
      <c r="U10" s="103"/>
      <c r="V10" s="103"/>
      <c r="W10" s="103"/>
      <c r="X10" s="103"/>
      <c r="Y10" s="103"/>
      <c r="Z10" s="103"/>
    </row>
    <row r="11" spans="1:26" x14ac:dyDescent="0.2">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row>
    <row r="12" spans="1:26" x14ac:dyDescent="0.2">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row>
    <row r="13" spans="1:26"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row>
    <row r="14" spans="1:26" x14ac:dyDescent="0.2">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row>
    <row r="15" spans="1:26" x14ac:dyDescent="0.2">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row>
    <row r="16" spans="1:26" x14ac:dyDescent="0.2">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row>
    <row r="17" spans="1:26" x14ac:dyDescent="0.2">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row>
    <row r="18" spans="1:26" x14ac:dyDescent="0.2">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row>
    <row r="19" spans="1:26" x14ac:dyDescent="0.2">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row>
    <row r="20" spans="1:26" x14ac:dyDescent="0.2">
      <c r="A20" s="103"/>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row>
    <row r="21" spans="1:26" x14ac:dyDescent="0.2">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row>
    <row r="22" spans="1:26" x14ac:dyDescent="0.2">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1:26" x14ac:dyDescent="0.2">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row>
    <row r="24" spans="1:26" x14ac:dyDescent="0.2">
      <c r="A24" s="103"/>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row>
    <row r="25" spans="1:26" x14ac:dyDescent="0.2">
      <c r="A25" s="103"/>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row>
    <row r="26" spans="1:26" x14ac:dyDescent="0.2">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row>
    <row r="27" spans="1:26" x14ac:dyDescent="0.2">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row>
    <row r="28" spans="1:26" x14ac:dyDescent="0.2">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row>
    <row r="29" spans="1:26" x14ac:dyDescent="0.2">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row>
    <row r="30" spans="1:26" x14ac:dyDescent="0.2">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row>
    <row r="31" spans="1:26" x14ac:dyDescent="0.2">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row>
    <row r="32" spans="1:26" x14ac:dyDescent="0.2">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row>
    <row r="33" spans="1:26" x14ac:dyDescent="0.2">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row>
    <row r="34" spans="1:26" x14ac:dyDescent="0.2">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row>
    <row r="35" spans="1:26" x14ac:dyDescent="0.2">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row>
    <row r="36" spans="1:26" x14ac:dyDescent="0.2">
      <c r="A36" s="103"/>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row>
    <row r="37" spans="1:26" x14ac:dyDescent="0.2">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row>
    <row r="38" spans="1:26" x14ac:dyDescent="0.2">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row>
    <row r="39" spans="1:26" x14ac:dyDescent="0.2">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row>
    <row r="40" spans="1:26" x14ac:dyDescent="0.2">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row>
    <row r="41" spans="1:26" x14ac:dyDescent="0.2">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row>
    <row r="42" spans="1:26" x14ac:dyDescent="0.2">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row>
    <row r="43" spans="1:26" x14ac:dyDescent="0.2">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row>
    <row r="44" spans="1:26" x14ac:dyDescent="0.2">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row>
    <row r="45" spans="1:26" x14ac:dyDescent="0.2">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row>
    <row r="46" spans="1:26" x14ac:dyDescent="0.2">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row>
    <row r="47" spans="1:26" x14ac:dyDescent="0.2">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spans="1:26" x14ac:dyDescent="0.2">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spans="1:26" x14ac:dyDescent="0.2">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row>
    <row r="50" spans="1:26" x14ac:dyDescent="0.2">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row>
    <row r="51" spans="1:26" x14ac:dyDescent="0.2">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row>
  </sheetData>
  <mergeCells count="2">
    <mergeCell ref="B2:C2"/>
    <mergeCell ref="B3:C3"/>
  </mergeCells>
  <pageMargins left="0.7" right="0.7" top="0.75" bottom="0.75" header="0.3" footer="0.3"/>
  <pageSetup scale="96"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81F9-3E96-449E-A527-903E83E687E2}">
  <sheetPr>
    <tabColor theme="6"/>
    <pageSetUpPr fitToPage="1"/>
  </sheetPr>
  <dimension ref="A1:AB101"/>
  <sheetViews>
    <sheetView zoomScale="70" zoomScaleNormal="70" workbookViewId="0">
      <selection activeCell="M48" sqref="M48"/>
    </sheetView>
  </sheetViews>
  <sheetFormatPr defaultRowHeight="12.75" x14ac:dyDescent="0.2"/>
  <cols>
    <col min="1" max="1" width="13.85546875" customWidth="1"/>
    <col min="2" max="2" width="16.7109375" customWidth="1"/>
    <col min="3" max="3" width="15.7109375" customWidth="1"/>
    <col min="4" max="4" width="16.140625" bestFit="1" customWidth="1"/>
    <col min="5" max="5" width="14.7109375" customWidth="1"/>
    <col min="6" max="6" width="10.7109375" customWidth="1"/>
    <col min="7" max="7" width="12.42578125" bestFit="1" customWidth="1"/>
    <col min="8" max="8" width="14.5703125" customWidth="1"/>
    <col min="9" max="9" width="18.7109375" customWidth="1"/>
    <col min="10" max="10" width="17" customWidth="1"/>
    <col min="11" max="11" width="15.85546875" customWidth="1"/>
    <col min="12" max="12" width="14.42578125" bestFit="1" customWidth="1"/>
    <col min="13" max="13" width="15.5703125" customWidth="1"/>
    <col min="14" max="14" width="10.7109375" customWidth="1"/>
    <col min="15" max="15" width="12.85546875" customWidth="1"/>
    <col min="16" max="16" width="12.5703125" customWidth="1"/>
    <col min="17" max="17" width="17.42578125" customWidth="1"/>
    <col min="18" max="19" width="12.85546875" bestFit="1" customWidth="1"/>
    <col min="20" max="26" width="10.7109375" customWidth="1"/>
  </cols>
  <sheetData>
    <row r="1" spans="1:28" ht="23.25" x14ac:dyDescent="0.35">
      <c r="A1" s="178" t="s">
        <v>275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row>
    <row r="2" spans="1:28" ht="18.75" x14ac:dyDescent="0.3">
      <c r="A2" s="179"/>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row>
    <row r="3" spans="1:28" ht="18" customHeight="1" x14ac:dyDescent="0.2">
      <c r="A3" s="382" t="s">
        <v>65</v>
      </c>
      <c r="B3" s="383"/>
      <c r="C3" s="383"/>
      <c r="D3" s="103"/>
      <c r="E3" s="103"/>
      <c r="F3" s="103"/>
      <c r="G3" s="103"/>
      <c r="H3" s="103"/>
      <c r="I3" s="103"/>
      <c r="J3" s="103"/>
      <c r="K3" s="103"/>
      <c r="L3" s="103"/>
      <c r="M3" s="103"/>
      <c r="N3" s="103"/>
      <c r="O3" s="103"/>
      <c r="P3" s="103"/>
      <c r="Q3" s="103"/>
      <c r="R3" s="103"/>
      <c r="S3" s="103"/>
      <c r="T3" s="103"/>
      <c r="U3" s="103"/>
      <c r="V3" s="103"/>
      <c r="W3" s="103"/>
      <c r="X3" s="103"/>
      <c r="Y3" s="103"/>
      <c r="Z3" s="103"/>
      <c r="AA3" s="103"/>
      <c r="AB3" s="103"/>
    </row>
    <row r="4" spans="1:28" ht="19.899999999999999" customHeight="1" x14ac:dyDescent="0.3">
      <c r="A4" s="384" t="s">
        <v>68</v>
      </c>
      <c r="B4" s="384"/>
      <c r="C4" s="91">
        <f>M48/S48</f>
        <v>1.9210268132302759</v>
      </c>
      <c r="D4" s="122"/>
      <c r="E4" s="103"/>
      <c r="F4" s="103"/>
      <c r="G4" s="103"/>
      <c r="H4" s="103"/>
      <c r="I4" s="103"/>
      <c r="J4" s="103"/>
      <c r="K4" s="103"/>
      <c r="L4" s="103"/>
      <c r="M4" s="103"/>
      <c r="N4" s="103"/>
      <c r="O4" s="103"/>
      <c r="P4" s="103"/>
      <c r="Q4" s="103"/>
      <c r="R4" s="103"/>
      <c r="S4" s="103"/>
      <c r="T4" s="103"/>
      <c r="U4" s="103"/>
      <c r="V4" s="103"/>
      <c r="W4" s="103"/>
      <c r="X4" s="103"/>
      <c r="Y4" s="103"/>
      <c r="Z4" s="103"/>
      <c r="AA4" s="103"/>
      <c r="AB4" s="103"/>
    </row>
    <row r="5" spans="1:28" ht="18" customHeight="1" x14ac:dyDescent="0.25">
      <c r="A5" s="385" t="s">
        <v>67</v>
      </c>
      <c r="B5" s="385"/>
      <c r="C5" s="89">
        <f>IRR(D12:D47)</f>
        <v>3.0633567278138374E-2</v>
      </c>
      <c r="D5" s="122"/>
      <c r="E5" s="103"/>
      <c r="F5" s="103"/>
      <c r="G5" s="103"/>
      <c r="H5" s="103"/>
      <c r="I5" s="103"/>
      <c r="J5" s="103"/>
      <c r="K5" s="103"/>
      <c r="L5" s="103"/>
      <c r="M5" s="103"/>
      <c r="N5" s="103"/>
      <c r="O5" s="103"/>
      <c r="P5" s="103"/>
      <c r="Q5" s="103"/>
      <c r="R5" s="103"/>
      <c r="S5" s="103"/>
      <c r="T5" s="103"/>
      <c r="U5" s="103"/>
      <c r="V5" s="103"/>
      <c r="W5" s="103"/>
      <c r="X5" s="103"/>
      <c r="Y5" s="103"/>
      <c r="Z5" s="103"/>
      <c r="AA5" s="103"/>
      <c r="AB5" s="103"/>
    </row>
    <row r="6" spans="1:28" ht="18" customHeight="1" x14ac:dyDescent="0.25">
      <c r="A6" s="385" t="s">
        <v>66</v>
      </c>
      <c r="B6" s="385"/>
      <c r="C6" s="90">
        <f>M48-S48</f>
        <v>144235435.76362008</v>
      </c>
      <c r="D6" s="122"/>
      <c r="E6" s="103"/>
      <c r="F6" s="103"/>
      <c r="G6" s="103"/>
      <c r="H6" s="103"/>
      <c r="I6" s="103"/>
      <c r="J6" s="103"/>
      <c r="K6" s="103"/>
      <c r="L6" s="103"/>
      <c r="M6" s="103"/>
      <c r="N6" s="103"/>
      <c r="O6" s="103"/>
      <c r="P6" s="103"/>
      <c r="Q6" s="103"/>
      <c r="R6" s="103"/>
      <c r="S6" s="103"/>
      <c r="T6" s="103"/>
      <c r="U6" s="103"/>
      <c r="V6" s="103"/>
      <c r="W6" s="103"/>
      <c r="X6" s="103"/>
      <c r="Y6" s="103"/>
      <c r="Z6" s="103"/>
      <c r="AA6" s="103"/>
      <c r="AB6" s="103"/>
    </row>
    <row r="7" spans="1:28" ht="18" customHeight="1" x14ac:dyDescent="0.25">
      <c r="A7" s="385" t="s">
        <v>7</v>
      </c>
      <c r="B7" s="385"/>
      <c r="C7" s="89">
        <v>7.0000000000000007E-2</v>
      </c>
      <c r="D7" s="122"/>
      <c r="E7" s="103"/>
      <c r="F7" s="103"/>
      <c r="G7" s="103"/>
      <c r="H7" s="103"/>
      <c r="I7" s="103"/>
      <c r="J7" s="103"/>
      <c r="K7" s="103"/>
      <c r="L7" s="103"/>
      <c r="M7" s="103"/>
      <c r="N7" s="103"/>
      <c r="O7" s="103"/>
      <c r="P7" s="103"/>
      <c r="Q7" s="103"/>
      <c r="R7" s="103"/>
      <c r="S7" s="103"/>
      <c r="T7" s="103"/>
      <c r="U7" s="103"/>
      <c r="V7" s="103"/>
      <c r="W7" s="103"/>
      <c r="X7" s="103"/>
      <c r="Y7" s="103"/>
      <c r="Z7" s="103"/>
      <c r="AA7" s="103"/>
      <c r="AB7" s="103"/>
    </row>
    <row r="8" spans="1:28" x14ac:dyDescent="0.2">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row>
    <row r="9" spans="1:28" ht="14.45" customHeight="1" x14ac:dyDescent="0.2">
      <c r="A9" s="370" t="s">
        <v>79</v>
      </c>
      <c r="B9" s="371"/>
      <c r="C9" s="371"/>
      <c r="D9" s="371"/>
      <c r="E9" s="372"/>
      <c r="F9" s="103"/>
      <c r="G9" s="376" t="s">
        <v>278</v>
      </c>
      <c r="H9" s="377"/>
      <c r="I9" s="377"/>
      <c r="J9" s="377"/>
      <c r="K9" s="377"/>
      <c r="L9" s="377"/>
      <c r="M9" s="377"/>
      <c r="N9" s="103"/>
      <c r="O9" s="370" t="s">
        <v>307</v>
      </c>
      <c r="P9" s="371"/>
      <c r="Q9" s="371"/>
      <c r="R9" s="371"/>
      <c r="S9" s="372"/>
      <c r="T9" s="103"/>
      <c r="U9" s="103"/>
      <c r="V9" s="103"/>
      <c r="W9" s="103"/>
      <c r="X9" s="103"/>
      <c r="Y9" s="103"/>
      <c r="Z9" s="103"/>
      <c r="AA9" s="103"/>
      <c r="AB9" s="103"/>
    </row>
    <row r="10" spans="1:28" ht="14.45" customHeight="1" x14ac:dyDescent="0.2">
      <c r="A10" s="373"/>
      <c r="B10" s="374"/>
      <c r="C10" s="374"/>
      <c r="D10" s="374"/>
      <c r="E10" s="375"/>
      <c r="F10" s="103"/>
      <c r="G10" s="378" t="s">
        <v>69</v>
      </c>
      <c r="H10" s="380" t="s">
        <v>3</v>
      </c>
      <c r="I10" s="381"/>
      <c r="J10" s="306" t="s">
        <v>76</v>
      </c>
      <c r="K10" s="92" t="s">
        <v>4</v>
      </c>
      <c r="L10" s="368" t="s">
        <v>0</v>
      </c>
      <c r="M10" s="368" t="s">
        <v>73</v>
      </c>
      <c r="N10" s="103"/>
      <c r="O10" s="373"/>
      <c r="P10" s="374"/>
      <c r="Q10" s="374"/>
      <c r="R10" s="374"/>
      <c r="S10" s="375"/>
      <c r="T10" s="103"/>
      <c r="U10" s="103"/>
      <c r="V10" s="103"/>
      <c r="W10" s="103"/>
      <c r="X10" s="103"/>
      <c r="Y10" s="103"/>
      <c r="Z10" s="103"/>
      <c r="AA10" s="103"/>
      <c r="AB10" s="103"/>
    </row>
    <row r="11" spans="1:28" ht="42" customHeight="1" thickBot="1" x14ac:dyDescent="0.25">
      <c r="A11" s="94" t="s">
        <v>69</v>
      </c>
      <c r="B11" s="94" t="s">
        <v>74</v>
      </c>
      <c r="C11" s="94" t="s">
        <v>62</v>
      </c>
      <c r="D11" s="94" t="s">
        <v>75</v>
      </c>
      <c r="E11" s="94" t="s">
        <v>87</v>
      </c>
      <c r="F11" s="103"/>
      <c r="G11" s="379"/>
      <c r="H11" s="94" t="s">
        <v>64</v>
      </c>
      <c r="I11" s="94" t="s">
        <v>100</v>
      </c>
      <c r="J11" s="94" t="s">
        <v>77</v>
      </c>
      <c r="K11" s="94" t="s">
        <v>70</v>
      </c>
      <c r="L11" s="369"/>
      <c r="M11" s="369"/>
      <c r="N11" s="103"/>
      <c r="O11" s="94" t="s">
        <v>69</v>
      </c>
      <c r="P11" s="94" t="s">
        <v>2</v>
      </c>
      <c r="Q11" s="94" t="s">
        <v>71</v>
      </c>
      <c r="R11" s="94" t="s">
        <v>72</v>
      </c>
      <c r="S11" s="94" t="s">
        <v>73</v>
      </c>
      <c r="T11" s="103"/>
      <c r="U11" s="103"/>
      <c r="V11" s="103"/>
      <c r="W11" s="103"/>
      <c r="X11" s="103"/>
      <c r="Y11" s="103"/>
      <c r="Z11" s="103"/>
      <c r="AA11" s="103"/>
      <c r="AB11" s="103"/>
    </row>
    <row r="12" spans="1:28" ht="13.5" thickTop="1" x14ac:dyDescent="0.2">
      <c r="A12" s="311">
        <v>2021</v>
      </c>
      <c r="B12" s="230">
        <f t="shared" ref="B12:B47" si="0">S12</f>
        <v>33032854.084849805</v>
      </c>
      <c r="C12" s="231">
        <f t="shared" ref="C12:C47" si="1">M12</f>
        <v>0</v>
      </c>
      <c r="D12" s="230">
        <f t="shared" ref="D12:D47" si="2">C12-B12</f>
        <v>-33032854.084849805</v>
      </c>
      <c r="E12" s="232">
        <f>D12</f>
        <v>-33032854.084849805</v>
      </c>
      <c r="F12" s="103"/>
      <c r="G12" s="311">
        <v>2021</v>
      </c>
      <c r="H12" s="225"/>
      <c r="I12" s="202"/>
      <c r="J12" s="225"/>
      <c r="K12" s="202"/>
      <c r="L12" s="225"/>
      <c r="M12" s="202"/>
      <c r="N12" s="103"/>
      <c r="O12" s="311">
        <v>2021</v>
      </c>
      <c r="P12" s="237">
        <f>Costs!G7</f>
        <v>40466666.666666664</v>
      </c>
      <c r="Q12" s="238">
        <f>Costs!H7</f>
        <v>0</v>
      </c>
      <c r="R12" s="237">
        <f t="shared" ref="R12:R47" si="3">+P12+Q12</f>
        <v>40466666.666666664</v>
      </c>
      <c r="S12" s="238">
        <f>R12*NPV!C6</f>
        <v>33032854.084849805</v>
      </c>
      <c r="T12" s="103"/>
      <c r="U12" s="103"/>
      <c r="V12" s="103"/>
      <c r="W12" s="103"/>
      <c r="X12" s="103"/>
      <c r="Y12" s="103"/>
      <c r="Z12" s="103"/>
      <c r="AA12" s="103"/>
      <c r="AB12" s="103"/>
    </row>
    <row r="13" spans="1:28" x14ac:dyDescent="0.2">
      <c r="A13" s="311">
        <f t="shared" ref="A13:A47" si="4">A12+1</f>
        <v>2022</v>
      </c>
      <c r="B13" s="230">
        <f t="shared" si="0"/>
        <v>30871826.247523185</v>
      </c>
      <c r="C13" s="231">
        <f t="shared" si="1"/>
        <v>0</v>
      </c>
      <c r="D13" s="230">
        <f t="shared" si="2"/>
        <v>-30871826.247523185</v>
      </c>
      <c r="E13" s="233">
        <f>D13+E12</f>
        <v>-63904680.332372993</v>
      </c>
      <c r="F13" s="103"/>
      <c r="G13" s="311">
        <f t="shared" ref="G13:G47" si="5">G12+1</f>
        <v>2022</v>
      </c>
      <c r="H13" s="225"/>
      <c r="I13" s="202"/>
      <c r="J13" s="225"/>
      <c r="K13" s="202"/>
      <c r="L13" s="225"/>
      <c r="M13" s="202"/>
      <c r="N13" s="103"/>
      <c r="O13" s="311">
        <f t="shared" ref="O13:O47" si="6">O12+1</f>
        <v>2022</v>
      </c>
      <c r="P13" s="237">
        <f>Costs!G8</f>
        <v>40466666.666666664</v>
      </c>
      <c r="Q13" s="238">
        <f>Costs!H8</f>
        <v>0</v>
      </c>
      <c r="R13" s="237">
        <f t="shared" si="3"/>
        <v>40466666.666666664</v>
      </c>
      <c r="S13" s="238">
        <f>R13*NPV!C7</f>
        <v>30871826.247523185</v>
      </c>
      <c r="T13" s="103"/>
      <c r="U13" s="103"/>
      <c r="V13" s="103"/>
      <c r="W13" s="103"/>
      <c r="X13" s="103"/>
      <c r="Y13" s="103"/>
      <c r="Z13" s="103"/>
      <c r="AA13" s="103"/>
      <c r="AB13" s="103"/>
    </row>
    <row r="14" spans="1:28" x14ac:dyDescent="0.2">
      <c r="A14" s="311">
        <f t="shared" si="4"/>
        <v>2023</v>
      </c>
      <c r="B14" s="230">
        <f t="shared" si="0"/>
        <v>28852174.063105777</v>
      </c>
      <c r="C14" s="231">
        <f t="shared" si="1"/>
        <v>0</v>
      </c>
      <c r="D14" s="230">
        <f t="shared" si="2"/>
        <v>-28852174.063105777</v>
      </c>
      <c r="E14" s="233">
        <f t="shared" ref="E14:E41" si="7">D14+E13</f>
        <v>-92756854.39547877</v>
      </c>
      <c r="F14" s="103"/>
      <c r="G14" s="311">
        <f t="shared" si="5"/>
        <v>2023</v>
      </c>
      <c r="H14" s="225"/>
      <c r="I14" s="202"/>
      <c r="J14" s="225"/>
      <c r="K14" s="202"/>
      <c r="L14" s="225"/>
      <c r="M14" s="202"/>
      <c r="N14" s="103"/>
      <c r="O14" s="311">
        <f t="shared" si="6"/>
        <v>2023</v>
      </c>
      <c r="P14" s="237">
        <f>Costs!G9</f>
        <v>40466666.666666664</v>
      </c>
      <c r="Q14" s="238">
        <f>Costs!H9</f>
        <v>0</v>
      </c>
      <c r="R14" s="237">
        <f t="shared" si="3"/>
        <v>40466666.666666664</v>
      </c>
      <c r="S14" s="238">
        <f>R14*NPV!C8</f>
        <v>28852174.063105777</v>
      </c>
      <c r="T14" s="103"/>
      <c r="U14" s="103"/>
      <c r="V14" s="103"/>
      <c r="W14" s="103"/>
      <c r="X14" s="103"/>
      <c r="Y14" s="103"/>
      <c r="Z14" s="103"/>
      <c r="AA14" s="103"/>
      <c r="AB14" s="103"/>
    </row>
    <row r="15" spans="1:28" x14ac:dyDescent="0.2">
      <c r="A15" s="311">
        <f t="shared" si="4"/>
        <v>2024</v>
      </c>
      <c r="B15" s="230">
        <f t="shared" si="0"/>
        <v>26964648.657108206</v>
      </c>
      <c r="C15" s="231">
        <f t="shared" si="1"/>
        <v>0</v>
      </c>
      <c r="D15" s="230">
        <f t="shared" si="2"/>
        <v>-26964648.657108206</v>
      </c>
      <c r="E15" s="233">
        <f t="shared" si="7"/>
        <v>-119721503.05258697</v>
      </c>
      <c r="F15" s="103"/>
      <c r="G15" s="311">
        <f t="shared" si="5"/>
        <v>2024</v>
      </c>
      <c r="H15" s="225"/>
      <c r="I15" s="202"/>
      <c r="J15" s="225"/>
      <c r="K15" s="202"/>
      <c r="L15" s="225"/>
      <c r="M15" s="202"/>
      <c r="N15" s="103"/>
      <c r="O15" s="311">
        <f t="shared" si="6"/>
        <v>2024</v>
      </c>
      <c r="P15" s="237">
        <f>Costs!G10</f>
        <v>40466666.666666664</v>
      </c>
      <c r="Q15" s="238">
        <f>Costs!H10</f>
        <v>0</v>
      </c>
      <c r="R15" s="237">
        <f t="shared" si="3"/>
        <v>40466666.666666664</v>
      </c>
      <c r="S15" s="238">
        <f>R15*NPV!C9</f>
        <v>26964648.657108206</v>
      </c>
      <c r="T15" s="103"/>
      <c r="U15" s="103"/>
      <c r="V15" s="103"/>
      <c r="W15" s="103"/>
      <c r="X15" s="103"/>
      <c r="Y15" s="103"/>
      <c r="Z15" s="103"/>
      <c r="AA15" s="103"/>
      <c r="AB15" s="103"/>
    </row>
    <row r="16" spans="1:28" x14ac:dyDescent="0.2">
      <c r="A16" s="311">
        <f t="shared" si="4"/>
        <v>2025</v>
      </c>
      <c r="B16" s="230">
        <f t="shared" si="0"/>
        <v>25200606.22159645</v>
      </c>
      <c r="C16" s="231">
        <f t="shared" si="1"/>
        <v>0</v>
      </c>
      <c r="D16" s="230">
        <f t="shared" si="2"/>
        <v>-25200606.22159645</v>
      </c>
      <c r="E16" s="233">
        <f t="shared" si="7"/>
        <v>-144922109.27418342</v>
      </c>
      <c r="F16" s="103"/>
      <c r="G16" s="311">
        <f t="shared" si="5"/>
        <v>2025</v>
      </c>
      <c r="H16" s="225"/>
      <c r="I16" s="202"/>
      <c r="J16" s="225"/>
      <c r="K16" s="202"/>
      <c r="L16" s="225"/>
      <c r="M16" s="202"/>
      <c r="N16" s="103"/>
      <c r="O16" s="311">
        <f t="shared" si="6"/>
        <v>2025</v>
      </c>
      <c r="P16" s="237">
        <f>Costs!G11</f>
        <v>40466666.666666664</v>
      </c>
      <c r="Q16" s="238">
        <f>Costs!H11</f>
        <v>0</v>
      </c>
      <c r="R16" s="237">
        <f t="shared" si="3"/>
        <v>40466666.666666664</v>
      </c>
      <c r="S16" s="238">
        <f>R16*NPV!C10</f>
        <v>25200606.22159645</v>
      </c>
      <c r="T16" s="103"/>
      <c r="U16" s="103"/>
      <c r="V16" s="103"/>
      <c r="W16" s="103"/>
      <c r="X16" s="103"/>
      <c r="Y16" s="103"/>
      <c r="Z16" s="103"/>
      <c r="AA16" s="103"/>
      <c r="AB16" s="103"/>
    </row>
    <row r="17" spans="1:28" x14ac:dyDescent="0.2">
      <c r="A17" s="311">
        <f t="shared" si="4"/>
        <v>2026</v>
      </c>
      <c r="B17" s="230">
        <f t="shared" si="0"/>
        <v>23551968.431398552</v>
      </c>
      <c r="C17" s="231">
        <f t="shared" si="1"/>
        <v>0</v>
      </c>
      <c r="D17" s="230">
        <f t="shared" si="2"/>
        <v>-23551968.431398552</v>
      </c>
      <c r="E17" s="233">
        <f t="shared" si="7"/>
        <v>-168474077.70558196</v>
      </c>
      <c r="F17" s="103"/>
      <c r="G17" s="311">
        <f t="shared" si="5"/>
        <v>2026</v>
      </c>
      <c r="H17" s="225"/>
      <c r="I17" s="202"/>
      <c r="J17" s="225"/>
      <c r="K17" s="202"/>
      <c r="L17" s="225"/>
      <c r="M17" s="202"/>
      <c r="N17" s="103"/>
      <c r="O17" s="311">
        <f t="shared" si="6"/>
        <v>2026</v>
      </c>
      <c r="P17" s="237">
        <f>Costs!G12</f>
        <v>40466666.666666664</v>
      </c>
      <c r="Q17" s="238">
        <f>Costs!H12</f>
        <v>0</v>
      </c>
      <c r="R17" s="237">
        <f t="shared" si="3"/>
        <v>40466666.666666664</v>
      </c>
      <c r="S17" s="238">
        <f>R17*NPV!C11</f>
        <v>23551968.431398552</v>
      </c>
      <c r="T17" s="103"/>
      <c r="U17" s="103"/>
      <c r="V17" s="103"/>
      <c r="W17" s="103"/>
      <c r="X17" s="103"/>
      <c r="Y17" s="103"/>
      <c r="Z17" s="103"/>
      <c r="AA17" s="103"/>
      <c r="AB17" s="103"/>
    </row>
    <row r="18" spans="1:28" x14ac:dyDescent="0.2">
      <c r="A18" s="311">
        <f t="shared" si="4"/>
        <v>2027</v>
      </c>
      <c r="B18" s="230">
        <f t="shared" si="0"/>
        <v>-536439.9674125663</v>
      </c>
      <c r="C18" s="231">
        <f t="shared" si="1"/>
        <v>12157475.448083624</v>
      </c>
      <c r="D18" s="230">
        <f t="shared" si="2"/>
        <v>12693915.415496191</v>
      </c>
      <c r="E18" s="233">
        <f t="shared" si="7"/>
        <v>-155780162.29008576</v>
      </c>
      <c r="F18" s="103"/>
      <c r="G18" s="311">
        <f t="shared" si="5"/>
        <v>2027</v>
      </c>
      <c r="H18" s="225">
        <f>'Travel Time'!R11</f>
        <v>11334946.733644661</v>
      </c>
      <c r="I18" s="202">
        <f>'Travel Time'!L47</f>
        <v>-1584297.9963434746</v>
      </c>
      <c r="J18" s="225">
        <f>'Environmental Protection'!H8</f>
        <v>-160826</v>
      </c>
      <c r="K18" s="202">
        <f>Safety!D10</f>
        <v>12761200</v>
      </c>
      <c r="L18" s="225">
        <f t="shared" ref="L18:L47" si="8">SUM(H18:K18)</f>
        <v>22351022.737301186</v>
      </c>
      <c r="M18" s="202">
        <f>L18*NPV!C12</f>
        <v>12157475.448083624</v>
      </c>
      <c r="N18" s="103"/>
      <c r="O18" s="311">
        <f t="shared" si="6"/>
        <v>2027</v>
      </c>
      <c r="P18" s="237">
        <f>Costs!G13</f>
        <v>0</v>
      </c>
      <c r="Q18" s="238">
        <f>Costs!H13</f>
        <v>-986223</v>
      </c>
      <c r="R18" s="237">
        <f t="shared" si="3"/>
        <v>-986223</v>
      </c>
      <c r="S18" s="238">
        <f>R18*NPV!C12</f>
        <v>-536439.9674125663</v>
      </c>
      <c r="T18" s="103"/>
      <c r="U18" s="103"/>
      <c r="V18" s="103"/>
      <c r="W18" s="103"/>
      <c r="X18" s="103"/>
      <c r="Y18" s="103"/>
      <c r="Z18" s="103"/>
      <c r="AA18" s="103"/>
      <c r="AB18" s="103"/>
    </row>
    <row r="19" spans="1:28" x14ac:dyDescent="0.2">
      <c r="A19" s="311">
        <f t="shared" si="4"/>
        <v>2028</v>
      </c>
      <c r="B19" s="230">
        <f t="shared" si="0"/>
        <v>-1209822.0053992914</v>
      </c>
      <c r="C19" s="231">
        <f t="shared" si="1"/>
        <v>11520224.563226825</v>
      </c>
      <c r="D19" s="230">
        <f t="shared" si="2"/>
        <v>12730046.568626117</v>
      </c>
      <c r="E19" s="233">
        <f t="shared" si="7"/>
        <v>-143050115.72145966</v>
      </c>
      <c r="F19" s="103"/>
      <c r="G19" s="311">
        <f t="shared" si="5"/>
        <v>2028</v>
      </c>
      <c r="H19" s="225">
        <f>'Travel Time'!R12</f>
        <v>11861830.616510473</v>
      </c>
      <c r="I19" s="202">
        <f>'Travel Time'!L48</f>
        <v>-1608828.2306782347</v>
      </c>
      <c r="J19" s="225">
        <f>'Environmental Protection'!H9</f>
        <v>-163277</v>
      </c>
      <c r="K19" s="202">
        <f>Safety!D11</f>
        <v>12572300</v>
      </c>
      <c r="L19" s="225">
        <f t="shared" si="8"/>
        <v>22662025.385832239</v>
      </c>
      <c r="M19" s="202">
        <f>L19*NPV!C13</f>
        <v>11520224.563226825</v>
      </c>
      <c r="N19" s="103"/>
      <c r="O19" s="311">
        <f t="shared" si="6"/>
        <v>2028</v>
      </c>
      <c r="P19" s="237">
        <f>Costs!G14</f>
        <v>0</v>
      </c>
      <c r="Q19" s="238">
        <f>Costs!H14</f>
        <v>-2379903</v>
      </c>
      <c r="R19" s="237">
        <f t="shared" si="3"/>
        <v>-2379903</v>
      </c>
      <c r="S19" s="238">
        <f>R19*NPV!C13</f>
        <v>-1209822.0053992914</v>
      </c>
      <c r="T19" s="103"/>
      <c r="U19" s="103"/>
      <c r="V19" s="103"/>
      <c r="W19" s="103"/>
      <c r="X19" s="103"/>
      <c r="Y19" s="103"/>
      <c r="Z19" s="103"/>
      <c r="AA19" s="103"/>
      <c r="AB19" s="103"/>
    </row>
    <row r="20" spans="1:28" x14ac:dyDescent="0.2">
      <c r="A20" s="311">
        <f t="shared" si="4"/>
        <v>2029</v>
      </c>
      <c r="B20" s="230">
        <f t="shared" si="0"/>
        <v>-749365.29302052967</v>
      </c>
      <c r="C20" s="231">
        <f t="shared" si="1"/>
        <v>6812566.3864360079</v>
      </c>
      <c r="D20" s="230">
        <f t="shared" si="2"/>
        <v>7561931.6794565376</v>
      </c>
      <c r="E20" s="233">
        <f t="shared" si="7"/>
        <v>-135488184.04200312</v>
      </c>
      <c r="F20" s="103"/>
      <c r="G20" s="311">
        <f t="shared" si="5"/>
        <v>2029</v>
      </c>
      <c r="H20" s="225">
        <f>'Travel Time'!R13</f>
        <v>12434000.745438958</v>
      </c>
      <c r="I20" s="202">
        <f>'Travel Time'!L49</f>
        <v>-1634489.086776892</v>
      </c>
      <c r="J20" s="225">
        <f>'Environmental Protection'!H10</f>
        <v>-165868</v>
      </c>
      <c r="K20" s="202">
        <f>Safety!D12</f>
        <v>3705800</v>
      </c>
      <c r="L20" s="225">
        <f t="shared" si="8"/>
        <v>14339443.658662066</v>
      </c>
      <c r="M20" s="202">
        <f>L20*NPV!C14</f>
        <v>6812566.3864360079</v>
      </c>
      <c r="N20" s="103"/>
      <c r="O20" s="311">
        <f t="shared" si="6"/>
        <v>2029</v>
      </c>
      <c r="P20" s="237">
        <f>Costs!G15</f>
        <v>0</v>
      </c>
      <c r="Q20" s="238">
        <f>Costs!H15</f>
        <v>-1577303</v>
      </c>
      <c r="R20" s="237">
        <f t="shared" si="3"/>
        <v>-1577303</v>
      </c>
      <c r="S20" s="238">
        <f>R20*NPV!C14</f>
        <v>-749365.29302052967</v>
      </c>
      <c r="T20" s="103"/>
      <c r="U20" s="103"/>
      <c r="V20" s="103"/>
      <c r="W20" s="103"/>
      <c r="X20" s="103"/>
      <c r="Y20" s="103"/>
      <c r="Z20" s="103"/>
      <c r="AA20" s="103"/>
      <c r="AB20" s="103"/>
    </row>
    <row r="21" spans="1:28" x14ac:dyDescent="0.2">
      <c r="A21" s="311">
        <f t="shared" si="4"/>
        <v>2030</v>
      </c>
      <c r="B21" s="230">
        <f t="shared" si="0"/>
        <v>78810.790729352782</v>
      </c>
      <c r="C21" s="231">
        <f t="shared" si="1"/>
        <v>6411207.4683966516</v>
      </c>
      <c r="D21" s="230">
        <f t="shared" si="2"/>
        <v>6332396.6776672984</v>
      </c>
      <c r="E21" s="233">
        <f t="shared" si="7"/>
        <v>-129155787.36433582</v>
      </c>
      <c r="F21" s="103"/>
      <c r="G21" s="311">
        <f t="shared" si="5"/>
        <v>2030</v>
      </c>
      <c r="H21" s="225">
        <f>'Travel Time'!R14</f>
        <v>13091275.963981554</v>
      </c>
      <c r="I21" s="202">
        <f>'Travel Time'!L50</f>
        <v>-1661723.4285758</v>
      </c>
      <c r="J21" s="225">
        <f>'Environmental Protection'!H11</f>
        <v>-168685</v>
      </c>
      <c r="K21" s="202">
        <f>Safety!D13</f>
        <v>3178400</v>
      </c>
      <c r="L21" s="225">
        <f t="shared" si="8"/>
        <v>14439267.535405753</v>
      </c>
      <c r="M21" s="202">
        <f>L21*NPV!C15</f>
        <v>6411207.4683966516</v>
      </c>
      <c r="N21" s="103"/>
      <c r="O21" s="311">
        <f t="shared" si="6"/>
        <v>2030</v>
      </c>
      <c r="P21" s="237">
        <f>Costs!G16</f>
        <v>0</v>
      </c>
      <c r="Q21" s="238">
        <f>Costs!H16</f>
        <v>177497</v>
      </c>
      <c r="R21" s="237">
        <f t="shared" si="3"/>
        <v>177497</v>
      </c>
      <c r="S21" s="238">
        <f>R21*NPV!C15</f>
        <v>78810.790729352782</v>
      </c>
      <c r="T21" s="103"/>
      <c r="U21" s="103"/>
      <c r="V21" s="103"/>
      <c r="W21" s="103"/>
      <c r="X21" s="103"/>
      <c r="Y21" s="103"/>
      <c r="Z21" s="103"/>
      <c r="AA21" s="103"/>
      <c r="AB21" s="103"/>
    </row>
    <row r="22" spans="1:28" x14ac:dyDescent="0.2">
      <c r="A22" s="311">
        <f t="shared" si="4"/>
        <v>2031</v>
      </c>
      <c r="B22" s="230">
        <f t="shared" si="0"/>
        <v>-121544.33167989632</v>
      </c>
      <c r="C22" s="231">
        <f t="shared" si="1"/>
        <v>6244843.7685240414</v>
      </c>
      <c r="D22" s="230">
        <f t="shared" si="2"/>
        <v>6366388.1002039379</v>
      </c>
      <c r="E22" s="233">
        <f t="shared" si="7"/>
        <v>-122789399.26413189</v>
      </c>
      <c r="F22" s="103"/>
      <c r="G22" s="311">
        <f t="shared" si="5"/>
        <v>2031</v>
      </c>
      <c r="H22" s="225">
        <f>'Travel Time'!R15</f>
        <v>13775107.352574535</v>
      </c>
      <c r="I22" s="202">
        <f>'Travel Time'!L51</f>
        <v>-1687339.8200411783</v>
      </c>
      <c r="J22" s="225">
        <f>'Environmental Protection'!H12</f>
        <v>-171162</v>
      </c>
      <c r="K22" s="202">
        <f>Safety!D14</f>
        <v>3132500</v>
      </c>
      <c r="L22" s="225">
        <f t="shared" si="8"/>
        <v>15049105.532533357</v>
      </c>
      <c r="M22" s="202">
        <f>L22*NPV!C16</f>
        <v>6244843.7685240414</v>
      </c>
      <c r="N22" s="103"/>
      <c r="O22" s="311">
        <f t="shared" si="6"/>
        <v>2031</v>
      </c>
      <c r="P22" s="237">
        <f>Costs!G17</f>
        <v>0</v>
      </c>
      <c r="Q22" s="238">
        <f>Costs!H17</f>
        <v>-292903</v>
      </c>
      <c r="R22" s="237">
        <f t="shared" si="3"/>
        <v>-292903</v>
      </c>
      <c r="S22" s="238">
        <f>R22*NPV!C16</f>
        <v>-121544.33167989632</v>
      </c>
      <c r="T22" s="103"/>
      <c r="U22" s="103"/>
      <c r="V22" s="103"/>
      <c r="W22" s="103"/>
      <c r="X22" s="103"/>
      <c r="Y22" s="103"/>
      <c r="Z22" s="103"/>
      <c r="AA22" s="103"/>
      <c r="AB22" s="103"/>
    </row>
    <row r="23" spans="1:28" x14ac:dyDescent="0.2">
      <c r="A23" s="311">
        <f t="shared" si="4"/>
        <v>2032</v>
      </c>
      <c r="B23" s="230">
        <f t="shared" si="0"/>
        <v>68836.396828852114</v>
      </c>
      <c r="C23" s="231">
        <f t="shared" si="1"/>
        <v>6194105.3124922514</v>
      </c>
      <c r="D23" s="230">
        <f t="shared" si="2"/>
        <v>6125268.9156633997</v>
      </c>
      <c r="E23" s="233">
        <f t="shared" ref="E23:E33" si="9">D23+E22</f>
        <v>-116664130.34846848</v>
      </c>
      <c r="F23" s="103"/>
      <c r="G23" s="311">
        <f t="shared" si="5"/>
        <v>2032</v>
      </c>
      <c r="H23" s="225">
        <f>'Travel Time'!R16</f>
        <v>14527687.511772919</v>
      </c>
      <c r="I23" s="202">
        <f>'Travel Time'!L52</f>
        <v>-1714092.433568683</v>
      </c>
      <c r="J23" s="225">
        <f>'Environmental Protection'!H13</f>
        <v>-174083</v>
      </c>
      <c r="K23" s="202">
        <f>Safety!D15</f>
        <v>3332200</v>
      </c>
      <c r="L23" s="225">
        <f t="shared" si="8"/>
        <v>15971712.078204237</v>
      </c>
      <c r="M23" s="202">
        <f>L23*NPV!C17</f>
        <v>6194105.3124922514</v>
      </c>
      <c r="N23" s="103"/>
      <c r="O23" s="311">
        <f t="shared" si="6"/>
        <v>2032</v>
      </c>
      <c r="P23" s="237">
        <f>Costs!G18</f>
        <v>0</v>
      </c>
      <c r="Q23" s="238">
        <f>Costs!H18</f>
        <v>177497</v>
      </c>
      <c r="R23" s="237">
        <f t="shared" si="3"/>
        <v>177497</v>
      </c>
      <c r="S23" s="238">
        <f>R23*NPV!C17</f>
        <v>68836.396828852114</v>
      </c>
      <c r="T23" s="103"/>
      <c r="U23" s="103"/>
      <c r="V23" s="103"/>
      <c r="W23" s="103"/>
      <c r="X23" s="103"/>
      <c r="Y23" s="103"/>
      <c r="Z23" s="103"/>
      <c r="AA23" s="103"/>
      <c r="AB23" s="103"/>
    </row>
    <row r="24" spans="1:28" x14ac:dyDescent="0.2">
      <c r="A24" s="311">
        <f t="shared" si="4"/>
        <v>2033</v>
      </c>
      <c r="B24" s="230">
        <f t="shared" si="0"/>
        <v>1762900.1076004142</v>
      </c>
      <c r="C24" s="231">
        <f t="shared" si="1"/>
        <v>6218907.3457999248</v>
      </c>
      <c r="D24" s="230">
        <f t="shared" si="2"/>
        <v>4456007.2381995106</v>
      </c>
      <c r="E24" s="233">
        <f t="shared" si="9"/>
        <v>-112208123.11026897</v>
      </c>
      <c r="F24" s="103"/>
      <c r="G24" s="311">
        <f t="shared" si="5"/>
        <v>2033</v>
      </c>
      <c r="H24" s="225">
        <f>'Travel Time'!R17</f>
        <v>15360535.091588061</v>
      </c>
      <c r="I24" s="202">
        <f>'Travel Time'!L53</f>
        <v>-1742123.5757397832</v>
      </c>
      <c r="J24" s="225">
        <f>'Environmental Protection'!H14</f>
        <v>-176850</v>
      </c>
      <c r="K24" s="202">
        <f>Safety!D16</f>
        <v>3716600</v>
      </c>
      <c r="L24" s="225">
        <f t="shared" si="8"/>
        <v>17158161.515848279</v>
      </c>
      <c r="M24" s="202">
        <f>L24*NPV!C18</f>
        <v>6218907.3457999248</v>
      </c>
      <c r="N24" s="103"/>
      <c r="O24" s="311">
        <f t="shared" si="6"/>
        <v>2033</v>
      </c>
      <c r="P24" s="237">
        <f>Costs!G19</f>
        <v>0</v>
      </c>
      <c r="Q24" s="238">
        <f>Costs!H19</f>
        <v>4863897</v>
      </c>
      <c r="R24" s="237">
        <f t="shared" si="3"/>
        <v>4863897</v>
      </c>
      <c r="S24" s="238">
        <f>R24*NPV!C18</f>
        <v>1762900.1076004142</v>
      </c>
      <c r="T24" s="103"/>
      <c r="U24" s="103"/>
      <c r="V24" s="103"/>
      <c r="W24" s="103"/>
      <c r="X24" s="103"/>
      <c r="Y24" s="103"/>
      <c r="Z24" s="103"/>
      <c r="AA24" s="103"/>
      <c r="AB24" s="103"/>
    </row>
    <row r="25" spans="1:28" x14ac:dyDescent="0.2">
      <c r="A25" s="311">
        <f t="shared" si="4"/>
        <v>2034</v>
      </c>
      <c r="B25" s="230">
        <f t="shared" si="0"/>
        <v>-906664.81535812316</v>
      </c>
      <c r="C25" s="231">
        <f t="shared" si="1"/>
        <v>6162506.3777464507</v>
      </c>
      <c r="D25" s="230">
        <f t="shared" si="2"/>
        <v>7069171.1931045735</v>
      </c>
      <c r="E25" s="233">
        <f t="shared" si="9"/>
        <v>-105138951.91716439</v>
      </c>
      <c r="F25" s="103"/>
      <c r="G25" s="311">
        <f t="shared" si="5"/>
        <v>2034</v>
      </c>
      <c r="H25" s="225">
        <f>'Travel Time'!R18</f>
        <v>16288002.760682277</v>
      </c>
      <c r="I25" s="202">
        <f>'Travel Time'!L54</f>
        <v>-1771131.8319960819</v>
      </c>
      <c r="J25" s="225">
        <f>'Environmental Protection'!H15</f>
        <v>-179743</v>
      </c>
      <c r="K25" s="202">
        <f>Safety!D17</f>
        <v>3855600</v>
      </c>
      <c r="L25" s="225">
        <f t="shared" si="8"/>
        <v>18192727.928686194</v>
      </c>
      <c r="M25" s="202">
        <f>L25*NPV!C19</f>
        <v>6162506.3777464507</v>
      </c>
      <c r="N25" s="103"/>
      <c r="O25" s="311">
        <f t="shared" si="6"/>
        <v>2034</v>
      </c>
      <c r="P25" s="237">
        <f>Costs!G20</f>
        <v>0</v>
      </c>
      <c r="Q25" s="238">
        <f>Costs!H20</f>
        <v>-2676623</v>
      </c>
      <c r="R25" s="237">
        <f t="shared" si="3"/>
        <v>-2676623</v>
      </c>
      <c r="S25" s="238">
        <f>R25*NPV!C19</f>
        <v>-906664.81535812316</v>
      </c>
      <c r="T25" s="103"/>
      <c r="U25" s="103"/>
      <c r="V25" s="103"/>
      <c r="W25" s="103"/>
      <c r="X25" s="103"/>
      <c r="Y25" s="103"/>
      <c r="Z25" s="103"/>
      <c r="AA25" s="103"/>
      <c r="AB25" s="103"/>
    </row>
    <row r="26" spans="1:28" x14ac:dyDescent="0.2">
      <c r="A26" s="311">
        <f t="shared" si="4"/>
        <v>2035</v>
      </c>
      <c r="B26" s="230">
        <f t="shared" si="0"/>
        <v>-2214970.6559956018</v>
      </c>
      <c r="C26" s="231">
        <f t="shared" si="1"/>
        <v>5940810.2436923571</v>
      </c>
      <c r="D26" s="230">
        <f t="shared" si="2"/>
        <v>8155780.8996879589</v>
      </c>
      <c r="E26" s="233">
        <f t="shared" si="9"/>
        <v>-96983171.017476425</v>
      </c>
      <c r="F26" s="103"/>
      <c r="G26" s="311">
        <f t="shared" si="5"/>
        <v>2035</v>
      </c>
      <c r="H26" s="225">
        <f>'Travel Time'!R19</f>
        <v>17328241.202156533</v>
      </c>
      <c r="I26" s="202">
        <f>'Travel Time'!L55</f>
        <v>-1797454.4389245112</v>
      </c>
      <c r="J26" s="225">
        <f>'Environmental Protection'!H16</f>
        <v>-182565</v>
      </c>
      <c r="K26" s="202">
        <f>Safety!D18</f>
        <v>3417700</v>
      </c>
      <c r="L26" s="225">
        <f t="shared" si="8"/>
        <v>18765921.763232023</v>
      </c>
      <c r="M26" s="202">
        <f>L26*NPV!C20</f>
        <v>5940810.2436923571</v>
      </c>
      <c r="N26" s="103"/>
      <c r="O26" s="311">
        <f t="shared" si="6"/>
        <v>2035</v>
      </c>
      <c r="P26" s="237">
        <f>Costs!G21</f>
        <v>0</v>
      </c>
      <c r="Q26" s="238">
        <f>Costs!H21</f>
        <v>-6996683</v>
      </c>
      <c r="R26" s="237">
        <f t="shared" si="3"/>
        <v>-6996683</v>
      </c>
      <c r="S26" s="238">
        <f>R26*NPV!C20</f>
        <v>-2214970.6559956018</v>
      </c>
      <c r="T26" s="103"/>
      <c r="U26" s="103"/>
      <c r="V26" s="103"/>
      <c r="W26" s="103"/>
      <c r="X26" s="103"/>
      <c r="Y26" s="103"/>
      <c r="Z26" s="103"/>
      <c r="AA26" s="103"/>
      <c r="AB26" s="103"/>
    </row>
    <row r="27" spans="1:28" x14ac:dyDescent="0.2">
      <c r="A27" s="311">
        <f t="shared" si="4"/>
        <v>2036</v>
      </c>
      <c r="B27" s="230">
        <f t="shared" si="0"/>
        <v>-1335311.6665693654</v>
      </c>
      <c r="C27" s="231">
        <f t="shared" si="1"/>
        <v>6006415.8070021728</v>
      </c>
      <c r="D27" s="230">
        <f t="shared" si="2"/>
        <v>7341727.473571538</v>
      </c>
      <c r="E27" s="233">
        <f t="shared" si="9"/>
        <v>-89641443.543904886</v>
      </c>
      <c r="F27" s="103"/>
      <c r="G27" s="311">
        <f t="shared" si="5"/>
        <v>2036</v>
      </c>
      <c r="H27" s="225">
        <f>'Travel Time'!R20</f>
        <v>18504535.356585573</v>
      </c>
      <c r="I27" s="202">
        <f>'Travel Time'!L56</f>
        <v>-1824612.7090288466</v>
      </c>
      <c r="J27" s="225">
        <f>'Environmental Protection'!H17</f>
        <v>-185144</v>
      </c>
      <c r="K27" s="202">
        <f>Safety!D19</f>
        <v>3806500</v>
      </c>
      <c r="L27" s="225">
        <f t="shared" si="8"/>
        <v>20301278.647556726</v>
      </c>
      <c r="M27" s="202">
        <f>L27*NPV!C21</f>
        <v>6006415.8070021728</v>
      </c>
      <c r="N27" s="103"/>
      <c r="O27" s="311">
        <f t="shared" si="6"/>
        <v>2036</v>
      </c>
      <c r="P27" s="237">
        <f>Costs!G22</f>
        <v>0</v>
      </c>
      <c r="Q27" s="238">
        <f>Costs!H22</f>
        <v>-4513263</v>
      </c>
      <c r="R27" s="237">
        <f t="shared" si="3"/>
        <v>-4513263</v>
      </c>
      <c r="S27" s="238">
        <f>R27*NPV!C21</f>
        <v>-1335311.6665693654</v>
      </c>
      <c r="T27" s="103"/>
      <c r="U27" s="103"/>
      <c r="V27" s="103"/>
      <c r="W27" s="103"/>
      <c r="X27" s="103"/>
      <c r="Y27" s="103"/>
      <c r="Z27" s="103"/>
      <c r="AA27" s="103"/>
      <c r="AB27" s="103"/>
    </row>
    <row r="28" spans="1:28" x14ac:dyDescent="0.2">
      <c r="A28" s="311">
        <f t="shared" si="4"/>
        <v>2037</v>
      </c>
      <c r="B28" s="230">
        <f t="shared" si="0"/>
        <v>49079.39958442498</v>
      </c>
      <c r="C28" s="231">
        <f t="shared" si="1"/>
        <v>5976237.7626770968</v>
      </c>
      <c r="D28" s="230">
        <f t="shared" si="2"/>
        <v>5927158.3630926721</v>
      </c>
      <c r="E28" s="233">
        <f t="shared" si="9"/>
        <v>-83714285.18081221</v>
      </c>
      <c r="F28" s="103"/>
      <c r="G28" s="311">
        <f t="shared" si="5"/>
        <v>2037</v>
      </c>
      <c r="H28" s="225">
        <f>'Travel Time'!R21</f>
        <v>19847354.091299716</v>
      </c>
      <c r="I28" s="202">
        <f>'Travel Time'!L57</f>
        <v>-1855496.6666691285</v>
      </c>
      <c r="J28" s="225">
        <f>'Environmental Protection'!H18</f>
        <v>-188329</v>
      </c>
      <c r="K28" s="202">
        <f>Safety!D20</f>
        <v>3809700</v>
      </c>
      <c r="L28" s="225">
        <f t="shared" si="8"/>
        <v>21613228.42463059</v>
      </c>
      <c r="M28" s="202">
        <f>L28*NPV!C22</f>
        <v>5976237.7626770968</v>
      </c>
      <c r="N28" s="103"/>
      <c r="O28" s="311">
        <f t="shared" si="6"/>
        <v>2037</v>
      </c>
      <c r="P28" s="237">
        <f>Costs!G23</f>
        <v>0</v>
      </c>
      <c r="Q28" s="238">
        <f>Costs!H23</f>
        <v>177497</v>
      </c>
      <c r="R28" s="237">
        <f t="shared" si="3"/>
        <v>177497</v>
      </c>
      <c r="S28" s="238">
        <f>R28*NPV!C22</f>
        <v>49079.39958442498</v>
      </c>
      <c r="T28" s="103"/>
      <c r="U28" s="103"/>
      <c r="V28" s="103"/>
      <c r="W28" s="103"/>
      <c r="X28" s="103"/>
      <c r="Y28" s="103"/>
      <c r="Z28" s="103"/>
      <c r="AA28" s="103"/>
      <c r="AB28" s="103"/>
    </row>
    <row r="29" spans="1:28" x14ac:dyDescent="0.2">
      <c r="A29" s="311">
        <f t="shared" si="4"/>
        <v>2038</v>
      </c>
      <c r="B29" s="230">
        <f t="shared" si="0"/>
        <v>-197252.00010483441</v>
      </c>
      <c r="C29" s="231">
        <f t="shared" si="1"/>
        <v>6007334.6448394768</v>
      </c>
      <c r="D29" s="230">
        <f t="shared" si="2"/>
        <v>6204586.6449443111</v>
      </c>
      <c r="E29" s="233">
        <f t="shared" si="9"/>
        <v>-77509698.5358679</v>
      </c>
      <c r="F29" s="103"/>
      <c r="G29" s="311">
        <f t="shared" si="5"/>
        <v>2038</v>
      </c>
      <c r="H29" s="225">
        <f>'Travel Time'!R22</f>
        <v>21397443.481882121</v>
      </c>
      <c r="I29" s="202">
        <f>'Travel Time'!L58</f>
        <v>-1886437.9457918648</v>
      </c>
      <c r="J29" s="225">
        <f>'Environmental Protection'!H19</f>
        <v>-191616</v>
      </c>
      <c r="K29" s="202">
        <f>Safety!D21</f>
        <v>3927100</v>
      </c>
      <c r="L29" s="225">
        <f t="shared" si="8"/>
        <v>23246489.536090255</v>
      </c>
      <c r="M29" s="202">
        <f>L29*NPV!C23</f>
        <v>6007334.6448394768</v>
      </c>
      <c r="N29" s="103"/>
      <c r="O29" s="311">
        <f t="shared" si="6"/>
        <v>2038</v>
      </c>
      <c r="P29" s="237">
        <f>Costs!G24</f>
        <v>0</v>
      </c>
      <c r="Q29" s="238">
        <f>Costs!H24</f>
        <v>-763303</v>
      </c>
      <c r="R29" s="237">
        <f t="shared" si="3"/>
        <v>-763303</v>
      </c>
      <c r="S29" s="238">
        <f>R29*NPV!C23</f>
        <v>-197252.00010483441</v>
      </c>
      <c r="T29" s="103"/>
      <c r="U29" s="103"/>
      <c r="V29" s="103"/>
      <c r="W29" s="103"/>
      <c r="X29" s="103"/>
      <c r="Y29" s="103"/>
      <c r="Z29" s="103"/>
      <c r="AA29" s="103"/>
      <c r="AB29" s="103"/>
    </row>
    <row r="30" spans="1:28" x14ac:dyDescent="0.2">
      <c r="A30" s="311">
        <f t="shared" si="4"/>
        <v>2039</v>
      </c>
      <c r="B30" s="230">
        <f t="shared" si="0"/>
        <v>42867.848357432944</v>
      </c>
      <c r="C30" s="231">
        <f t="shared" si="1"/>
        <v>5937835.8868105393</v>
      </c>
      <c r="D30" s="230">
        <f t="shared" si="2"/>
        <v>5894968.0384531068</v>
      </c>
      <c r="E30" s="233">
        <f t="shared" si="9"/>
        <v>-71614730.497414798</v>
      </c>
      <c r="F30" s="103"/>
      <c r="G30" s="311">
        <f t="shared" si="5"/>
        <v>2039</v>
      </c>
      <c r="H30" s="225">
        <f>'Travel Time'!R23</f>
        <v>23210648.077337276</v>
      </c>
      <c r="I30" s="202">
        <f>'Travel Time'!L59</f>
        <v>-1916545.2163148378</v>
      </c>
      <c r="J30" s="225">
        <f>'Environmental Protection'!H20</f>
        <v>-194523</v>
      </c>
      <c r="K30" s="202">
        <f>Safety!D22</f>
        <v>3486400</v>
      </c>
      <c r="L30" s="225">
        <f t="shared" si="8"/>
        <v>24585979.861022439</v>
      </c>
      <c r="M30" s="202">
        <f>L30*NPV!C24</f>
        <v>5937835.8868105393</v>
      </c>
      <c r="N30" s="103"/>
      <c r="O30" s="311">
        <f t="shared" si="6"/>
        <v>2039</v>
      </c>
      <c r="P30" s="237">
        <f>Costs!G25</f>
        <v>0</v>
      </c>
      <c r="Q30" s="238">
        <f>Costs!H25</f>
        <v>177497</v>
      </c>
      <c r="R30" s="237">
        <f t="shared" si="3"/>
        <v>177497</v>
      </c>
      <c r="S30" s="238">
        <f>R30*NPV!C24</f>
        <v>42867.848357432944</v>
      </c>
      <c r="T30" s="103"/>
      <c r="U30" s="103"/>
      <c r="V30" s="103"/>
      <c r="W30" s="103"/>
      <c r="X30" s="103"/>
      <c r="Y30" s="103"/>
      <c r="Z30" s="103"/>
      <c r="AA30" s="103"/>
      <c r="AB30" s="103"/>
    </row>
    <row r="31" spans="1:28" x14ac:dyDescent="0.2">
      <c r="A31" s="311">
        <f t="shared" si="4"/>
        <v>2040</v>
      </c>
      <c r="B31" s="230">
        <f t="shared" si="0"/>
        <v>1097845.5869764762</v>
      </c>
      <c r="C31" s="231">
        <f t="shared" si="1"/>
        <v>6115732.5073247859</v>
      </c>
      <c r="D31" s="230">
        <f t="shared" si="2"/>
        <v>5017886.9203483099</v>
      </c>
      <c r="E31" s="233">
        <f t="shared" si="9"/>
        <v>-66596843.577066489</v>
      </c>
      <c r="F31" s="103"/>
      <c r="G31" s="311">
        <f t="shared" si="5"/>
        <v>2040</v>
      </c>
      <c r="H31" s="225">
        <f>'Travel Time'!R24</f>
        <v>25422094.756935481</v>
      </c>
      <c r="I31" s="202">
        <f>'Travel Time'!L60</f>
        <v>-1946709.8083792718</v>
      </c>
      <c r="J31" s="225">
        <f>'Environmental Protection'!H21</f>
        <v>-197533</v>
      </c>
      <c r="K31" s="202">
        <f>Safety!D23</f>
        <v>3817300</v>
      </c>
      <c r="L31" s="225">
        <f t="shared" si="8"/>
        <v>27095151.948556211</v>
      </c>
      <c r="M31" s="202">
        <f>L31*NPV!C25</f>
        <v>6115732.5073247859</v>
      </c>
      <c r="N31" s="103"/>
      <c r="O31" s="311">
        <f t="shared" si="6"/>
        <v>2040</v>
      </c>
      <c r="P31" s="237">
        <f>Costs!G26</f>
        <v>0</v>
      </c>
      <c r="Q31" s="238">
        <f>Costs!H26</f>
        <v>4863897</v>
      </c>
      <c r="R31" s="237">
        <f t="shared" si="3"/>
        <v>4863897</v>
      </c>
      <c r="S31" s="238">
        <f>R31*NPV!C25</f>
        <v>1097845.5869764762</v>
      </c>
      <c r="T31" s="103"/>
      <c r="U31" s="103"/>
      <c r="V31" s="103"/>
      <c r="W31" s="103"/>
      <c r="X31" s="103"/>
      <c r="Y31" s="103"/>
      <c r="Z31" s="103"/>
      <c r="AA31" s="103"/>
      <c r="AB31" s="103"/>
    </row>
    <row r="32" spans="1:28" x14ac:dyDescent="0.2">
      <c r="A32" s="311">
        <f t="shared" si="4"/>
        <v>2041</v>
      </c>
      <c r="B32" s="230">
        <f t="shared" si="0"/>
        <v>-250035.97366972995</v>
      </c>
      <c r="C32" s="231">
        <f t="shared" si="1"/>
        <v>8027388.2984961644</v>
      </c>
      <c r="D32" s="230">
        <f t="shared" si="2"/>
        <v>8277424.2721658945</v>
      </c>
      <c r="E32" s="233">
        <f t="shared" si="9"/>
        <v>-58319419.304900594</v>
      </c>
      <c r="F32" s="103"/>
      <c r="G32" s="311">
        <f t="shared" si="5"/>
        <v>2041</v>
      </c>
      <c r="H32" s="225">
        <f>'Travel Time'!R25</f>
        <v>26831215.984893583</v>
      </c>
      <c r="I32" s="202">
        <f>'Travel Time'!L61</f>
        <v>-2170115.034156722</v>
      </c>
      <c r="J32" s="225">
        <f>'Environmental Protection'!H22</f>
        <v>-216427</v>
      </c>
      <c r="K32" s="202">
        <f>Safety!D24</f>
        <v>13609400</v>
      </c>
      <c r="L32" s="225">
        <f t="shared" si="8"/>
        <v>38054073.950736865</v>
      </c>
      <c r="M32" s="202">
        <f>L32*NPV!C26</f>
        <v>8027388.2984961644</v>
      </c>
      <c r="N32" s="103"/>
      <c r="O32" s="311">
        <f t="shared" si="6"/>
        <v>2041</v>
      </c>
      <c r="P32" s="237">
        <f>Costs!G27</f>
        <v>0</v>
      </c>
      <c r="Q32" s="238">
        <f>Costs!H27</f>
        <v>-1185303</v>
      </c>
      <c r="R32" s="237">
        <f t="shared" si="3"/>
        <v>-1185303</v>
      </c>
      <c r="S32" s="238">
        <f>R32*NPV!C26</f>
        <v>-250035.97366972995</v>
      </c>
      <c r="T32" s="103"/>
      <c r="U32" s="103"/>
      <c r="V32" s="103"/>
      <c r="W32" s="103"/>
      <c r="X32" s="103"/>
      <c r="Y32" s="103"/>
      <c r="Z32" s="103"/>
      <c r="AA32" s="103"/>
      <c r="AB32" s="103"/>
    </row>
    <row r="33" spans="1:28" x14ac:dyDescent="0.2">
      <c r="A33" s="311">
        <f t="shared" si="4"/>
        <v>2042</v>
      </c>
      <c r="B33" s="230">
        <f t="shared" si="0"/>
        <v>-469189.83225600031</v>
      </c>
      <c r="C33" s="231">
        <f t="shared" si="1"/>
        <v>7810673.8758807285</v>
      </c>
      <c r="D33" s="230">
        <f t="shared" si="2"/>
        <v>8279863.708136729</v>
      </c>
      <c r="E33" s="233">
        <f t="shared" si="9"/>
        <v>-50039555.596763864</v>
      </c>
      <c r="F33" s="103"/>
      <c r="G33" s="311">
        <f t="shared" si="5"/>
        <v>2042</v>
      </c>
      <c r="H33" s="225">
        <f>'Travel Time'!R26</f>
        <v>28413863.112931643</v>
      </c>
      <c r="I33" s="202">
        <f>'Travel Time'!L62</f>
        <v>-2189428.0612398358</v>
      </c>
      <c r="J33" s="225">
        <f>'Environmental Protection'!H23</f>
        <v>-218431</v>
      </c>
      <c r="K33" s="202">
        <f>Safety!D25</f>
        <v>13612600</v>
      </c>
      <c r="L33" s="225">
        <f t="shared" si="8"/>
        <v>39618604.051691808</v>
      </c>
      <c r="M33" s="202">
        <f>L33*NPV!C27</f>
        <v>7810673.8758807285</v>
      </c>
      <c r="N33" s="103"/>
      <c r="O33" s="311">
        <f t="shared" si="6"/>
        <v>2042</v>
      </c>
      <c r="P33" s="237">
        <f>Costs!G28</f>
        <v>0</v>
      </c>
      <c r="Q33" s="238">
        <f>Costs!H28</f>
        <v>-2379903</v>
      </c>
      <c r="R33" s="237">
        <f t="shared" si="3"/>
        <v>-2379903</v>
      </c>
      <c r="S33" s="238">
        <f>R33*NPV!C27</f>
        <v>-469189.83225600031</v>
      </c>
      <c r="T33" s="103"/>
      <c r="U33" s="103"/>
      <c r="V33" s="103"/>
      <c r="W33" s="103"/>
      <c r="X33" s="103"/>
      <c r="Y33" s="103"/>
      <c r="Z33" s="103"/>
      <c r="AA33" s="103"/>
      <c r="AB33" s="103"/>
    </row>
    <row r="34" spans="1:28" x14ac:dyDescent="0.2">
      <c r="A34" s="311">
        <f t="shared" si="4"/>
        <v>2043</v>
      </c>
      <c r="B34" s="230">
        <f t="shared" si="0"/>
        <v>-290616.78045336105</v>
      </c>
      <c r="C34" s="231">
        <f t="shared" si="1"/>
        <v>7625242.7404362475</v>
      </c>
      <c r="D34" s="230">
        <f t="shared" si="2"/>
        <v>7915859.5208896082</v>
      </c>
      <c r="E34" s="233">
        <f t="shared" si="7"/>
        <v>-42123696.075874254</v>
      </c>
      <c r="F34" s="103"/>
      <c r="G34" s="311">
        <f t="shared" si="5"/>
        <v>2043</v>
      </c>
      <c r="H34" s="225">
        <f>'Travel Time'!R27</f>
        <v>30206039.9393076</v>
      </c>
      <c r="I34" s="202">
        <f>'Travel Time'!L63</f>
        <v>-2212273.6010037875</v>
      </c>
      <c r="J34" s="225">
        <f>'Environmental Protection'!H24</f>
        <v>-220875</v>
      </c>
      <c r="K34" s="202">
        <f>Safety!D26</f>
        <v>13612600</v>
      </c>
      <c r="L34" s="225">
        <f t="shared" si="8"/>
        <v>41385491.338303812</v>
      </c>
      <c r="M34" s="202">
        <f>L34*NPV!C28</f>
        <v>7625242.7404362475</v>
      </c>
      <c r="N34" s="103"/>
      <c r="O34" s="311">
        <f t="shared" si="6"/>
        <v>2043</v>
      </c>
      <c r="P34" s="237">
        <f>Costs!G29</f>
        <v>0</v>
      </c>
      <c r="Q34" s="238">
        <f>Costs!H29</f>
        <v>-1577303</v>
      </c>
      <c r="R34" s="237">
        <f t="shared" si="3"/>
        <v>-1577303</v>
      </c>
      <c r="S34" s="238">
        <f>R34*NPV!C28</f>
        <v>-290616.78045336105</v>
      </c>
      <c r="T34" s="103"/>
      <c r="U34" s="103"/>
      <c r="V34" s="103"/>
      <c r="W34" s="103"/>
      <c r="X34" s="103"/>
      <c r="Y34" s="103"/>
      <c r="Z34" s="103"/>
      <c r="AA34" s="103"/>
      <c r="AB34" s="103"/>
    </row>
    <row r="35" spans="1:28" x14ac:dyDescent="0.2">
      <c r="A35" s="311">
        <f t="shared" si="4"/>
        <v>2044</v>
      </c>
      <c r="B35" s="230">
        <f t="shared" si="0"/>
        <v>30564.183423051367</v>
      </c>
      <c r="C35" s="231">
        <f t="shared" si="1"/>
        <v>7375403.2499310412</v>
      </c>
      <c r="D35" s="230">
        <f t="shared" si="2"/>
        <v>7344839.0665079895</v>
      </c>
      <c r="E35" s="233">
        <f t="shared" si="7"/>
        <v>-34778857.009366266</v>
      </c>
      <c r="F35" s="103"/>
      <c r="G35" s="311">
        <f t="shared" si="5"/>
        <v>2044</v>
      </c>
      <c r="H35" s="225">
        <f>'Travel Time'!R28</f>
        <v>32255742.819442071</v>
      </c>
      <c r="I35" s="202">
        <f>'Travel Time'!L64</f>
        <v>-2230122.1834058026</v>
      </c>
      <c r="J35" s="225">
        <f>'Environmental Protection'!H25</f>
        <v>-222551</v>
      </c>
      <c r="K35" s="202">
        <f>Safety!D27</f>
        <v>13028500</v>
      </c>
      <c r="L35" s="225">
        <f t="shared" si="8"/>
        <v>42831569.636036269</v>
      </c>
      <c r="M35" s="202">
        <f>L35*NPV!C29</f>
        <v>7375403.2499310412</v>
      </c>
      <c r="N35" s="103"/>
      <c r="O35" s="311">
        <f t="shared" si="6"/>
        <v>2044</v>
      </c>
      <c r="P35" s="237">
        <f>Costs!G30</f>
        <v>0</v>
      </c>
      <c r="Q35" s="238">
        <f>Costs!H30</f>
        <v>177497</v>
      </c>
      <c r="R35" s="237">
        <f t="shared" si="3"/>
        <v>177497</v>
      </c>
      <c r="S35" s="238">
        <f>R35*NPV!C29</f>
        <v>30564.183423051367</v>
      </c>
      <c r="T35" s="103"/>
      <c r="U35" s="103"/>
      <c r="V35" s="103"/>
      <c r="W35" s="103"/>
      <c r="X35" s="103"/>
      <c r="Y35" s="103"/>
      <c r="Z35" s="103"/>
      <c r="AA35" s="103"/>
      <c r="AB35" s="103"/>
    </row>
    <row r="36" spans="1:28" x14ac:dyDescent="0.2">
      <c r="A36" s="311">
        <f t="shared" si="4"/>
        <v>2045</v>
      </c>
      <c r="B36" s="230">
        <f t="shared" si="0"/>
        <v>-47136.987373392032</v>
      </c>
      <c r="C36" s="231">
        <f t="shared" si="1"/>
        <v>7292791.4694209145</v>
      </c>
      <c r="D36" s="230">
        <f t="shared" si="2"/>
        <v>7339928.4567943066</v>
      </c>
      <c r="E36" s="233">
        <f t="shared" si="7"/>
        <v>-27438928.55257196</v>
      </c>
      <c r="F36" s="103"/>
      <c r="G36" s="311">
        <f t="shared" si="5"/>
        <v>2045</v>
      </c>
      <c r="H36" s="225">
        <f>'Travel Time'!R29</f>
        <v>34627399.671835266</v>
      </c>
      <c r="I36" s="202">
        <f>'Travel Time'!L65</f>
        <v>-2250565.8300182838</v>
      </c>
      <c r="J36" s="225">
        <f>'Environmental Protection'!H26</f>
        <v>-224693</v>
      </c>
      <c r="K36" s="202">
        <f>Safety!D28</f>
        <v>13164300</v>
      </c>
      <c r="L36" s="225">
        <f t="shared" si="8"/>
        <v>45316440.841816984</v>
      </c>
      <c r="M36" s="202">
        <f>L36*NPV!C30</f>
        <v>7292791.4694209145</v>
      </c>
      <c r="N36" s="103"/>
      <c r="O36" s="311">
        <f t="shared" si="6"/>
        <v>2045</v>
      </c>
      <c r="P36" s="237">
        <f>Costs!G31</f>
        <v>0</v>
      </c>
      <c r="Q36" s="238">
        <f>Costs!H31</f>
        <v>-292903</v>
      </c>
      <c r="R36" s="237">
        <f t="shared" si="3"/>
        <v>-292903</v>
      </c>
      <c r="S36" s="238">
        <f>R36*NPV!C30</f>
        <v>-47136.987373392032</v>
      </c>
      <c r="T36" s="103"/>
      <c r="U36" s="103"/>
      <c r="V36" s="103"/>
      <c r="W36" s="103"/>
      <c r="X36" s="103"/>
      <c r="Y36" s="103"/>
      <c r="Z36" s="103"/>
      <c r="AA36" s="103"/>
      <c r="AB36" s="103"/>
    </row>
    <row r="37" spans="1:28" x14ac:dyDescent="0.2">
      <c r="A37" s="311">
        <f t="shared" si="4"/>
        <v>2046</v>
      </c>
      <c r="B37" s="230">
        <f t="shared" si="0"/>
        <v>26695.941499739161</v>
      </c>
      <c r="C37" s="231">
        <f t="shared" si="1"/>
        <v>7310040.8274767753</v>
      </c>
      <c r="D37" s="230">
        <f t="shared" si="2"/>
        <v>7283344.8859770363</v>
      </c>
      <c r="E37" s="233">
        <f t="shared" si="7"/>
        <v>-20155583.666594923</v>
      </c>
      <c r="F37" s="103"/>
      <c r="G37" s="311">
        <f t="shared" si="5"/>
        <v>2046</v>
      </c>
      <c r="H37" s="225">
        <f>'Travel Time'!R30</f>
        <v>37409804.958069503</v>
      </c>
      <c r="I37" s="202">
        <f>'Travel Time'!L66</f>
        <v>-2271504.0637333975</v>
      </c>
      <c r="J37" s="225">
        <f>'Environmental Protection'!H27</f>
        <v>-226721</v>
      </c>
      <c r="K37" s="202">
        <f>Safety!D29</f>
        <v>13691700</v>
      </c>
      <c r="L37" s="225">
        <f t="shared" si="8"/>
        <v>48603279.894336104</v>
      </c>
      <c r="M37" s="202">
        <f>L37*NPV!C31</f>
        <v>7310040.8274767753</v>
      </c>
      <c r="N37" s="103"/>
      <c r="O37" s="311">
        <f t="shared" si="6"/>
        <v>2046</v>
      </c>
      <c r="P37" s="237">
        <f>Costs!G32</f>
        <v>0</v>
      </c>
      <c r="Q37" s="238">
        <f>Costs!H32</f>
        <v>177497</v>
      </c>
      <c r="R37" s="237">
        <f t="shared" si="3"/>
        <v>177497</v>
      </c>
      <c r="S37" s="238">
        <f>R37*NPV!C31</f>
        <v>26695.941499739161</v>
      </c>
      <c r="T37" s="103"/>
      <c r="U37" s="103"/>
      <c r="V37" s="103"/>
      <c r="W37" s="103"/>
      <c r="X37" s="103"/>
      <c r="Y37" s="103"/>
      <c r="Z37" s="103"/>
      <c r="AA37" s="103"/>
      <c r="AB37" s="103"/>
    </row>
    <row r="38" spans="1:28" x14ac:dyDescent="0.2">
      <c r="A38" s="311">
        <f t="shared" si="4"/>
        <v>2047</v>
      </c>
      <c r="B38" s="230">
        <f t="shared" si="0"/>
        <v>790538.90815192147</v>
      </c>
      <c r="C38" s="231">
        <f t="shared" si="1"/>
        <v>7285859.4689246863</v>
      </c>
      <c r="D38" s="230">
        <f t="shared" si="2"/>
        <v>6495320.5607727645</v>
      </c>
      <c r="E38" s="233">
        <f t="shared" si="7"/>
        <v>-13660263.105822157</v>
      </c>
      <c r="F38" s="103"/>
      <c r="G38" s="311">
        <f t="shared" si="5"/>
        <v>2047</v>
      </c>
      <c r="H38" s="225">
        <f>'Travel Time'!R31</f>
        <v>40729005.655615322</v>
      </c>
      <c r="I38" s="202">
        <f>'Travel Time'!L67</f>
        <v>-2291556.5692145331</v>
      </c>
      <c r="J38" s="225">
        <f>'Environmental Protection'!H28</f>
        <v>-228572</v>
      </c>
      <c r="K38" s="202">
        <f>Safety!D30</f>
        <v>13624600</v>
      </c>
      <c r="L38" s="225">
        <f t="shared" si="8"/>
        <v>51833477.086400792</v>
      </c>
      <c r="M38" s="202">
        <f>L38*NPV!C32</f>
        <v>7285859.4689246863</v>
      </c>
      <c r="N38" s="103"/>
      <c r="O38" s="311">
        <f t="shared" si="6"/>
        <v>2047</v>
      </c>
      <c r="P38" s="237">
        <f>Costs!G33</f>
        <v>0</v>
      </c>
      <c r="Q38" s="238">
        <f>Costs!H33</f>
        <v>5624097</v>
      </c>
      <c r="R38" s="237">
        <f t="shared" si="3"/>
        <v>5624097</v>
      </c>
      <c r="S38" s="238">
        <f>R38*NPV!C32</f>
        <v>790538.90815192147</v>
      </c>
      <c r="T38" s="103"/>
      <c r="U38" s="103"/>
      <c r="V38" s="103"/>
      <c r="W38" s="103"/>
      <c r="X38" s="103"/>
      <c r="Y38" s="103"/>
      <c r="Z38" s="103"/>
      <c r="AA38" s="103"/>
      <c r="AB38" s="103"/>
    </row>
    <row r="39" spans="1:28" x14ac:dyDescent="0.2">
      <c r="A39" s="311">
        <f t="shared" si="4"/>
        <v>2048</v>
      </c>
      <c r="B39" s="230">
        <f t="shared" si="0"/>
        <v>-155709.83806468677</v>
      </c>
      <c r="C39" s="231">
        <f t="shared" si="1"/>
        <v>7337468.8505745362</v>
      </c>
      <c r="D39" s="230">
        <f t="shared" si="2"/>
        <v>7493178.6886392226</v>
      </c>
      <c r="E39" s="233">
        <f t="shared" si="7"/>
        <v>-6167084.4171829345</v>
      </c>
      <c r="F39" s="103"/>
      <c r="G39" s="311">
        <f t="shared" si="5"/>
        <v>2048</v>
      </c>
      <c r="H39" s="225">
        <f>'Travel Time'!R32</f>
        <v>44770503.738058224</v>
      </c>
      <c r="I39" s="202">
        <f>'Travel Time'!L68</f>
        <v>-2312841.4798966418</v>
      </c>
      <c r="J39" s="225">
        <f>'Environmental Protection'!H29</f>
        <v>-230778</v>
      </c>
      <c r="K39" s="202">
        <f>Safety!D31</f>
        <v>13627800</v>
      </c>
      <c r="L39" s="225">
        <f t="shared" si="8"/>
        <v>55854684.258161582</v>
      </c>
      <c r="M39" s="202">
        <f>L39*NPV!C33</f>
        <v>7337468.8505745362</v>
      </c>
      <c r="N39" s="103"/>
      <c r="O39" s="311">
        <f t="shared" si="6"/>
        <v>2048</v>
      </c>
      <c r="P39" s="237">
        <f>Costs!G34</f>
        <v>0</v>
      </c>
      <c r="Q39" s="238">
        <f>Costs!H34</f>
        <v>-1185303</v>
      </c>
      <c r="R39" s="237">
        <f t="shared" si="3"/>
        <v>-1185303</v>
      </c>
      <c r="S39" s="238">
        <f>R39*NPV!C33</f>
        <v>-155709.83806468677</v>
      </c>
      <c r="T39" s="103"/>
      <c r="U39" s="103"/>
      <c r="V39" s="103"/>
      <c r="W39" s="103"/>
      <c r="X39" s="103"/>
      <c r="Y39" s="103"/>
      <c r="Z39" s="103"/>
      <c r="AA39" s="103"/>
      <c r="AB39" s="103"/>
    </row>
    <row r="40" spans="1:28" x14ac:dyDescent="0.2">
      <c r="A40" s="311">
        <f t="shared" si="4"/>
        <v>2049</v>
      </c>
      <c r="B40" s="230">
        <f t="shared" si="0"/>
        <v>-292187.84693229874</v>
      </c>
      <c r="C40" s="231">
        <f t="shared" si="1"/>
        <v>7474566.5190617545</v>
      </c>
      <c r="D40" s="230">
        <f t="shared" si="2"/>
        <v>7766754.365994053</v>
      </c>
      <c r="E40" s="233">
        <f t="shared" si="7"/>
        <v>1599669.9488111185</v>
      </c>
      <c r="F40" s="103"/>
      <c r="G40" s="311">
        <f t="shared" si="5"/>
        <v>2049</v>
      </c>
      <c r="H40" s="225">
        <f>'Travel Time'!R33</f>
        <v>49819602.313495323</v>
      </c>
      <c r="I40" s="202">
        <f>'Travel Time'!L69</f>
        <v>-2333394.1697038389</v>
      </c>
      <c r="J40" s="225">
        <f>'Environmental Protection'!H30</f>
        <v>-232820</v>
      </c>
      <c r="K40" s="202">
        <f>Safety!D32</f>
        <v>13627800</v>
      </c>
      <c r="L40" s="225">
        <f t="shared" si="8"/>
        <v>60881188.143791482</v>
      </c>
      <c r="M40" s="202">
        <f>L40*NPV!C34</f>
        <v>7474566.5190617545</v>
      </c>
      <c r="N40" s="103"/>
      <c r="O40" s="311">
        <f t="shared" si="6"/>
        <v>2049</v>
      </c>
      <c r="P40" s="237">
        <f>Costs!G35</f>
        <v>0</v>
      </c>
      <c r="Q40" s="238">
        <f>Costs!H35</f>
        <v>-2379903</v>
      </c>
      <c r="R40" s="237">
        <f t="shared" si="3"/>
        <v>-2379903</v>
      </c>
      <c r="S40" s="238">
        <f>R40*NPV!C34</f>
        <v>-292187.84693229874</v>
      </c>
      <c r="T40" s="103"/>
      <c r="U40" s="103"/>
      <c r="V40" s="103"/>
      <c r="W40" s="103"/>
      <c r="X40" s="103"/>
      <c r="Y40" s="103"/>
      <c r="Z40" s="103"/>
      <c r="AA40" s="103"/>
      <c r="AB40" s="103"/>
    </row>
    <row r="41" spans="1:28" x14ac:dyDescent="0.2">
      <c r="A41" s="311">
        <f t="shared" si="4"/>
        <v>2050</v>
      </c>
      <c r="B41" s="230">
        <f t="shared" si="0"/>
        <v>-180981.52501466149</v>
      </c>
      <c r="C41" s="231">
        <f t="shared" si="1"/>
        <v>7696742.5330421673</v>
      </c>
      <c r="D41" s="230">
        <f t="shared" si="2"/>
        <v>7877724.0580568286</v>
      </c>
      <c r="E41" s="233">
        <f t="shared" si="7"/>
        <v>9477394.0068679471</v>
      </c>
      <c r="F41" s="103"/>
      <c r="G41" s="311">
        <f t="shared" si="5"/>
        <v>2050</v>
      </c>
      <c r="H41" s="225">
        <f>'Travel Time'!R34</f>
        <v>56420340.572851032</v>
      </c>
      <c r="I41" s="202">
        <f>'Travel Time'!L70</f>
        <v>-2353061.1322582485</v>
      </c>
      <c r="J41" s="225">
        <f>'Environmental Protection'!H31</f>
        <v>-234684</v>
      </c>
      <c r="K41" s="202">
        <f>Safety!D33</f>
        <v>13246600</v>
      </c>
      <c r="L41" s="225">
        <f t="shared" si="8"/>
        <v>67079195.440592781</v>
      </c>
      <c r="M41" s="202">
        <f>L41*NPV!C35</f>
        <v>7696742.5330421673</v>
      </c>
      <c r="N41" s="103"/>
      <c r="O41" s="311">
        <f t="shared" si="6"/>
        <v>2050</v>
      </c>
      <c r="P41" s="237">
        <f>Costs!G36</f>
        <v>0</v>
      </c>
      <c r="Q41" s="238">
        <f>Costs!H36</f>
        <v>-1577303</v>
      </c>
      <c r="R41" s="237">
        <f t="shared" si="3"/>
        <v>-1577303</v>
      </c>
      <c r="S41" s="238">
        <f>R41*NPV!C35</f>
        <v>-180981.52501466149</v>
      </c>
      <c r="T41" s="103"/>
      <c r="U41" s="103"/>
      <c r="V41" s="103"/>
      <c r="W41" s="103"/>
      <c r="X41" s="103"/>
      <c r="Y41" s="103"/>
      <c r="Z41" s="103"/>
      <c r="AA41" s="103"/>
      <c r="AB41" s="103"/>
    </row>
    <row r="42" spans="1:28" x14ac:dyDescent="0.2">
      <c r="A42" s="311">
        <f t="shared" si="4"/>
        <v>2051</v>
      </c>
      <c r="B42" s="230">
        <f t="shared" si="0"/>
        <v>19033.837337618537</v>
      </c>
      <c r="C42" s="231">
        <f t="shared" si="1"/>
        <v>8183812.3262934769</v>
      </c>
      <c r="D42" s="230">
        <f t="shared" si="2"/>
        <v>8164778.4889558582</v>
      </c>
      <c r="E42" s="233">
        <f t="shared" ref="E42:E47" si="10">D42+E41</f>
        <v>17642172.495823804</v>
      </c>
      <c r="F42" s="103"/>
      <c r="G42" s="311">
        <f t="shared" si="5"/>
        <v>2051</v>
      </c>
      <c r="H42" s="225">
        <f>'Travel Time'!R35</f>
        <v>65221994.927930541</v>
      </c>
      <c r="I42" s="202">
        <f>'Travel Time'!L71</f>
        <v>-2373960.5004062946</v>
      </c>
      <c r="J42" s="225">
        <f>'Environmental Protection'!H32</f>
        <v>-236904</v>
      </c>
      <c r="K42" s="202">
        <f>Safety!D34</f>
        <v>13705700</v>
      </c>
      <c r="L42" s="225">
        <f t="shared" si="8"/>
        <v>76316830.427524239</v>
      </c>
      <c r="M42" s="202">
        <f>L42*NPV!C36</f>
        <v>8183812.3262934769</v>
      </c>
      <c r="N42" s="103"/>
      <c r="O42" s="311">
        <f t="shared" si="6"/>
        <v>2051</v>
      </c>
      <c r="P42" s="237">
        <f>Costs!G37</f>
        <v>0</v>
      </c>
      <c r="Q42" s="238">
        <f>Costs!H37</f>
        <v>177497</v>
      </c>
      <c r="R42" s="237">
        <f t="shared" si="3"/>
        <v>177497</v>
      </c>
      <c r="S42" s="238">
        <f>R42*NPV!C36</f>
        <v>19033.837337618537</v>
      </c>
      <c r="T42" s="103"/>
      <c r="U42" s="103"/>
      <c r="V42" s="103"/>
      <c r="W42" s="103"/>
      <c r="X42" s="103"/>
      <c r="Y42" s="103"/>
      <c r="Z42" s="103"/>
      <c r="AA42" s="103"/>
      <c r="AB42" s="103"/>
    </row>
    <row r="43" spans="1:28" x14ac:dyDescent="0.2">
      <c r="A43" s="311">
        <f t="shared" si="4"/>
        <v>2052</v>
      </c>
      <c r="B43" s="230">
        <f t="shared" si="0"/>
        <v>-29354.546719997124</v>
      </c>
      <c r="C43" s="231">
        <f t="shared" si="1"/>
        <v>8925900.5856858902</v>
      </c>
      <c r="D43" s="230">
        <f t="shared" si="2"/>
        <v>8955255.1324058864</v>
      </c>
      <c r="E43" s="233">
        <f t="shared" si="10"/>
        <v>26597427.628229693</v>
      </c>
      <c r="F43" s="103"/>
      <c r="G43" s="311">
        <f t="shared" si="5"/>
        <v>2052</v>
      </c>
      <c r="H43" s="225">
        <f>'Travel Time'!R36</f>
        <v>77857987.576394036</v>
      </c>
      <c r="I43" s="202">
        <f>'Travel Time'!L72</f>
        <v>-2396717.1122332662</v>
      </c>
      <c r="J43" s="225">
        <f>'Environmental Protection'!H33</f>
        <v>-239121</v>
      </c>
      <c r="K43" s="202">
        <f>Safety!D35</f>
        <v>13841500</v>
      </c>
      <c r="L43" s="225">
        <f t="shared" si="8"/>
        <v>89063649.46416077</v>
      </c>
      <c r="M43" s="202">
        <f>L43*NPV!C37</f>
        <v>8925900.5856858902</v>
      </c>
      <c r="N43" s="103"/>
      <c r="O43" s="311">
        <f t="shared" si="6"/>
        <v>2052</v>
      </c>
      <c r="P43" s="237">
        <f>Costs!G38</f>
        <v>0</v>
      </c>
      <c r="Q43" s="238">
        <f>Costs!H38</f>
        <v>-292903</v>
      </c>
      <c r="R43" s="237">
        <f t="shared" si="3"/>
        <v>-292903</v>
      </c>
      <c r="S43" s="238">
        <f>R43*NPV!C37</f>
        <v>-29354.546719997124</v>
      </c>
      <c r="T43" s="103"/>
      <c r="U43" s="103"/>
      <c r="V43" s="103"/>
      <c r="W43" s="103"/>
      <c r="X43" s="103"/>
      <c r="Y43" s="103"/>
      <c r="Z43" s="103"/>
      <c r="AA43" s="103"/>
      <c r="AB43" s="103"/>
    </row>
    <row r="44" spans="1:28" x14ac:dyDescent="0.2">
      <c r="A44" s="311">
        <f t="shared" si="4"/>
        <v>2053</v>
      </c>
      <c r="B44" s="230">
        <f t="shared" si="0"/>
        <v>16624.890678328706</v>
      </c>
      <c r="C44" s="231">
        <f t="shared" si="1"/>
        <v>10197976.631451389</v>
      </c>
      <c r="D44" s="230">
        <f t="shared" si="2"/>
        <v>10181351.740773059</v>
      </c>
      <c r="E44" s="233">
        <f t="shared" si="10"/>
        <v>36778779.369002752</v>
      </c>
      <c r="F44" s="103"/>
      <c r="G44" s="311">
        <f t="shared" si="5"/>
        <v>2053</v>
      </c>
      <c r="H44" s="225">
        <f>'Travel Time'!R37</f>
        <v>97748527.016246259</v>
      </c>
      <c r="I44" s="202">
        <f>'Travel Time'!L73</f>
        <v>-2415998.5323514789</v>
      </c>
      <c r="J44" s="225">
        <f>'Environmental Protection'!H34</f>
        <v>-241000</v>
      </c>
      <c r="K44" s="202">
        <f>Safety!D36</f>
        <v>13788000</v>
      </c>
      <c r="L44" s="225">
        <f t="shared" si="8"/>
        <v>108879528.48389478</v>
      </c>
      <c r="M44" s="202">
        <f>L44*NPV!C38</f>
        <v>10197976.631451389</v>
      </c>
      <c r="N44" s="103"/>
      <c r="O44" s="311">
        <f t="shared" si="6"/>
        <v>2053</v>
      </c>
      <c r="P44" s="237">
        <f>Costs!G39</f>
        <v>0</v>
      </c>
      <c r="Q44" s="238">
        <f>Costs!H39</f>
        <v>177497</v>
      </c>
      <c r="R44" s="237">
        <f t="shared" si="3"/>
        <v>177497</v>
      </c>
      <c r="S44" s="238">
        <f>R44*NPV!C38</f>
        <v>16624.890678328706</v>
      </c>
      <c r="T44" s="103"/>
      <c r="U44" s="103"/>
      <c r="V44" s="103"/>
      <c r="W44" s="103"/>
      <c r="X44" s="103"/>
      <c r="Y44" s="103"/>
      <c r="Z44" s="103"/>
      <c r="AA44" s="103"/>
      <c r="AB44" s="103"/>
    </row>
    <row r="45" spans="1:28" x14ac:dyDescent="0.2">
      <c r="A45" s="311">
        <f t="shared" si="4"/>
        <v>2054</v>
      </c>
      <c r="B45" s="230">
        <f t="shared" si="0"/>
        <v>835989.61220074119</v>
      </c>
      <c r="C45" s="231">
        <f t="shared" si="1"/>
        <v>12718754.802531676</v>
      </c>
      <c r="D45" s="230">
        <f t="shared" si="2"/>
        <v>11882765.190330936</v>
      </c>
      <c r="E45" s="233">
        <f t="shared" si="10"/>
        <v>48661544.55933369</v>
      </c>
      <c r="F45" s="103"/>
      <c r="G45" s="311">
        <f t="shared" si="5"/>
        <v>2054</v>
      </c>
      <c r="H45" s="225">
        <f>'Travel Time'!R38</f>
        <v>134208093.20302776</v>
      </c>
      <c r="I45" s="202">
        <f>'Travel Time'!L74</f>
        <v>-2440328.6287092688</v>
      </c>
      <c r="J45" s="225">
        <f>'Environmental Protection'!H35</f>
        <v>-243445</v>
      </c>
      <c r="K45" s="202">
        <f>Safety!D37</f>
        <v>13774000</v>
      </c>
      <c r="L45" s="225">
        <f t="shared" si="8"/>
        <v>145298319.57431847</v>
      </c>
      <c r="M45" s="202">
        <f>L45*NPV!C39</f>
        <v>12718754.802531676</v>
      </c>
      <c r="N45" s="103"/>
      <c r="O45" s="311">
        <f t="shared" si="6"/>
        <v>2054</v>
      </c>
      <c r="P45" s="237">
        <f>Costs!G40</f>
        <v>0</v>
      </c>
      <c r="Q45" s="238">
        <f>Costs!H40</f>
        <v>9550297</v>
      </c>
      <c r="R45" s="237">
        <f t="shared" si="3"/>
        <v>9550297</v>
      </c>
      <c r="S45" s="238">
        <f>R45*NPV!C39</f>
        <v>835989.61220074119</v>
      </c>
      <c r="T45" s="103"/>
      <c r="U45" s="103"/>
      <c r="V45" s="103"/>
      <c r="W45" s="103"/>
      <c r="X45" s="103"/>
      <c r="Y45" s="103"/>
      <c r="Z45" s="103"/>
      <c r="AA45" s="103"/>
      <c r="AB45" s="103"/>
    </row>
    <row r="46" spans="1:28" x14ac:dyDescent="0.2">
      <c r="A46" s="311">
        <f t="shared" si="4"/>
        <v>2055</v>
      </c>
      <c r="B46" s="230">
        <f t="shared" si="0"/>
        <v>-96968.261463675153</v>
      </c>
      <c r="C46" s="231">
        <f t="shared" si="1"/>
        <v>19301849.904226668</v>
      </c>
      <c r="D46" s="230">
        <f t="shared" si="2"/>
        <v>19398818.165690344</v>
      </c>
      <c r="E46" s="233">
        <f t="shared" si="10"/>
        <v>68060362.72502403</v>
      </c>
      <c r="F46" s="103"/>
      <c r="G46" s="311">
        <f t="shared" si="5"/>
        <v>2055</v>
      </c>
      <c r="H46" s="225">
        <f>'Travel Time'!R39</f>
        <v>224857320.26841643</v>
      </c>
      <c r="I46" s="202">
        <f>'Travel Time'!L75</f>
        <v>-2461323.6100419867</v>
      </c>
      <c r="J46" s="225">
        <f>'Environmental Protection'!H36</f>
        <v>-245554</v>
      </c>
      <c r="K46" s="202">
        <f>Safety!D38</f>
        <v>13788000</v>
      </c>
      <c r="L46" s="225">
        <f t="shared" si="8"/>
        <v>235938442.65837446</v>
      </c>
      <c r="M46" s="202">
        <f>L46*NPV!C40</f>
        <v>19301849.904226668</v>
      </c>
      <c r="N46" s="103"/>
      <c r="O46" s="311">
        <f t="shared" si="6"/>
        <v>2055</v>
      </c>
      <c r="P46" s="237">
        <f>Costs!G41</f>
        <v>0</v>
      </c>
      <c r="Q46" s="238">
        <f>Costs!H41</f>
        <v>-1185303</v>
      </c>
      <c r="R46" s="237">
        <f t="shared" si="3"/>
        <v>-1185303</v>
      </c>
      <c r="S46" s="238">
        <f>R46*NPV!C40</f>
        <v>-96968.261463675153</v>
      </c>
      <c r="T46" s="103"/>
      <c r="U46" s="103"/>
      <c r="V46" s="103"/>
      <c r="W46" s="103"/>
      <c r="X46" s="103"/>
      <c r="Y46" s="103"/>
      <c r="Z46" s="103"/>
      <c r="AA46" s="103"/>
      <c r="AB46" s="103"/>
    </row>
    <row r="47" spans="1:28" ht="13.5" thickBot="1" x14ac:dyDescent="0.25">
      <c r="A47" s="312">
        <f t="shared" si="4"/>
        <v>2056</v>
      </c>
      <c r="B47" s="340">
        <f t="shared" si="0"/>
        <v>-7607449.977015866</v>
      </c>
      <c r="C47" s="341">
        <f t="shared" si="1"/>
        <v>68567623.061580226</v>
      </c>
      <c r="D47" s="340">
        <f t="shared" si="2"/>
        <v>76175073.038596094</v>
      </c>
      <c r="E47" s="341">
        <f t="shared" si="10"/>
        <v>144235435.76362014</v>
      </c>
      <c r="F47" s="103"/>
      <c r="G47" s="312">
        <f t="shared" si="5"/>
        <v>2056</v>
      </c>
      <c r="H47" s="226">
        <f>'Travel Time'!R40</f>
        <v>885636254.52014828</v>
      </c>
      <c r="I47" s="207">
        <f>'Travel Time'!L76</f>
        <v>-2485417.445497687</v>
      </c>
      <c r="J47" s="226">
        <f>'Environmental Protection'!H37</f>
        <v>-248085</v>
      </c>
      <c r="K47" s="207">
        <f>Safety!D39</f>
        <v>13911800</v>
      </c>
      <c r="L47" s="226">
        <f t="shared" si="8"/>
        <v>896814552.07465065</v>
      </c>
      <c r="M47" s="207">
        <f>L47*NPV!C41</f>
        <v>68567623.061580226</v>
      </c>
      <c r="N47" s="103"/>
      <c r="O47" s="312">
        <f t="shared" si="6"/>
        <v>2056</v>
      </c>
      <c r="P47" s="338">
        <f>Costs!G42</f>
        <v>-97120000</v>
      </c>
      <c r="Q47" s="339">
        <f>Costs!H42</f>
        <v>-2379903</v>
      </c>
      <c r="R47" s="338">
        <f t="shared" si="3"/>
        <v>-99499903</v>
      </c>
      <c r="S47" s="339">
        <f>R47*NPV!C41</f>
        <v>-7607449.977015866</v>
      </c>
      <c r="T47" s="103"/>
      <c r="U47" s="103"/>
      <c r="V47" s="103"/>
      <c r="W47" s="103"/>
      <c r="X47" s="103"/>
      <c r="Y47" s="103"/>
      <c r="Z47" s="103"/>
      <c r="AA47" s="103"/>
      <c r="AB47" s="103"/>
    </row>
    <row r="48" spans="1:28" ht="13.5" thickTop="1" x14ac:dyDescent="0.2">
      <c r="A48" s="337" t="s">
        <v>0</v>
      </c>
      <c r="B48" s="234">
        <f>SUM(B12:B47)</f>
        <v>156602862.90444642</v>
      </c>
      <c r="C48" s="235">
        <f>SUM(C12:C47)</f>
        <v>300838298.6680665</v>
      </c>
      <c r="D48" s="234">
        <f>SUM(D12:D47)</f>
        <v>144235435.76362014</v>
      </c>
      <c r="E48" s="235"/>
      <c r="F48" s="103"/>
      <c r="G48" s="337" t="s">
        <v>0</v>
      </c>
      <c r="H48" s="227">
        <f t="shared" ref="H48:M48" si="11">SUM(H12:H47)</f>
        <v>2101397400.0210531</v>
      </c>
      <c r="I48" s="228">
        <f t="shared" si="11"/>
        <v>-61819891.142699659</v>
      </c>
      <c r="J48" s="227">
        <f t="shared" si="11"/>
        <v>-6210865</v>
      </c>
      <c r="K48" s="228">
        <f t="shared" si="11"/>
        <v>286174200</v>
      </c>
      <c r="L48" s="227">
        <f t="shared" si="11"/>
        <v>2319540843.8783536</v>
      </c>
      <c r="M48" s="228">
        <f t="shared" si="11"/>
        <v>300838298.6680665</v>
      </c>
      <c r="N48" s="103"/>
      <c r="O48" s="122"/>
      <c r="P48" s="180"/>
      <c r="Q48" s="236" t="s">
        <v>31</v>
      </c>
      <c r="R48" s="239">
        <f>SUM(R12:R47)</f>
        <v>137379929.99999997</v>
      </c>
      <c r="S48" s="240">
        <f>SUM(S12:S47)</f>
        <v>156602862.90444642</v>
      </c>
      <c r="T48" s="103"/>
      <c r="U48" s="103"/>
      <c r="V48" s="103"/>
      <c r="W48" s="103"/>
      <c r="X48" s="103"/>
      <c r="Y48" s="103"/>
      <c r="Z48" s="103"/>
      <c r="AA48" s="103"/>
      <c r="AB48" s="103"/>
    </row>
    <row r="49" spans="1:28" x14ac:dyDescent="0.2">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row>
    <row r="50" spans="1:28" x14ac:dyDescent="0.2">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row>
    <row r="51" spans="1:28" x14ac:dyDescent="0.2">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row>
    <row r="52" spans="1:28" x14ac:dyDescent="0.2">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row>
    <row r="53" spans="1:28" x14ac:dyDescent="0.2">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row>
    <row r="54" spans="1:28" x14ac:dyDescent="0.2">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row>
    <row r="55" spans="1:28" x14ac:dyDescent="0.2">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row>
    <row r="56" spans="1:28" x14ac:dyDescent="0.2">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row>
    <row r="57" spans="1:28" x14ac:dyDescent="0.2">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row>
    <row r="58" spans="1:28" x14ac:dyDescent="0.2">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row>
    <row r="59" spans="1:28" x14ac:dyDescent="0.2">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row>
    <row r="60" spans="1:28" x14ac:dyDescent="0.2">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row>
    <row r="61" spans="1:28" x14ac:dyDescent="0.2">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row>
    <row r="62" spans="1:28" x14ac:dyDescent="0.2">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row>
    <row r="63" spans="1:28" x14ac:dyDescent="0.2">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row>
    <row r="64" spans="1:28" x14ac:dyDescent="0.2">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row>
    <row r="65" spans="1:28" x14ac:dyDescent="0.2">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row>
    <row r="66" spans="1:28" x14ac:dyDescent="0.2">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row>
    <row r="67" spans="1:28" x14ac:dyDescent="0.2">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row>
    <row r="68" spans="1:28" x14ac:dyDescent="0.2">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row>
    <row r="69" spans="1:28" x14ac:dyDescent="0.2">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row>
    <row r="70" spans="1:28" x14ac:dyDescent="0.2">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row>
    <row r="71" spans="1:28" x14ac:dyDescent="0.2">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row>
    <row r="72" spans="1:28" x14ac:dyDescent="0.2">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row>
    <row r="73" spans="1:28" x14ac:dyDescent="0.2">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row>
    <row r="74" spans="1:28" x14ac:dyDescent="0.2">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row>
    <row r="75" spans="1:28" x14ac:dyDescent="0.2">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row>
    <row r="76" spans="1:28" x14ac:dyDescent="0.2">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row>
    <row r="77" spans="1:28" x14ac:dyDescent="0.2">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row>
    <row r="78" spans="1:28" x14ac:dyDescent="0.2">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row>
    <row r="79" spans="1:28" x14ac:dyDescent="0.2">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row>
    <row r="80" spans="1:28" x14ac:dyDescent="0.2">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row>
    <row r="81" spans="1:28" x14ac:dyDescent="0.2">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row>
    <row r="82" spans="1:28" x14ac:dyDescent="0.2">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row>
    <row r="83" spans="1:28" x14ac:dyDescent="0.2">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row>
    <row r="84" spans="1:28" x14ac:dyDescent="0.2">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row>
    <row r="85" spans="1:28" x14ac:dyDescent="0.2">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row>
    <row r="86" spans="1:28" x14ac:dyDescent="0.2">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row>
    <row r="87" spans="1:28" x14ac:dyDescent="0.2">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row>
    <row r="88" spans="1:28" x14ac:dyDescent="0.2">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row>
    <row r="89" spans="1:28" x14ac:dyDescent="0.2">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row>
    <row r="90" spans="1:28" x14ac:dyDescent="0.2">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row>
    <row r="91" spans="1:28" x14ac:dyDescent="0.2">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row>
    <row r="92" spans="1:28" x14ac:dyDescent="0.2">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row>
    <row r="93" spans="1:28" x14ac:dyDescent="0.2">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row>
    <row r="94" spans="1:28" x14ac:dyDescent="0.2">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row>
    <row r="95" spans="1:28" x14ac:dyDescent="0.2">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row>
    <row r="96" spans="1:28" x14ac:dyDescent="0.2">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row>
    <row r="97" spans="1:28" x14ac:dyDescent="0.2">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row>
    <row r="98" spans="1:28" x14ac:dyDescent="0.2">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row>
    <row r="99" spans="1:28" x14ac:dyDescent="0.2">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row>
    <row r="100" spans="1:28" x14ac:dyDescent="0.2">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row>
    <row r="101" spans="1:28" x14ac:dyDescent="0.2">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row>
  </sheetData>
  <mergeCells count="12">
    <mergeCell ref="A3:C3"/>
    <mergeCell ref="A4:B4"/>
    <mergeCell ref="A5:B5"/>
    <mergeCell ref="A7:B7"/>
    <mergeCell ref="A6:B6"/>
    <mergeCell ref="M10:M11"/>
    <mergeCell ref="O9:S10"/>
    <mergeCell ref="A9:E10"/>
    <mergeCell ref="G9:M9"/>
    <mergeCell ref="L10:L11"/>
    <mergeCell ref="G10:G11"/>
    <mergeCell ref="H10:I10"/>
  </mergeCells>
  <pageMargins left="0.25" right="0.25" top="0.75" bottom="0.75" header="0.3" footer="0.3"/>
  <pageSetup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A50"/>
  <sheetViews>
    <sheetView topLeftCell="A10" zoomScale="85" zoomScaleNormal="85" workbookViewId="0"/>
  </sheetViews>
  <sheetFormatPr defaultRowHeight="12.75" x14ac:dyDescent="0.2"/>
  <cols>
    <col min="5" max="5" width="10.7109375" customWidth="1"/>
    <col min="6" max="6" width="14.5703125" customWidth="1"/>
  </cols>
  <sheetData>
    <row r="1" spans="1:27" x14ac:dyDescent="0.2">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row>
    <row r="2" spans="1:27" ht="13.5" thickBot="1" x14ac:dyDescent="0.25">
      <c r="A2" s="386" t="s">
        <v>6</v>
      </c>
      <c r="B2" s="387"/>
      <c r="C2" s="388"/>
      <c r="D2" s="103"/>
      <c r="E2" s="391" t="s">
        <v>226</v>
      </c>
      <c r="F2" s="392"/>
      <c r="G2" s="103"/>
      <c r="H2" s="103"/>
      <c r="I2" s="103"/>
      <c r="J2" s="103"/>
      <c r="K2" s="103"/>
      <c r="L2" s="103"/>
      <c r="M2" s="103"/>
      <c r="N2" s="103"/>
      <c r="O2" s="103"/>
      <c r="P2" s="103"/>
      <c r="Q2" s="103"/>
      <c r="R2" s="103"/>
      <c r="S2" s="103"/>
      <c r="T2" s="103"/>
      <c r="U2" s="103"/>
      <c r="V2" s="103"/>
      <c r="W2" s="103"/>
      <c r="X2" s="103"/>
      <c r="Y2" s="103"/>
      <c r="Z2" s="103"/>
      <c r="AA2" s="103"/>
    </row>
    <row r="3" spans="1:27" ht="14.25" thickTop="1" thickBot="1" x14ac:dyDescent="0.25">
      <c r="A3" s="311">
        <v>0</v>
      </c>
      <c r="B3" s="311">
        <v>2018</v>
      </c>
      <c r="C3" s="88">
        <f t="shared" ref="C3:C25" si="0">1/(1+$C$44)^A3</f>
        <v>1</v>
      </c>
      <c r="D3" s="103"/>
      <c r="E3" s="116" t="s">
        <v>227</v>
      </c>
      <c r="F3" s="117" t="s">
        <v>228</v>
      </c>
      <c r="G3" s="103"/>
      <c r="H3" s="103"/>
      <c r="I3" s="103"/>
      <c r="J3" s="103"/>
      <c r="K3" s="103"/>
      <c r="L3" s="103"/>
      <c r="M3" s="103"/>
      <c r="N3" s="103"/>
      <c r="O3" s="103"/>
      <c r="P3" s="103"/>
      <c r="Q3" s="103"/>
      <c r="R3" s="103"/>
      <c r="S3" s="103"/>
      <c r="T3" s="103"/>
      <c r="U3" s="103"/>
      <c r="V3" s="103"/>
      <c r="W3" s="103"/>
      <c r="X3" s="103"/>
      <c r="Y3" s="103"/>
      <c r="Z3" s="103"/>
      <c r="AA3" s="103"/>
    </row>
    <row r="4" spans="1:27" ht="13.5" thickTop="1" x14ac:dyDescent="0.2">
      <c r="A4" s="311">
        <f>A3+1</f>
        <v>1</v>
      </c>
      <c r="B4" s="311">
        <f>B3+1</f>
        <v>2019</v>
      </c>
      <c r="C4" s="60">
        <f t="shared" si="0"/>
        <v>0.93457943925233644</v>
      </c>
      <c r="D4" s="103"/>
      <c r="E4" s="311">
        <v>2001</v>
      </c>
      <c r="F4" s="118">
        <v>1.3838999999999999</v>
      </c>
      <c r="G4" s="103"/>
      <c r="H4" s="103"/>
      <c r="I4" s="103"/>
      <c r="J4" s="103"/>
      <c r="K4" s="103"/>
      <c r="L4" s="103"/>
      <c r="M4" s="103"/>
      <c r="N4" s="103"/>
      <c r="O4" s="103"/>
      <c r="P4" s="103"/>
      <c r="Q4" s="103"/>
      <c r="R4" s="103"/>
      <c r="S4" s="103"/>
      <c r="T4" s="103"/>
      <c r="U4" s="103"/>
      <c r="V4" s="103"/>
      <c r="W4" s="103"/>
      <c r="X4" s="103"/>
      <c r="Y4" s="103"/>
      <c r="Z4" s="103"/>
      <c r="AA4" s="103"/>
    </row>
    <row r="5" spans="1:27" x14ac:dyDescent="0.2">
      <c r="A5" s="311">
        <f t="shared" ref="A5:A43" si="1">A4+1</f>
        <v>2</v>
      </c>
      <c r="B5" s="311">
        <f t="shared" ref="B5:B43" si="2">B4+1</f>
        <v>2020</v>
      </c>
      <c r="C5" s="60">
        <f t="shared" si="0"/>
        <v>0.87343872827321156</v>
      </c>
      <c r="D5" s="103"/>
      <c r="E5" s="311">
        <f t="shared" ref="E5:E21" si="3">E4+1</f>
        <v>2002</v>
      </c>
      <c r="F5" s="118">
        <v>1.3623000000000001</v>
      </c>
      <c r="G5" s="103"/>
      <c r="H5" s="103"/>
      <c r="I5" s="103"/>
      <c r="J5" s="103"/>
      <c r="K5" s="103"/>
      <c r="L5" s="103"/>
      <c r="M5" s="103"/>
      <c r="N5" s="103"/>
      <c r="O5" s="103"/>
      <c r="P5" s="103"/>
      <c r="Q5" s="103"/>
      <c r="R5" s="103"/>
      <c r="S5" s="103"/>
      <c r="T5" s="103"/>
      <c r="U5" s="103"/>
      <c r="V5" s="103"/>
      <c r="W5" s="103"/>
      <c r="X5" s="103"/>
      <c r="Y5" s="103"/>
      <c r="Z5" s="103"/>
      <c r="AA5" s="103"/>
    </row>
    <row r="6" spans="1:27" x14ac:dyDescent="0.2">
      <c r="A6" s="311">
        <f t="shared" si="1"/>
        <v>3</v>
      </c>
      <c r="B6" s="311">
        <f t="shared" si="2"/>
        <v>2021</v>
      </c>
      <c r="C6" s="60">
        <f t="shared" si="0"/>
        <v>0.81629787689085187</v>
      </c>
      <c r="D6" s="103"/>
      <c r="E6" s="311">
        <f t="shared" si="3"/>
        <v>2003</v>
      </c>
      <c r="F6" s="118">
        <v>1.3374999999999999</v>
      </c>
      <c r="G6" s="103"/>
      <c r="H6" s="103"/>
      <c r="I6" s="103"/>
      <c r="J6" s="103"/>
      <c r="K6" s="103"/>
      <c r="L6" s="103"/>
      <c r="M6" s="103"/>
      <c r="N6" s="103"/>
      <c r="O6" s="103"/>
      <c r="P6" s="103"/>
      <c r="Q6" s="103"/>
      <c r="R6" s="103"/>
      <c r="S6" s="103"/>
      <c r="T6" s="103"/>
      <c r="U6" s="103"/>
      <c r="V6" s="103"/>
      <c r="W6" s="103"/>
      <c r="X6" s="103"/>
      <c r="Y6" s="103"/>
      <c r="Z6" s="103"/>
      <c r="AA6" s="103"/>
    </row>
    <row r="7" spans="1:27" x14ac:dyDescent="0.2">
      <c r="A7" s="311">
        <f t="shared" si="1"/>
        <v>4</v>
      </c>
      <c r="B7" s="311">
        <f t="shared" si="2"/>
        <v>2022</v>
      </c>
      <c r="C7" s="60">
        <f t="shared" si="0"/>
        <v>0.7628952120475252</v>
      </c>
      <c r="D7" s="103"/>
      <c r="E7" s="311">
        <f t="shared" si="3"/>
        <v>2004</v>
      </c>
      <c r="F7" s="118">
        <v>1.3024</v>
      </c>
      <c r="G7" s="103"/>
      <c r="H7" s="103"/>
      <c r="I7" s="103"/>
      <c r="J7" s="103"/>
      <c r="K7" s="103"/>
      <c r="L7" s="103"/>
      <c r="M7" s="103"/>
      <c r="N7" s="103"/>
      <c r="O7" s="103"/>
      <c r="P7" s="103"/>
      <c r="Q7" s="103"/>
      <c r="R7" s="103"/>
      <c r="S7" s="103"/>
      <c r="T7" s="103"/>
      <c r="U7" s="103"/>
      <c r="V7" s="103"/>
      <c r="W7" s="103"/>
      <c r="X7" s="103"/>
      <c r="Y7" s="103"/>
      <c r="Z7" s="103"/>
      <c r="AA7" s="103"/>
    </row>
    <row r="8" spans="1:27" x14ac:dyDescent="0.2">
      <c r="A8" s="311">
        <f t="shared" si="1"/>
        <v>5</v>
      </c>
      <c r="B8" s="311">
        <f t="shared" si="2"/>
        <v>2023</v>
      </c>
      <c r="C8" s="60">
        <f t="shared" si="0"/>
        <v>0.71298617948366838</v>
      </c>
      <c r="D8" s="103"/>
      <c r="E8" s="311">
        <f t="shared" si="3"/>
        <v>2005</v>
      </c>
      <c r="F8" s="118">
        <v>1.2630999999999999</v>
      </c>
      <c r="G8" s="103"/>
      <c r="H8" s="103"/>
      <c r="I8" s="103"/>
      <c r="J8" s="103"/>
      <c r="K8" s="103"/>
      <c r="L8" s="103"/>
      <c r="M8" s="103"/>
      <c r="N8" s="103"/>
      <c r="O8" s="103"/>
      <c r="P8" s="103"/>
      <c r="Q8" s="103"/>
      <c r="R8" s="103"/>
      <c r="S8" s="103"/>
      <c r="T8" s="103"/>
      <c r="U8" s="103"/>
      <c r="V8" s="103"/>
      <c r="W8" s="103"/>
      <c r="X8" s="103"/>
      <c r="Y8" s="103"/>
      <c r="Z8" s="103"/>
      <c r="AA8" s="103"/>
    </row>
    <row r="9" spans="1:27" x14ac:dyDescent="0.2">
      <c r="A9" s="311">
        <f t="shared" si="1"/>
        <v>6</v>
      </c>
      <c r="B9" s="311">
        <f t="shared" si="2"/>
        <v>2024</v>
      </c>
      <c r="C9" s="60">
        <f t="shared" si="0"/>
        <v>0.66634222381651254</v>
      </c>
      <c r="D9" s="103"/>
      <c r="E9" s="311">
        <f t="shared" si="3"/>
        <v>2006</v>
      </c>
      <c r="F9" s="119">
        <v>1.226</v>
      </c>
      <c r="G9" s="103"/>
      <c r="H9" s="103"/>
      <c r="I9" s="103"/>
      <c r="J9" s="103"/>
      <c r="K9" s="103"/>
      <c r="L9" s="103"/>
      <c r="M9" s="103"/>
      <c r="N9" s="103"/>
      <c r="O9" s="103"/>
      <c r="P9" s="103"/>
      <c r="Q9" s="103"/>
      <c r="R9" s="103"/>
      <c r="S9" s="103"/>
      <c r="T9" s="103"/>
      <c r="U9" s="103"/>
      <c r="V9" s="103"/>
      <c r="W9" s="103"/>
      <c r="X9" s="103"/>
      <c r="Y9" s="103"/>
      <c r="Z9" s="103"/>
      <c r="AA9" s="103"/>
    </row>
    <row r="10" spans="1:27" x14ac:dyDescent="0.2">
      <c r="A10" s="311">
        <f t="shared" si="1"/>
        <v>7</v>
      </c>
      <c r="B10" s="311">
        <f t="shared" si="2"/>
        <v>2025</v>
      </c>
      <c r="C10" s="60">
        <f t="shared" si="0"/>
        <v>0.62274974188459109</v>
      </c>
      <c r="D10" s="103"/>
      <c r="E10" s="311">
        <f t="shared" si="3"/>
        <v>2007</v>
      </c>
      <c r="F10" s="118">
        <v>1.1939</v>
      </c>
      <c r="G10" s="103"/>
      <c r="H10" s="103"/>
      <c r="I10" s="103"/>
      <c r="J10" s="103"/>
      <c r="K10" s="103"/>
      <c r="L10" s="103"/>
      <c r="M10" s="103"/>
      <c r="N10" s="103"/>
      <c r="O10" s="103"/>
      <c r="P10" s="103"/>
      <c r="Q10" s="103"/>
      <c r="R10" s="103"/>
      <c r="S10" s="103"/>
      <c r="T10" s="103"/>
      <c r="U10" s="103"/>
      <c r="V10" s="103"/>
      <c r="W10" s="103"/>
      <c r="X10" s="103"/>
      <c r="Y10" s="103"/>
      <c r="Z10" s="103"/>
      <c r="AA10" s="103"/>
    </row>
    <row r="11" spans="1:27" x14ac:dyDescent="0.2">
      <c r="A11" s="311">
        <f t="shared" si="1"/>
        <v>8</v>
      </c>
      <c r="B11" s="311">
        <f t="shared" si="2"/>
        <v>2026</v>
      </c>
      <c r="C11" s="60">
        <f t="shared" si="0"/>
        <v>0.5820091045650384</v>
      </c>
      <c r="D11" s="103"/>
      <c r="E11" s="311">
        <f t="shared" si="3"/>
        <v>2008</v>
      </c>
      <c r="F11" s="118">
        <v>1.1711</v>
      </c>
      <c r="G11" s="103"/>
      <c r="H11" s="103"/>
      <c r="I11" s="103"/>
      <c r="J11" s="103"/>
      <c r="K11" s="103"/>
      <c r="L11" s="103"/>
      <c r="M11" s="103"/>
      <c r="N11" s="103"/>
      <c r="O11" s="103"/>
      <c r="P11" s="103"/>
      <c r="Q11" s="103"/>
      <c r="R11" s="103"/>
      <c r="S11" s="103"/>
      <c r="T11" s="103"/>
      <c r="U11" s="103"/>
      <c r="V11" s="103"/>
      <c r="W11" s="103"/>
      <c r="X11" s="103"/>
      <c r="Y11" s="103"/>
      <c r="Z11" s="103"/>
      <c r="AA11" s="103"/>
    </row>
    <row r="12" spans="1:27" x14ac:dyDescent="0.2">
      <c r="A12" s="311">
        <f t="shared" si="1"/>
        <v>9</v>
      </c>
      <c r="B12" s="311">
        <f t="shared" si="2"/>
        <v>2027</v>
      </c>
      <c r="C12" s="60">
        <f t="shared" si="0"/>
        <v>0.54393374258414806</v>
      </c>
      <c r="D12" s="103"/>
      <c r="E12" s="311">
        <f t="shared" si="3"/>
        <v>2009</v>
      </c>
      <c r="F12" s="118">
        <v>1.1623000000000001</v>
      </c>
      <c r="G12" s="103"/>
      <c r="H12" s="103"/>
      <c r="I12" s="103"/>
      <c r="J12" s="103"/>
      <c r="K12" s="103"/>
      <c r="L12" s="103"/>
      <c r="M12" s="103"/>
      <c r="N12" s="103"/>
      <c r="O12" s="103"/>
      <c r="P12" s="103"/>
      <c r="Q12" s="103"/>
      <c r="R12" s="103"/>
      <c r="S12" s="103"/>
      <c r="T12" s="103"/>
      <c r="U12" s="103"/>
      <c r="V12" s="103"/>
      <c r="W12" s="103"/>
      <c r="X12" s="103"/>
      <c r="Y12" s="103"/>
      <c r="Z12" s="103"/>
      <c r="AA12" s="103"/>
    </row>
    <row r="13" spans="1:27" x14ac:dyDescent="0.2">
      <c r="A13" s="311">
        <f t="shared" si="1"/>
        <v>10</v>
      </c>
      <c r="B13" s="311">
        <f t="shared" si="2"/>
        <v>2028</v>
      </c>
      <c r="C13" s="60">
        <f t="shared" si="0"/>
        <v>0.5083492921347178</v>
      </c>
      <c r="D13" s="103"/>
      <c r="E13" s="311">
        <f t="shared" si="3"/>
        <v>2010</v>
      </c>
      <c r="F13" s="118">
        <v>1.1489</v>
      </c>
      <c r="G13" s="103"/>
      <c r="H13" s="103"/>
      <c r="I13" s="103"/>
      <c r="J13" s="103"/>
      <c r="K13" s="103"/>
      <c r="L13" s="103"/>
      <c r="M13" s="103"/>
      <c r="N13" s="103"/>
      <c r="O13" s="103"/>
      <c r="P13" s="103"/>
      <c r="Q13" s="103"/>
      <c r="R13" s="103"/>
      <c r="S13" s="103"/>
      <c r="T13" s="103"/>
      <c r="U13" s="103"/>
      <c r="V13" s="103"/>
      <c r="W13" s="103"/>
      <c r="X13" s="103"/>
      <c r="Y13" s="103"/>
      <c r="Z13" s="103"/>
      <c r="AA13" s="103"/>
    </row>
    <row r="14" spans="1:27" x14ac:dyDescent="0.2">
      <c r="A14" s="311">
        <f t="shared" si="1"/>
        <v>11</v>
      </c>
      <c r="B14" s="311">
        <f t="shared" si="2"/>
        <v>2029</v>
      </c>
      <c r="C14" s="60">
        <f t="shared" si="0"/>
        <v>0.47509279638758667</v>
      </c>
      <c r="D14" s="103"/>
      <c r="E14" s="311">
        <f t="shared" si="3"/>
        <v>2011</v>
      </c>
      <c r="F14" s="118">
        <v>1.1254</v>
      </c>
      <c r="G14" s="103"/>
      <c r="H14" s="103"/>
      <c r="I14" s="103"/>
      <c r="J14" s="103"/>
      <c r="K14" s="103"/>
      <c r="L14" s="103"/>
      <c r="M14" s="103"/>
      <c r="N14" s="103"/>
      <c r="O14" s="103"/>
      <c r="P14" s="103"/>
      <c r="Q14" s="103"/>
      <c r="R14" s="103"/>
      <c r="S14" s="103"/>
      <c r="T14" s="103"/>
      <c r="U14" s="103"/>
      <c r="V14" s="103"/>
      <c r="W14" s="103"/>
      <c r="X14" s="103"/>
      <c r="Y14" s="103"/>
      <c r="Z14" s="103"/>
      <c r="AA14" s="103"/>
    </row>
    <row r="15" spans="1:27" x14ac:dyDescent="0.2">
      <c r="A15" s="311">
        <f t="shared" si="1"/>
        <v>12</v>
      </c>
      <c r="B15" s="311">
        <f t="shared" si="2"/>
        <v>2030</v>
      </c>
      <c r="C15" s="60">
        <f t="shared" si="0"/>
        <v>0.44401195924073528</v>
      </c>
      <c r="D15" s="103"/>
      <c r="E15" s="311">
        <f t="shared" si="3"/>
        <v>2012</v>
      </c>
      <c r="F15" s="118">
        <v>1.1042000000000001</v>
      </c>
      <c r="G15" s="103"/>
      <c r="H15" s="103"/>
      <c r="I15" s="103"/>
      <c r="J15" s="103"/>
      <c r="K15" s="103"/>
      <c r="L15" s="103"/>
      <c r="M15" s="103"/>
      <c r="N15" s="103"/>
      <c r="O15" s="103"/>
      <c r="P15" s="103"/>
      <c r="Q15" s="103"/>
      <c r="R15" s="103"/>
      <c r="S15" s="103"/>
      <c r="T15" s="103"/>
      <c r="U15" s="103"/>
      <c r="V15" s="103"/>
      <c r="W15" s="103"/>
      <c r="X15" s="103"/>
      <c r="Y15" s="103"/>
      <c r="Z15" s="103"/>
      <c r="AA15" s="103"/>
    </row>
    <row r="16" spans="1:27" x14ac:dyDescent="0.2">
      <c r="A16" s="311">
        <f t="shared" si="1"/>
        <v>13</v>
      </c>
      <c r="B16" s="311">
        <f t="shared" si="2"/>
        <v>2031</v>
      </c>
      <c r="C16" s="60">
        <f t="shared" si="0"/>
        <v>0.41496444788853759</v>
      </c>
      <c r="D16" s="103"/>
      <c r="E16" s="311">
        <f t="shared" si="3"/>
        <v>2013</v>
      </c>
      <c r="F16" s="118">
        <v>1.0851999999999999</v>
      </c>
      <c r="G16" s="103"/>
      <c r="H16" s="103"/>
      <c r="I16" s="103"/>
      <c r="J16" s="103"/>
      <c r="K16" s="103"/>
      <c r="L16" s="103"/>
      <c r="M16" s="103"/>
      <c r="N16" s="103"/>
      <c r="O16" s="103"/>
      <c r="P16" s="103"/>
      <c r="Q16" s="103"/>
      <c r="R16" s="103"/>
      <c r="S16" s="103"/>
      <c r="T16" s="103"/>
      <c r="U16" s="103"/>
      <c r="V16" s="103"/>
      <c r="W16" s="103"/>
      <c r="X16" s="103"/>
      <c r="Y16" s="103"/>
      <c r="Z16" s="103"/>
      <c r="AA16" s="103"/>
    </row>
    <row r="17" spans="1:27" x14ac:dyDescent="0.2">
      <c r="A17" s="311">
        <f t="shared" si="1"/>
        <v>14</v>
      </c>
      <c r="B17" s="311">
        <f t="shared" si="2"/>
        <v>2032</v>
      </c>
      <c r="C17" s="60">
        <f t="shared" si="0"/>
        <v>0.3878172410173249</v>
      </c>
      <c r="D17" s="103"/>
      <c r="E17" s="311">
        <f t="shared" si="3"/>
        <v>2014</v>
      </c>
      <c r="F17" s="118">
        <v>1.0653999999999999</v>
      </c>
      <c r="G17" s="103"/>
      <c r="H17" s="103"/>
      <c r="I17" s="103"/>
      <c r="J17" s="103"/>
      <c r="K17" s="103"/>
      <c r="L17" s="103"/>
      <c r="M17" s="103"/>
      <c r="N17" s="103"/>
      <c r="O17" s="103"/>
      <c r="P17" s="103"/>
      <c r="Q17" s="103"/>
      <c r="R17" s="103"/>
      <c r="S17" s="103"/>
      <c r="T17" s="103"/>
      <c r="U17" s="103"/>
      <c r="V17" s="103"/>
      <c r="W17" s="103"/>
      <c r="X17" s="103"/>
      <c r="Y17" s="103"/>
      <c r="Z17" s="103"/>
      <c r="AA17" s="103"/>
    </row>
    <row r="18" spans="1:27" x14ac:dyDescent="0.2">
      <c r="A18" s="311">
        <f t="shared" si="1"/>
        <v>15</v>
      </c>
      <c r="B18" s="311">
        <f t="shared" si="2"/>
        <v>2033</v>
      </c>
      <c r="C18" s="60">
        <f t="shared" si="0"/>
        <v>0.36244601964235967</v>
      </c>
      <c r="D18" s="103"/>
      <c r="E18" s="311">
        <f t="shared" si="3"/>
        <v>2015</v>
      </c>
      <c r="F18" s="118">
        <v>1.0545</v>
      </c>
      <c r="G18" s="103"/>
      <c r="H18" s="103"/>
      <c r="I18" s="103"/>
      <c r="J18" s="103"/>
      <c r="K18" s="103"/>
      <c r="L18" s="103"/>
      <c r="M18" s="103"/>
      <c r="N18" s="103"/>
      <c r="O18" s="103"/>
      <c r="P18" s="103"/>
      <c r="Q18" s="103"/>
      <c r="R18" s="103"/>
      <c r="S18" s="103"/>
      <c r="T18" s="103"/>
      <c r="U18" s="103"/>
      <c r="V18" s="103"/>
      <c r="W18" s="103"/>
      <c r="X18" s="103"/>
      <c r="Y18" s="103"/>
      <c r="Z18" s="103"/>
      <c r="AA18" s="103"/>
    </row>
    <row r="19" spans="1:27" x14ac:dyDescent="0.2">
      <c r="A19" s="311">
        <f t="shared" si="1"/>
        <v>16</v>
      </c>
      <c r="B19" s="311">
        <f t="shared" si="2"/>
        <v>2034</v>
      </c>
      <c r="C19" s="60">
        <f t="shared" si="0"/>
        <v>0.33873459779659787</v>
      </c>
      <c r="D19" s="103"/>
      <c r="E19" s="311">
        <f t="shared" si="3"/>
        <v>2016</v>
      </c>
      <c r="F19" s="118">
        <v>1.0437000000000001</v>
      </c>
      <c r="G19" s="103"/>
      <c r="H19" s="103"/>
      <c r="I19" s="103"/>
      <c r="J19" s="103"/>
      <c r="K19" s="103"/>
      <c r="L19" s="103"/>
      <c r="M19" s="103"/>
      <c r="N19" s="103"/>
      <c r="O19" s="103"/>
      <c r="P19" s="103"/>
      <c r="Q19" s="103"/>
      <c r="R19" s="103"/>
      <c r="S19" s="103"/>
      <c r="T19" s="103"/>
      <c r="U19" s="103"/>
      <c r="V19" s="103"/>
      <c r="W19" s="103"/>
      <c r="X19" s="103"/>
      <c r="Y19" s="103"/>
      <c r="Z19" s="103"/>
      <c r="AA19" s="103"/>
    </row>
    <row r="20" spans="1:27" x14ac:dyDescent="0.2">
      <c r="A20" s="311">
        <f t="shared" si="1"/>
        <v>17</v>
      </c>
      <c r="B20" s="311">
        <f t="shared" si="2"/>
        <v>2035</v>
      </c>
      <c r="C20" s="60">
        <f t="shared" si="0"/>
        <v>0.31657439046411018</v>
      </c>
      <c r="D20" s="103"/>
      <c r="E20" s="311">
        <f t="shared" si="3"/>
        <v>2017</v>
      </c>
      <c r="F20" s="118">
        <v>1.0244</v>
      </c>
      <c r="G20" s="103"/>
      <c r="H20" s="103"/>
      <c r="I20" s="103"/>
      <c r="J20" s="103"/>
      <c r="K20" s="103"/>
      <c r="L20" s="103"/>
      <c r="M20" s="103"/>
      <c r="N20" s="103"/>
      <c r="O20" s="103"/>
      <c r="P20" s="103"/>
      <c r="Q20" s="103"/>
      <c r="R20" s="103"/>
      <c r="S20" s="103"/>
      <c r="T20" s="103"/>
      <c r="U20" s="103"/>
      <c r="V20" s="103"/>
      <c r="W20" s="103"/>
      <c r="X20" s="103"/>
      <c r="Y20" s="103"/>
      <c r="Z20" s="103"/>
      <c r="AA20" s="103"/>
    </row>
    <row r="21" spans="1:27" x14ac:dyDescent="0.2">
      <c r="A21" s="311">
        <f t="shared" si="1"/>
        <v>18</v>
      </c>
      <c r="B21" s="311">
        <f t="shared" si="2"/>
        <v>2036</v>
      </c>
      <c r="C21" s="60">
        <f t="shared" si="0"/>
        <v>0.29586391632159825</v>
      </c>
      <c r="D21" s="103"/>
      <c r="E21" s="311">
        <f t="shared" si="3"/>
        <v>2018</v>
      </c>
      <c r="F21" s="119">
        <v>1</v>
      </c>
      <c r="G21" s="103"/>
      <c r="H21" s="103"/>
      <c r="I21" s="103"/>
      <c r="J21" s="103"/>
      <c r="K21" s="103"/>
      <c r="L21" s="103"/>
      <c r="M21" s="103"/>
      <c r="N21" s="103"/>
      <c r="O21" s="103"/>
      <c r="P21" s="103"/>
      <c r="Q21" s="103"/>
      <c r="R21" s="103"/>
      <c r="S21" s="103"/>
      <c r="T21" s="103"/>
      <c r="U21" s="103"/>
      <c r="V21" s="103"/>
      <c r="W21" s="103"/>
      <c r="X21" s="103"/>
      <c r="Y21" s="103"/>
      <c r="Z21" s="103"/>
      <c r="AA21" s="103"/>
    </row>
    <row r="22" spans="1:27" x14ac:dyDescent="0.2">
      <c r="A22" s="311">
        <f t="shared" si="1"/>
        <v>19</v>
      </c>
      <c r="B22" s="311">
        <f t="shared" si="2"/>
        <v>2037</v>
      </c>
      <c r="C22" s="60">
        <f t="shared" si="0"/>
        <v>0.27650833301083949</v>
      </c>
      <c r="D22" s="103"/>
      <c r="E22" s="393" t="s">
        <v>229</v>
      </c>
      <c r="F22" s="394"/>
      <c r="G22" s="103"/>
      <c r="H22" s="103"/>
      <c r="I22" s="103"/>
      <c r="J22" s="103"/>
      <c r="K22" s="103"/>
      <c r="L22" s="103"/>
      <c r="M22" s="103"/>
      <c r="N22" s="103"/>
      <c r="O22" s="103"/>
      <c r="P22" s="103"/>
      <c r="Q22" s="103"/>
      <c r="R22" s="103"/>
      <c r="S22" s="103"/>
      <c r="T22" s="103"/>
      <c r="U22" s="103"/>
      <c r="V22" s="103"/>
      <c r="W22" s="103"/>
      <c r="X22" s="103"/>
      <c r="Y22" s="103"/>
      <c r="Z22" s="103"/>
      <c r="AA22" s="103"/>
    </row>
    <row r="23" spans="1:27" x14ac:dyDescent="0.2">
      <c r="A23" s="311">
        <f t="shared" si="1"/>
        <v>20</v>
      </c>
      <c r="B23" s="311">
        <f t="shared" si="2"/>
        <v>2038</v>
      </c>
      <c r="C23" s="60">
        <f t="shared" si="0"/>
        <v>0.2584190028138687</v>
      </c>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row>
    <row r="24" spans="1:27" x14ac:dyDescent="0.2">
      <c r="A24" s="311">
        <f t="shared" si="1"/>
        <v>21</v>
      </c>
      <c r="B24" s="311">
        <f t="shared" si="2"/>
        <v>2039</v>
      </c>
      <c r="C24" s="60">
        <f t="shared" si="0"/>
        <v>0.24151308674193336</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row>
    <row r="25" spans="1:27" x14ac:dyDescent="0.2">
      <c r="A25" s="311">
        <f t="shared" si="1"/>
        <v>22</v>
      </c>
      <c r="B25" s="311">
        <f t="shared" si="2"/>
        <v>2040</v>
      </c>
      <c r="C25" s="60">
        <f t="shared" si="0"/>
        <v>0.22571316517937698</v>
      </c>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row>
    <row r="26" spans="1:27" x14ac:dyDescent="0.2">
      <c r="A26" s="311">
        <f t="shared" si="1"/>
        <v>23</v>
      </c>
      <c r="B26" s="311">
        <f t="shared" si="2"/>
        <v>2041</v>
      </c>
      <c r="C26" s="60">
        <f t="shared" ref="C26:C36" si="4">1/(1+$C$44)^A26</f>
        <v>0.21094688334521211</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row>
    <row r="27" spans="1:27" x14ac:dyDescent="0.2">
      <c r="A27" s="311">
        <f t="shared" si="1"/>
        <v>24</v>
      </c>
      <c r="B27" s="311">
        <f t="shared" si="2"/>
        <v>2042</v>
      </c>
      <c r="C27" s="60">
        <f t="shared" si="4"/>
        <v>0.19714661994879637</v>
      </c>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row>
    <row r="28" spans="1:27" x14ac:dyDescent="0.2">
      <c r="A28" s="311">
        <f t="shared" si="1"/>
        <v>25</v>
      </c>
      <c r="B28" s="311">
        <f t="shared" si="2"/>
        <v>2043</v>
      </c>
      <c r="C28" s="60">
        <f t="shared" si="4"/>
        <v>0.18424917752223957</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row>
    <row r="29" spans="1:27" x14ac:dyDescent="0.2">
      <c r="A29" s="311">
        <f t="shared" si="1"/>
        <v>26</v>
      </c>
      <c r="B29" s="311">
        <f t="shared" si="2"/>
        <v>2044</v>
      </c>
      <c r="C29" s="60">
        <f t="shared" si="4"/>
        <v>0.17219549301143888</v>
      </c>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row>
    <row r="30" spans="1:27" x14ac:dyDescent="0.2">
      <c r="A30" s="311">
        <f t="shared" si="1"/>
        <v>27</v>
      </c>
      <c r="B30" s="311">
        <f t="shared" si="2"/>
        <v>2045</v>
      </c>
      <c r="C30" s="60">
        <f t="shared" si="4"/>
        <v>0.16093036730041013</v>
      </c>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row>
    <row r="31" spans="1:27" x14ac:dyDescent="0.2">
      <c r="A31" s="311">
        <f t="shared" si="1"/>
        <v>28</v>
      </c>
      <c r="B31" s="311">
        <f t="shared" si="2"/>
        <v>2046</v>
      </c>
      <c r="C31" s="60">
        <f t="shared" si="4"/>
        <v>0.15040221243028987</v>
      </c>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row>
    <row r="32" spans="1:27" x14ac:dyDescent="0.2">
      <c r="A32" s="311">
        <f t="shared" si="1"/>
        <v>29</v>
      </c>
      <c r="B32" s="311">
        <f t="shared" si="2"/>
        <v>2047</v>
      </c>
      <c r="C32" s="60">
        <f t="shared" si="4"/>
        <v>0.1405628153554111</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row>
    <row r="33" spans="1:27" x14ac:dyDescent="0.2">
      <c r="A33" s="311">
        <f t="shared" si="1"/>
        <v>30</v>
      </c>
      <c r="B33" s="311">
        <f t="shared" si="2"/>
        <v>2048</v>
      </c>
      <c r="C33" s="60">
        <f t="shared" si="4"/>
        <v>0.13136711715458982</v>
      </c>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row>
    <row r="34" spans="1:27" x14ac:dyDescent="0.2">
      <c r="A34" s="311">
        <f t="shared" si="1"/>
        <v>31</v>
      </c>
      <c r="B34" s="311">
        <f t="shared" si="2"/>
        <v>2049</v>
      </c>
      <c r="C34" s="60">
        <f t="shared" si="4"/>
        <v>0.1227730066865325</v>
      </c>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row>
    <row r="35" spans="1:27" x14ac:dyDescent="0.2">
      <c r="A35" s="311">
        <f t="shared" si="1"/>
        <v>32</v>
      </c>
      <c r="B35" s="311">
        <f t="shared" si="2"/>
        <v>2050</v>
      </c>
      <c r="C35" s="60">
        <f t="shared" si="4"/>
        <v>0.11474112774442291</v>
      </c>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row>
    <row r="36" spans="1:27" x14ac:dyDescent="0.2">
      <c r="A36" s="311">
        <f t="shared" si="1"/>
        <v>33</v>
      </c>
      <c r="B36" s="311">
        <f t="shared" si="2"/>
        <v>2051</v>
      </c>
      <c r="C36" s="60">
        <f t="shared" si="4"/>
        <v>0.10723469882656347</v>
      </c>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row>
    <row r="37" spans="1:27" x14ac:dyDescent="0.2">
      <c r="A37" s="311">
        <f t="shared" si="1"/>
        <v>34</v>
      </c>
      <c r="B37" s="311">
        <f t="shared" si="2"/>
        <v>2052</v>
      </c>
      <c r="C37" s="60">
        <f t="shared" ref="C37:C43" si="5">1/(1+$C$44)^A37</f>
        <v>0.10021934469772288</v>
      </c>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row>
    <row r="38" spans="1:27" x14ac:dyDescent="0.2">
      <c r="A38" s="311">
        <f t="shared" si="1"/>
        <v>35</v>
      </c>
      <c r="B38" s="311">
        <f t="shared" si="2"/>
        <v>2053</v>
      </c>
      <c r="C38" s="60">
        <f t="shared" si="5"/>
        <v>9.366293896983445E-2</v>
      </c>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row>
    <row r="39" spans="1:27" x14ac:dyDescent="0.2">
      <c r="A39" s="311">
        <f t="shared" si="1"/>
        <v>36</v>
      </c>
      <c r="B39" s="311">
        <f t="shared" si="2"/>
        <v>2054</v>
      </c>
      <c r="C39" s="60">
        <f t="shared" si="5"/>
        <v>8.7535456981153698E-2</v>
      </c>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row>
    <row r="40" spans="1:27" x14ac:dyDescent="0.2">
      <c r="A40" s="311">
        <f t="shared" si="1"/>
        <v>37</v>
      </c>
      <c r="B40" s="311">
        <f t="shared" si="2"/>
        <v>2055</v>
      </c>
      <c r="C40" s="60">
        <f t="shared" si="5"/>
        <v>8.1808838300143641E-2</v>
      </c>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row>
    <row r="41" spans="1:27" x14ac:dyDescent="0.2">
      <c r="A41" s="311">
        <f t="shared" si="1"/>
        <v>38</v>
      </c>
      <c r="B41" s="311">
        <f t="shared" si="2"/>
        <v>2056</v>
      </c>
      <c r="C41" s="60">
        <f t="shared" si="5"/>
        <v>7.6456858224433308E-2</v>
      </c>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row>
    <row r="42" spans="1:27" x14ac:dyDescent="0.2">
      <c r="A42" s="311">
        <f t="shared" si="1"/>
        <v>39</v>
      </c>
      <c r="B42" s="311">
        <f t="shared" si="2"/>
        <v>2057</v>
      </c>
      <c r="C42" s="60">
        <f t="shared" si="5"/>
        <v>7.1455007686386268E-2</v>
      </c>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row>
    <row r="43" spans="1:27" x14ac:dyDescent="0.2">
      <c r="A43" s="311">
        <f t="shared" si="1"/>
        <v>40</v>
      </c>
      <c r="B43" s="311">
        <f t="shared" si="2"/>
        <v>2058</v>
      </c>
      <c r="C43" s="60">
        <f t="shared" si="5"/>
        <v>6.6780381015314264E-2</v>
      </c>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row>
    <row r="44" spans="1:27" ht="13.15" customHeight="1" x14ac:dyDescent="0.2">
      <c r="A44" s="389" t="s">
        <v>7</v>
      </c>
      <c r="B44" s="390"/>
      <c r="C44" s="61">
        <f>0.07</f>
        <v>7.0000000000000007E-2</v>
      </c>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row>
    <row r="45" spans="1:27" x14ac:dyDescent="0.2">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row>
    <row r="46" spans="1:27" x14ac:dyDescent="0.2">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row>
    <row r="47" spans="1:27" x14ac:dyDescent="0.2">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row>
    <row r="48" spans="1:27" x14ac:dyDescent="0.2">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row>
    <row r="49" spans="1:27" x14ac:dyDescent="0.2">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row>
    <row r="50" spans="1:27" x14ac:dyDescent="0.2">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row>
  </sheetData>
  <mergeCells count="4">
    <mergeCell ref="A2:C2"/>
    <mergeCell ref="A44:B44"/>
    <mergeCell ref="E2:F2"/>
    <mergeCell ref="E22:F22"/>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Z77"/>
  <sheetViews>
    <sheetView zoomScale="85" zoomScaleNormal="85" workbookViewId="0">
      <selection activeCell="H43" sqref="H43"/>
    </sheetView>
  </sheetViews>
  <sheetFormatPr defaultRowHeight="12.75" x14ac:dyDescent="0.2"/>
  <cols>
    <col min="1" max="1" width="16.28515625" customWidth="1"/>
    <col min="2" max="2" width="5.7109375" customWidth="1"/>
    <col min="3" max="3" width="11.28515625" customWidth="1"/>
    <col min="4" max="4" width="1.28515625" customWidth="1"/>
    <col min="5" max="5" width="7.5703125" customWidth="1"/>
    <col min="6" max="6" width="12.7109375" customWidth="1"/>
    <col min="7" max="7" width="11.7109375" customWidth="1"/>
    <col min="8" max="8" width="11.140625" customWidth="1"/>
    <col min="9" max="9" width="11" bestFit="1" customWidth="1"/>
  </cols>
  <sheetData>
    <row r="1" spans="1:26" ht="16.5" x14ac:dyDescent="0.3">
      <c r="A1" s="181" t="s">
        <v>238</v>
      </c>
      <c r="B1" s="103"/>
      <c r="C1" s="103"/>
      <c r="D1" s="103"/>
      <c r="E1" s="103"/>
      <c r="F1" s="103"/>
      <c r="G1" s="103"/>
      <c r="H1" s="103"/>
      <c r="I1" s="103"/>
      <c r="J1" s="103"/>
      <c r="K1" s="103"/>
      <c r="L1" s="103"/>
      <c r="M1" s="103"/>
      <c r="N1" s="103"/>
      <c r="O1" s="103"/>
      <c r="P1" s="103"/>
      <c r="Q1" s="103"/>
      <c r="R1" s="103"/>
      <c r="S1" s="103"/>
      <c r="T1" s="103"/>
      <c r="U1" s="103"/>
      <c r="V1" s="103"/>
      <c r="W1" s="103"/>
      <c r="X1" s="103"/>
      <c r="Y1" s="103"/>
      <c r="Z1" s="103"/>
    </row>
    <row r="2" spans="1:26" x14ac:dyDescent="0.2">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row>
    <row r="3" spans="1:26" x14ac:dyDescent="0.2">
      <c r="A3" s="395" t="s">
        <v>115</v>
      </c>
      <c r="B3" s="395"/>
      <c r="C3" s="57">
        <v>242800000</v>
      </c>
      <c r="D3" s="103"/>
      <c r="E3" s="380" t="s">
        <v>239</v>
      </c>
      <c r="F3" s="381"/>
      <c r="G3" s="381"/>
      <c r="H3" s="381"/>
      <c r="I3" s="396"/>
      <c r="J3" s="103"/>
      <c r="K3" s="103"/>
      <c r="L3" s="103"/>
      <c r="M3" s="103"/>
      <c r="N3" s="103"/>
      <c r="O3" s="103"/>
      <c r="P3" s="103"/>
      <c r="Q3" s="103"/>
      <c r="R3" s="103"/>
      <c r="S3" s="103"/>
      <c r="T3" s="103"/>
      <c r="U3" s="103"/>
      <c r="V3" s="103"/>
      <c r="W3" s="103"/>
      <c r="X3" s="103"/>
      <c r="Y3" s="103"/>
      <c r="Z3" s="103"/>
    </row>
    <row r="4" spans="1:26" ht="26.25" thickBot="1" x14ac:dyDescent="0.25">
      <c r="A4" s="395" t="s">
        <v>237</v>
      </c>
      <c r="B4" s="395"/>
      <c r="C4" s="56">
        <f>((C5-30)/C5)*C3</f>
        <v>97120000</v>
      </c>
      <c r="D4" s="103"/>
      <c r="E4" s="16" t="s">
        <v>1</v>
      </c>
      <c r="F4" s="17" t="s">
        <v>58</v>
      </c>
      <c r="G4" s="17" t="s">
        <v>57</v>
      </c>
      <c r="H4" s="17" t="s">
        <v>78</v>
      </c>
      <c r="I4" s="17" t="s">
        <v>83</v>
      </c>
      <c r="J4" s="103"/>
      <c r="K4" s="103"/>
      <c r="L4" s="103"/>
      <c r="M4" s="103"/>
      <c r="N4" s="103"/>
      <c r="O4" s="103"/>
      <c r="P4" s="103"/>
      <c r="Q4" s="103"/>
      <c r="R4" s="103"/>
      <c r="S4" s="103"/>
      <c r="T4" s="103"/>
      <c r="U4" s="103"/>
      <c r="V4" s="103"/>
      <c r="W4" s="103"/>
      <c r="X4" s="103"/>
      <c r="Y4" s="103"/>
      <c r="Z4" s="103"/>
    </row>
    <row r="5" spans="1:26" ht="13.5" thickTop="1" x14ac:dyDescent="0.2">
      <c r="A5" s="395" t="s">
        <v>80</v>
      </c>
      <c r="B5" s="395"/>
      <c r="C5" s="58">
        <v>50</v>
      </c>
      <c r="D5" s="103"/>
      <c r="E5" s="311">
        <v>2019</v>
      </c>
      <c r="F5" s="54"/>
      <c r="G5" s="192">
        <f>F5*$C$3</f>
        <v>0</v>
      </c>
      <c r="H5" s="193">
        <f>Maintenance!F5</f>
        <v>0</v>
      </c>
      <c r="I5" s="194">
        <f>ROUND((G5+H5)*NPV!C4,0)</f>
        <v>0</v>
      </c>
      <c r="J5" s="103"/>
      <c r="K5" s="103"/>
      <c r="L5" s="103"/>
      <c r="M5" s="103"/>
      <c r="N5" s="103"/>
      <c r="O5" s="103"/>
      <c r="P5" s="103"/>
      <c r="Q5" s="103"/>
      <c r="R5" s="103"/>
      <c r="S5" s="103"/>
      <c r="T5" s="103"/>
      <c r="U5" s="103"/>
      <c r="V5" s="103"/>
      <c r="W5" s="103"/>
      <c r="X5" s="103"/>
      <c r="Y5" s="103"/>
      <c r="Z5" s="103"/>
    </row>
    <row r="6" spans="1:26" x14ac:dyDescent="0.2">
      <c r="A6" s="126"/>
      <c r="B6" s="103"/>
      <c r="C6" s="103"/>
      <c r="D6" s="103"/>
      <c r="E6" s="311">
        <f>E5+1</f>
        <v>2020</v>
      </c>
      <c r="F6" s="54"/>
      <c r="G6" s="192">
        <f t="shared" ref="G6:G36" si="0">F6*$C$3</f>
        <v>0</v>
      </c>
      <c r="H6" s="193">
        <f>Maintenance!F6</f>
        <v>0</v>
      </c>
      <c r="I6" s="194">
        <f>ROUND((G6+H6)*NPV!C5,0)</f>
        <v>0</v>
      </c>
      <c r="J6" s="103"/>
      <c r="K6" s="103"/>
      <c r="L6" s="103"/>
      <c r="M6" s="103"/>
      <c r="N6" s="103"/>
      <c r="O6" s="103"/>
      <c r="P6" s="103"/>
      <c r="Q6" s="103"/>
      <c r="R6" s="103"/>
      <c r="S6" s="103"/>
      <c r="T6" s="103"/>
      <c r="U6" s="103"/>
      <c r="V6" s="103"/>
      <c r="W6" s="103"/>
      <c r="X6" s="103"/>
      <c r="Y6" s="103"/>
      <c r="Z6" s="103"/>
    </row>
    <row r="7" spans="1:26" x14ac:dyDescent="0.2">
      <c r="A7" s="126"/>
      <c r="B7" s="103"/>
      <c r="C7" s="103"/>
      <c r="D7" s="103"/>
      <c r="E7" s="311">
        <f t="shared" ref="E7:E41" si="1">E6+1</f>
        <v>2021</v>
      </c>
      <c r="F7" s="54">
        <f>1/6</f>
        <v>0.16666666666666666</v>
      </c>
      <c r="G7" s="192">
        <f t="shared" si="0"/>
        <v>40466666.666666664</v>
      </c>
      <c r="H7" s="193">
        <f>Maintenance!F7</f>
        <v>0</v>
      </c>
      <c r="I7" s="194">
        <f>ROUND((G7+H7)*NPV!C6,0)</f>
        <v>33032854</v>
      </c>
      <c r="J7" s="103"/>
      <c r="K7" s="103"/>
      <c r="L7" s="103"/>
      <c r="M7" s="103"/>
      <c r="N7" s="103"/>
      <c r="O7" s="103"/>
      <c r="P7" s="103"/>
      <c r="Q7" s="103"/>
      <c r="R7" s="103"/>
      <c r="S7" s="103"/>
      <c r="T7" s="103"/>
      <c r="U7" s="103"/>
      <c r="V7" s="103"/>
      <c r="W7" s="103"/>
      <c r="X7" s="103"/>
      <c r="Y7" s="103"/>
      <c r="Z7" s="103"/>
    </row>
    <row r="8" spans="1:26" x14ac:dyDescent="0.2">
      <c r="A8" s="126"/>
      <c r="B8" s="103"/>
      <c r="C8" s="103"/>
      <c r="D8" s="103"/>
      <c r="E8" s="311">
        <f t="shared" si="1"/>
        <v>2022</v>
      </c>
      <c r="F8" s="54">
        <f t="shared" ref="F8:F12" si="2">1/6</f>
        <v>0.16666666666666666</v>
      </c>
      <c r="G8" s="192">
        <f t="shared" si="0"/>
        <v>40466666.666666664</v>
      </c>
      <c r="H8" s="193">
        <f>Maintenance!F8</f>
        <v>0</v>
      </c>
      <c r="I8" s="194">
        <f>ROUND((G8+H8)*NPV!C7,0)</f>
        <v>30871826</v>
      </c>
      <c r="J8" s="103"/>
      <c r="K8" s="103"/>
      <c r="L8" s="103"/>
      <c r="M8" s="103"/>
      <c r="N8" s="103"/>
      <c r="O8" s="103"/>
      <c r="P8" s="103"/>
      <c r="Q8" s="103"/>
      <c r="R8" s="103"/>
      <c r="S8" s="103"/>
      <c r="T8" s="103"/>
      <c r="U8" s="103"/>
      <c r="V8" s="103"/>
      <c r="W8" s="103"/>
      <c r="X8" s="103"/>
      <c r="Y8" s="103"/>
      <c r="Z8" s="103"/>
    </row>
    <row r="9" spans="1:26" x14ac:dyDescent="0.2">
      <c r="A9" s="126"/>
      <c r="B9" s="103"/>
      <c r="C9" s="103"/>
      <c r="D9" s="103"/>
      <c r="E9" s="311">
        <f t="shared" si="1"/>
        <v>2023</v>
      </c>
      <c r="F9" s="54">
        <f t="shared" si="2"/>
        <v>0.16666666666666666</v>
      </c>
      <c r="G9" s="192">
        <f t="shared" si="0"/>
        <v>40466666.666666664</v>
      </c>
      <c r="H9" s="193">
        <f>Maintenance!F9</f>
        <v>0</v>
      </c>
      <c r="I9" s="194">
        <f>ROUND((G9+H9)*NPV!C8,0)</f>
        <v>28852174</v>
      </c>
      <c r="J9" s="103"/>
      <c r="K9" s="103"/>
      <c r="L9" s="103"/>
      <c r="M9" s="103"/>
      <c r="N9" s="103"/>
      <c r="O9" s="103"/>
      <c r="P9" s="103"/>
      <c r="Q9" s="103"/>
      <c r="R9" s="103"/>
      <c r="S9" s="103"/>
      <c r="T9" s="103"/>
      <c r="U9" s="103"/>
      <c r="V9" s="103"/>
      <c r="W9" s="103"/>
      <c r="X9" s="103"/>
      <c r="Y9" s="103"/>
      <c r="Z9" s="103"/>
    </row>
    <row r="10" spans="1:26" x14ac:dyDescent="0.2">
      <c r="A10" s="126"/>
      <c r="B10" s="103"/>
      <c r="C10" s="103"/>
      <c r="D10" s="103"/>
      <c r="E10" s="311">
        <f t="shared" si="1"/>
        <v>2024</v>
      </c>
      <c r="F10" s="54">
        <f t="shared" si="2"/>
        <v>0.16666666666666666</v>
      </c>
      <c r="G10" s="192">
        <f t="shared" si="0"/>
        <v>40466666.666666664</v>
      </c>
      <c r="H10" s="193">
        <f>Maintenance!F10</f>
        <v>0</v>
      </c>
      <c r="I10" s="194">
        <f>ROUND((G10+H10)*NPV!C9,0)</f>
        <v>26964649</v>
      </c>
      <c r="J10" s="103"/>
      <c r="K10" s="103"/>
      <c r="L10" s="103"/>
      <c r="M10" s="103"/>
      <c r="N10" s="103"/>
      <c r="O10" s="103"/>
      <c r="P10" s="103"/>
      <c r="Q10" s="103"/>
      <c r="R10" s="103"/>
      <c r="S10" s="103"/>
      <c r="T10" s="103"/>
      <c r="U10" s="103"/>
      <c r="V10" s="103"/>
      <c r="W10" s="103"/>
      <c r="X10" s="103"/>
      <c r="Y10" s="103"/>
      <c r="Z10" s="103"/>
    </row>
    <row r="11" spans="1:26" x14ac:dyDescent="0.2">
      <c r="A11" s="126"/>
      <c r="B11" s="103"/>
      <c r="C11" s="103"/>
      <c r="D11" s="103"/>
      <c r="E11" s="311">
        <f t="shared" si="1"/>
        <v>2025</v>
      </c>
      <c r="F11" s="54">
        <f t="shared" si="2"/>
        <v>0.16666666666666666</v>
      </c>
      <c r="G11" s="192">
        <f t="shared" si="0"/>
        <v>40466666.666666664</v>
      </c>
      <c r="H11" s="193">
        <f>Maintenance!F11</f>
        <v>0</v>
      </c>
      <c r="I11" s="194">
        <f>ROUND((G11+H11)*NPV!C10,0)</f>
        <v>25200606</v>
      </c>
      <c r="J11" s="103"/>
      <c r="K11" s="103"/>
      <c r="L11" s="103"/>
      <c r="M11" s="103"/>
      <c r="N11" s="103"/>
      <c r="O11" s="103"/>
      <c r="P11" s="103"/>
      <c r="Q11" s="103"/>
      <c r="R11" s="103"/>
      <c r="S11" s="103"/>
      <c r="T11" s="103"/>
      <c r="U11" s="103"/>
      <c r="V11" s="103"/>
      <c r="W11" s="103"/>
      <c r="X11" s="103"/>
      <c r="Y11" s="103"/>
      <c r="Z11" s="103"/>
    </row>
    <row r="12" spans="1:26" x14ac:dyDescent="0.2">
      <c r="A12" s="103"/>
      <c r="B12" s="103"/>
      <c r="C12" s="103"/>
      <c r="D12" s="103"/>
      <c r="E12" s="311">
        <f t="shared" si="1"/>
        <v>2026</v>
      </c>
      <c r="F12" s="54">
        <f t="shared" si="2"/>
        <v>0.16666666666666666</v>
      </c>
      <c r="G12" s="192">
        <f t="shared" si="0"/>
        <v>40466666.666666664</v>
      </c>
      <c r="H12" s="193">
        <f>Maintenance!F12</f>
        <v>0</v>
      </c>
      <c r="I12" s="194">
        <f>ROUND((G12+H12)*NPV!C11,0)</f>
        <v>23551968</v>
      </c>
      <c r="J12" s="103"/>
      <c r="K12" s="103"/>
      <c r="L12" s="103"/>
      <c r="M12" s="103"/>
      <c r="N12" s="103"/>
      <c r="O12" s="103"/>
      <c r="P12" s="103"/>
      <c r="Q12" s="103"/>
      <c r="R12" s="103"/>
      <c r="S12" s="103"/>
      <c r="T12" s="103"/>
      <c r="U12" s="103"/>
      <c r="V12" s="103"/>
      <c r="W12" s="103"/>
      <c r="X12" s="103"/>
      <c r="Y12" s="103"/>
      <c r="Z12" s="103"/>
    </row>
    <row r="13" spans="1:26" x14ac:dyDescent="0.2">
      <c r="A13" s="103"/>
      <c r="B13" s="103"/>
      <c r="C13" s="103"/>
      <c r="D13" s="103"/>
      <c r="E13" s="311">
        <f t="shared" si="1"/>
        <v>2027</v>
      </c>
      <c r="F13" s="55"/>
      <c r="G13" s="192">
        <f t="shared" si="0"/>
        <v>0</v>
      </c>
      <c r="H13" s="193">
        <f>Maintenance!F13</f>
        <v>-986223</v>
      </c>
      <c r="I13" s="194">
        <f>ROUND((G13+H13)*NPV!C12,0)</f>
        <v>-536440</v>
      </c>
      <c r="J13" s="103"/>
      <c r="K13" s="103"/>
      <c r="L13" s="103"/>
      <c r="M13" s="103"/>
      <c r="N13" s="103"/>
      <c r="O13" s="103"/>
      <c r="P13" s="103"/>
      <c r="Q13" s="103"/>
      <c r="R13" s="103"/>
      <c r="S13" s="103"/>
      <c r="T13" s="103"/>
      <c r="U13" s="103"/>
      <c r="V13" s="103"/>
      <c r="W13" s="103"/>
      <c r="X13" s="103"/>
      <c r="Y13" s="103"/>
      <c r="Z13" s="103"/>
    </row>
    <row r="14" spans="1:26" x14ac:dyDescent="0.2">
      <c r="A14" s="103"/>
      <c r="B14" s="103"/>
      <c r="C14" s="103"/>
      <c r="D14" s="103"/>
      <c r="E14" s="311">
        <f t="shared" si="1"/>
        <v>2028</v>
      </c>
      <c r="F14" s="55"/>
      <c r="G14" s="192">
        <f t="shared" si="0"/>
        <v>0</v>
      </c>
      <c r="H14" s="193">
        <f>Maintenance!F14</f>
        <v>-2379903</v>
      </c>
      <c r="I14" s="194">
        <f>ROUND((G14+H14)*NPV!C13,0)</f>
        <v>-1209822</v>
      </c>
      <c r="J14" s="103"/>
      <c r="K14" s="103"/>
      <c r="L14" s="103"/>
      <c r="M14" s="103"/>
      <c r="N14" s="103"/>
      <c r="O14" s="103"/>
      <c r="P14" s="103"/>
      <c r="Q14" s="103"/>
      <c r="R14" s="103"/>
      <c r="S14" s="103"/>
      <c r="T14" s="103"/>
      <c r="U14" s="103"/>
      <c r="V14" s="103"/>
      <c r="W14" s="103"/>
      <c r="X14" s="103"/>
      <c r="Y14" s="103"/>
      <c r="Z14" s="103"/>
    </row>
    <row r="15" spans="1:26" x14ac:dyDescent="0.2">
      <c r="A15" s="103"/>
      <c r="B15" s="103"/>
      <c r="C15" s="103"/>
      <c r="D15" s="103"/>
      <c r="E15" s="311">
        <f t="shared" si="1"/>
        <v>2029</v>
      </c>
      <c r="F15" s="55"/>
      <c r="G15" s="192">
        <f t="shared" si="0"/>
        <v>0</v>
      </c>
      <c r="H15" s="193">
        <f>Maintenance!F15</f>
        <v>-1577303</v>
      </c>
      <c r="I15" s="194">
        <f>ROUND((G15+H15)*NPV!C14,0)</f>
        <v>-749365</v>
      </c>
      <c r="J15" s="103"/>
      <c r="K15" s="103"/>
      <c r="L15" s="103"/>
      <c r="M15" s="103"/>
      <c r="N15" s="103"/>
      <c r="O15" s="103"/>
      <c r="P15" s="103"/>
      <c r="Q15" s="103"/>
      <c r="R15" s="103"/>
      <c r="S15" s="103"/>
      <c r="T15" s="103"/>
      <c r="U15" s="103"/>
      <c r="V15" s="103"/>
      <c r="W15" s="103"/>
      <c r="X15" s="103"/>
      <c r="Y15" s="103"/>
      <c r="Z15" s="103"/>
    </row>
    <row r="16" spans="1:26" x14ac:dyDescent="0.2">
      <c r="A16" s="103"/>
      <c r="B16" s="103"/>
      <c r="C16" s="103"/>
      <c r="D16" s="103"/>
      <c r="E16" s="311">
        <f t="shared" si="1"/>
        <v>2030</v>
      </c>
      <c r="F16" s="55"/>
      <c r="G16" s="192">
        <f t="shared" si="0"/>
        <v>0</v>
      </c>
      <c r="H16" s="193">
        <f>Maintenance!F16</f>
        <v>177497</v>
      </c>
      <c r="I16" s="194">
        <f>ROUND((G16+H16)*NPV!C15,0)</f>
        <v>78811</v>
      </c>
      <c r="J16" s="103"/>
      <c r="K16" s="103"/>
      <c r="L16" s="103"/>
      <c r="M16" s="103"/>
      <c r="N16" s="103"/>
      <c r="O16" s="103"/>
      <c r="P16" s="103"/>
      <c r="Q16" s="103"/>
      <c r="R16" s="103"/>
      <c r="S16" s="103"/>
      <c r="T16" s="103"/>
      <c r="U16" s="103"/>
      <c r="V16" s="103"/>
      <c r="W16" s="103"/>
      <c r="X16" s="103"/>
      <c r="Y16" s="103"/>
      <c r="Z16" s="103"/>
    </row>
    <row r="17" spans="1:26" x14ac:dyDescent="0.2">
      <c r="A17" s="103"/>
      <c r="B17" s="103"/>
      <c r="C17" s="103"/>
      <c r="D17" s="103"/>
      <c r="E17" s="311">
        <f t="shared" si="1"/>
        <v>2031</v>
      </c>
      <c r="F17" s="55"/>
      <c r="G17" s="192">
        <f t="shared" si="0"/>
        <v>0</v>
      </c>
      <c r="H17" s="193">
        <f>Maintenance!F17</f>
        <v>-292903</v>
      </c>
      <c r="I17" s="194">
        <f>ROUND((G17+H17)*NPV!C16,0)</f>
        <v>-121544</v>
      </c>
      <c r="J17" s="103"/>
      <c r="K17" s="103"/>
      <c r="L17" s="103"/>
      <c r="M17" s="103"/>
      <c r="N17" s="103"/>
      <c r="O17" s="103"/>
      <c r="P17" s="103"/>
      <c r="Q17" s="103"/>
      <c r="R17" s="103"/>
      <c r="S17" s="103"/>
      <c r="T17" s="103"/>
      <c r="U17" s="103"/>
      <c r="V17" s="103"/>
      <c r="W17" s="103"/>
      <c r="X17" s="103"/>
      <c r="Y17" s="103"/>
      <c r="Z17" s="103"/>
    </row>
    <row r="18" spans="1:26" x14ac:dyDescent="0.2">
      <c r="A18" s="103"/>
      <c r="B18" s="103"/>
      <c r="C18" s="103"/>
      <c r="D18" s="103"/>
      <c r="E18" s="311">
        <f t="shared" si="1"/>
        <v>2032</v>
      </c>
      <c r="F18" s="55"/>
      <c r="G18" s="192">
        <f t="shared" si="0"/>
        <v>0</v>
      </c>
      <c r="H18" s="193">
        <f>Maintenance!F18</f>
        <v>177497</v>
      </c>
      <c r="I18" s="194">
        <f>ROUND((G18+H18)*NPV!C17,0)</f>
        <v>68836</v>
      </c>
      <c r="J18" s="103"/>
      <c r="K18" s="103"/>
      <c r="L18" s="103"/>
      <c r="M18" s="103"/>
      <c r="N18" s="103"/>
      <c r="O18" s="103"/>
      <c r="P18" s="103"/>
      <c r="Q18" s="103"/>
      <c r="R18" s="103"/>
      <c r="S18" s="103"/>
      <c r="T18" s="103"/>
      <c r="U18" s="103"/>
      <c r="V18" s="103"/>
      <c r="W18" s="103"/>
      <c r="X18" s="103"/>
      <c r="Y18" s="103"/>
      <c r="Z18" s="103"/>
    </row>
    <row r="19" spans="1:26" x14ac:dyDescent="0.2">
      <c r="A19" s="103"/>
      <c r="B19" s="103"/>
      <c r="C19" s="103"/>
      <c r="D19" s="103"/>
      <c r="E19" s="311">
        <f t="shared" si="1"/>
        <v>2033</v>
      </c>
      <c r="F19" s="55"/>
      <c r="G19" s="192">
        <f t="shared" si="0"/>
        <v>0</v>
      </c>
      <c r="H19" s="193">
        <f>Maintenance!F19</f>
        <v>4863897</v>
      </c>
      <c r="I19" s="194">
        <f>ROUND((G19+H19)*NPV!C18,0)</f>
        <v>1762900</v>
      </c>
      <c r="J19" s="103"/>
      <c r="K19" s="103"/>
      <c r="L19" s="103"/>
      <c r="M19" s="103"/>
      <c r="N19" s="103"/>
      <c r="O19" s="103"/>
      <c r="P19" s="103"/>
      <c r="Q19" s="103"/>
      <c r="R19" s="103"/>
      <c r="S19" s="103"/>
      <c r="T19" s="103"/>
      <c r="U19" s="103"/>
      <c r="V19" s="103"/>
      <c r="W19" s="103"/>
      <c r="X19" s="103"/>
      <c r="Y19" s="103"/>
      <c r="Z19" s="103"/>
    </row>
    <row r="20" spans="1:26" x14ac:dyDescent="0.2">
      <c r="A20" s="103"/>
      <c r="B20" s="103"/>
      <c r="C20" s="103"/>
      <c r="D20" s="103"/>
      <c r="E20" s="311">
        <f t="shared" si="1"/>
        <v>2034</v>
      </c>
      <c r="F20" s="55"/>
      <c r="G20" s="192">
        <f t="shared" ref="G20:G30" si="3">F20*$C$3</f>
        <v>0</v>
      </c>
      <c r="H20" s="193">
        <f>Maintenance!F20</f>
        <v>-2676623</v>
      </c>
      <c r="I20" s="194">
        <f>ROUND((G20+H20)*NPV!C19,0)</f>
        <v>-906665</v>
      </c>
      <c r="J20" s="103"/>
      <c r="K20" s="103"/>
      <c r="L20" s="103"/>
      <c r="M20" s="103"/>
      <c r="N20" s="103"/>
      <c r="O20" s="103"/>
      <c r="P20" s="103"/>
      <c r="Q20" s="103"/>
      <c r="R20" s="103"/>
      <c r="S20" s="103"/>
      <c r="T20" s="103"/>
      <c r="U20" s="103"/>
      <c r="V20" s="103"/>
      <c r="W20" s="103"/>
      <c r="X20" s="103"/>
      <c r="Y20" s="103"/>
      <c r="Z20" s="103"/>
    </row>
    <row r="21" spans="1:26" x14ac:dyDescent="0.2">
      <c r="A21" s="103"/>
      <c r="B21" s="103"/>
      <c r="C21" s="103"/>
      <c r="D21" s="103"/>
      <c r="E21" s="311">
        <f t="shared" si="1"/>
        <v>2035</v>
      </c>
      <c r="F21" s="55"/>
      <c r="G21" s="192">
        <f t="shared" si="3"/>
        <v>0</v>
      </c>
      <c r="H21" s="193">
        <f>Maintenance!F21</f>
        <v>-6996683</v>
      </c>
      <c r="I21" s="194">
        <f>ROUND((G21+H21)*NPV!C20,0)</f>
        <v>-2214971</v>
      </c>
      <c r="J21" s="103"/>
      <c r="K21" s="103"/>
      <c r="L21" s="103"/>
      <c r="M21" s="103"/>
      <c r="N21" s="103"/>
      <c r="O21" s="103"/>
      <c r="P21" s="103"/>
      <c r="Q21" s="103"/>
      <c r="R21" s="103"/>
      <c r="S21" s="103"/>
      <c r="T21" s="103"/>
      <c r="U21" s="103"/>
      <c r="V21" s="103"/>
      <c r="W21" s="103"/>
      <c r="X21" s="103"/>
      <c r="Y21" s="103"/>
      <c r="Z21" s="103"/>
    </row>
    <row r="22" spans="1:26" x14ac:dyDescent="0.2">
      <c r="A22" s="103"/>
      <c r="B22" s="103"/>
      <c r="C22" s="103"/>
      <c r="D22" s="103"/>
      <c r="E22" s="311">
        <f t="shared" si="1"/>
        <v>2036</v>
      </c>
      <c r="F22" s="55"/>
      <c r="G22" s="192">
        <f t="shared" si="3"/>
        <v>0</v>
      </c>
      <c r="H22" s="193">
        <f>Maintenance!F22</f>
        <v>-4513263</v>
      </c>
      <c r="I22" s="194">
        <f>ROUND((G22+H22)*NPV!C21,0)</f>
        <v>-1335312</v>
      </c>
      <c r="J22" s="103"/>
      <c r="K22" s="103"/>
      <c r="L22" s="103"/>
      <c r="M22" s="103"/>
      <c r="N22" s="103"/>
      <c r="O22" s="103"/>
      <c r="P22" s="103"/>
      <c r="Q22" s="103"/>
      <c r="R22" s="103"/>
      <c r="S22" s="103"/>
      <c r="T22" s="103"/>
      <c r="U22" s="103"/>
      <c r="V22" s="103"/>
      <c r="W22" s="103"/>
      <c r="X22" s="103"/>
      <c r="Y22" s="103"/>
      <c r="Z22" s="103"/>
    </row>
    <row r="23" spans="1:26" x14ac:dyDescent="0.2">
      <c r="A23" s="103"/>
      <c r="B23" s="103"/>
      <c r="C23" s="103"/>
      <c r="D23" s="103"/>
      <c r="E23" s="311">
        <f t="shared" si="1"/>
        <v>2037</v>
      </c>
      <c r="F23" s="55"/>
      <c r="G23" s="192">
        <f t="shared" si="3"/>
        <v>0</v>
      </c>
      <c r="H23" s="193">
        <f>Maintenance!F23</f>
        <v>177497</v>
      </c>
      <c r="I23" s="194">
        <f>ROUND((G23+H23)*NPV!C22,0)</f>
        <v>49079</v>
      </c>
      <c r="J23" s="103"/>
      <c r="K23" s="103"/>
      <c r="L23" s="103"/>
      <c r="M23" s="103"/>
      <c r="N23" s="103"/>
      <c r="O23" s="103"/>
      <c r="P23" s="103"/>
      <c r="Q23" s="103"/>
      <c r="R23" s="103"/>
      <c r="S23" s="103"/>
      <c r="T23" s="103"/>
      <c r="U23" s="103"/>
      <c r="V23" s="103"/>
      <c r="W23" s="103"/>
      <c r="X23" s="103"/>
      <c r="Y23" s="103"/>
      <c r="Z23" s="103"/>
    </row>
    <row r="24" spans="1:26" x14ac:dyDescent="0.2">
      <c r="A24" s="103"/>
      <c r="B24" s="103"/>
      <c r="C24" s="103"/>
      <c r="D24" s="103"/>
      <c r="E24" s="311">
        <f t="shared" si="1"/>
        <v>2038</v>
      </c>
      <c r="F24" s="55"/>
      <c r="G24" s="192">
        <f t="shared" si="3"/>
        <v>0</v>
      </c>
      <c r="H24" s="193">
        <f>Maintenance!F24</f>
        <v>-763303</v>
      </c>
      <c r="I24" s="194">
        <f>ROUND((G24+H24)*NPV!C23,0)</f>
        <v>-197252</v>
      </c>
      <c r="J24" s="103"/>
      <c r="K24" s="103"/>
      <c r="L24" s="103"/>
      <c r="M24" s="103"/>
      <c r="N24" s="103"/>
      <c r="O24" s="103"/>
      <c r="P24" s="103"/>
      <c r="Q24" s="103"/>
      <c r="R24" s="103"/>
      <c r="S24" s="103"/>
      <c r="T24" s="103"/>
      <c r="U24" s="103"/>
      <c r="V24" s="103"/>
      <c r="W24" s="103"/>
      <c r="X24" s="103"/>
      <c r="Y24" s="103"/>
      <c r="Z24" s="103"/>
    </row>
    <row r="25" spans="1:26" x14ac:dyDescent="0.2">
      <c r="A25" s="103"/>
      <c r="B25" s="103"/>
      <c r="C25" s="103"/>
      <c r="D25" s="103"/>
      <c r="E25" s="311">
        <f t="shared" si="1"/>
        <v>2039</v>
      </c>
      <c r="F25" s="55"/>
      <c r="G25" s="192">
        <f t="shared" si="3"/>
        <v>0</v>
      </c>
      <c r="H25" s="193">
        <f>Maintenance!F25</f>
        <v>177497</v>
      </c>
      <c r="I25" s="194">
        <f>ROUND((G25+H25)*NPV!C24,0)</f>
        <v>42868</v>
      </c>
      <c r="J25" s="103"/>
      <c r="K25" s="103"/>
      <c r="L25" s="103"/>
      <c r="M25" s="103"/>
      <c r="N25" s="103"/>
      <c r="O25" s="103"/>
      <c r="P25" s="103"/>
      <c r="Q25" s="103"/>
      <c r="R25" s="103"/>
      <c r="S25" s="103"/>
      <c r="T25" s="103"/>
      <c r="U25" s="103"/>
      <c r="V25" s="103"/>
      <c r="W25" s="103"/>
      <c r="X25" s="103"/>
      <c r="Y25" s="103"/>
      <c r="Z25" s="103"/>
    </row>
    <row r="26" spans="1:26" x14ac:dyDescent="0.2">
      <c r="A26" s="103"/>
      <c r="B26" s="103"/>
      <c r="C26" s="103"/>
      <c r="D26" s="103"/>
      <c r="E26" s="311">
        <f t="shared" si="1"/>
        <v>2040</v>
      </c>
      <c r="F26" s="55"/>
      <c r="G26" s="192">
        <f t="shared" si="3"/>
        <v>0</v>
      </c>
      <c r="H26" s="193">
        <f>Maintenance!F26</f>
        <v>4863897</v>
      </c>
      <c r="I26" s="194">
        <f>ROUND((G26+H26)*NPV!C25,0)</f>
        <v>1097846</v>
      </c>
      <c r="J26" s="103"/>
      <c r="K26" s="103"/>
      <c r="L26" s="103"/>
      <c r="M26" s="103"/>
      <c r="N26" s="103"/>
      <c r="O26" s="103"/>
      <c r="P26" s="103"/>
      <c r="Q26" s="103"/>
      <c r="R26" s="103"/>
      <c r="S26" s="103"/>
      <c r="T26" s="103"/>
      <c r="U26" s="103"/>
      <c r="V26" s="103"/>
      <c r="W26" s="103"/>
      <c r="X26" s="103"/>
      <c r="Y26" s="103"/>
      <c r="Z26" s="103"/>
    </row>
    <row r="27" spans="1:26" x14ac:dyDescent="0.2">
      <c r="A27" s="103"/>
      <c r="B27" s="103"/>
      <c r="C27" s="103"/>
      <c r="D27" s="103"/>
      <c r="E27" s="311">
        <f t="shared" si="1"/>
        <v>2041</v>
      </c>
      <c r="F27" s="55"/>
      <c r="G27" s="192">
        <f t="shared" si="3"/>
        <v>0</v>
      </c>
      <c r="H27" s="193">
        <f>Maintenance!F27</f>
        <v>-1185303</v>
      </c>
      <c r="I27" s="194">
        <f>ROUND((G27+H27)*NPV!C26,0)</f>
        <v>-250036</v>
      </c>
      <c r="J27" s="103"/>
      <c r="K27" s="103"/>
      <c r="L27" s="103"/>
      <c r="M27" s="103"/>
      <c r="N27" s="103"/>
      <c r="O27" s="103"/>
      <c r="P27" s="103"/>
      <c r="Q27" s="103"/>
      <c r="R27" s="103"/>
      <c r="S27" s="103"/>
      <c r="T27" s="103"/>
      <c r="U27" s="103"/>
      <c r="V27" s="103"/>
      <c r="W27" s="103"/>
      <c r="X27" s="103"/>
      <c r="Y27" s="103"/>
      <c r="Z27" s="103"/>
    </row>
    <row r="28" spans="1:26" x14ac:dyDescent="0.2">
      <c r="A28" s="103"/>
      <c r="B28" s="103"/>
      <c r="C28" s="103"/>
      <c r="D28" s="103"/>
      <c r="E28" s="311">
        <f t="shared" si="1"/>
        <v>2042</v>
      </c>
      <c r="F28" s="55"/>
      <c r="G28" s="192">
        <f t="shared" si="3"/>
        <v>0</v>
      </c>
      <c r="H28" s="193">
        <f>Maintenance!F28</f>
        <v>-2379903</v>
      </c>
      <c r="I28" s="194">
        <f>ROUND((G28+H28)*NPV!C27,0)</f>
        <v>-469190</v>
      </c>
      <c r="J28" s="103"/>
      <c r="K28" s="103"/>
      <c r="L28" s="103"/>
      <c r="M28" s="103"/>
      <c r="N28" s="103"/>
      <c r="O28" s="103"/>
      <c r="P28" s="103"/>
      <c r="Q28" s="103"/>
      <c r="R28" s="103"/>
      <c r="S28" s="103"/>
      <c r="T28" s="103"/>
      <c r="U28" s="103"/>
      <c r="V28" s="103"/>
      <c r="W28" s="103"/>
      <c r="X28" s="103"/>
      <c r="Y28" s="103"/>
      <c r="Z28" s="103"/>
    </row>
    <row r="29" spans="1:26" x14ac:dyDescent="0.2">
      <c r="A29" s="103"/>
      <c r="B29" s="103"/>
      <c r="C29" s="103"/>
      <c r="D29" s="103"/>
      <c r="E29" s="311">
        <f t="shared" si="1"/>
        <v>2043</v>
      </c>
      <c r="F29" s="55"/>
      <c r="G29" s="192">
        <f t="shared" si="3"/>
        <v>0</v>
      </c>
      <c r="H29" s="193">
        <f>Maintenance!F29</f>
        <v>-1577303</v>
      </c>
      <c r="I29" s="194">
        <f>ROUND((G29+H29)*NPV!C28,0)</f>
        <v>-290617</v>
      </c>
      <c r="J29" s="103"/>
      <c r="K29" s="103"/>
      <c r="L29" s="103"/>
      <c r="M29" s="103"/>
      <c r="N29" s="103"/>
      <c r="O29" s="103"/>
      <c r="P29" s="103"/>
      <c r="Q29" s="103"/>
      <c r="R29" s="103"/>
      <c r="S29" s="103"/>
      <c r="T29" s="103"/>
      <c r="U29" s="103"/>
      <c r="V29" s="103"/>
      <c r="W29" s="103"/>
      <c r="X29" s="103"/>
      <c r="Y29" s="103"/>
      <c r="Z29" s="103"/>
    </row>
    <row r="30" spans="1:26" x14ac:dyDescent="0.2">
      <c r="A30" s="103"/>
      <c r="B30" s="103"/>
      <c r="C30" s="103"/>
      <c r="D30" s="103"/>
      <c r="E30" s="311">
        <f t="shared" si="1"/>
        <v>2044</v>
      </c>
      <c r="F30" s="55"/>
      <c r="G30" s="192">
        <f t="shared" si="3"/>
        <v>0</v>
      </c>
      <c r="H30" s="193">
        <f>Maintenance!F30</f>
        <v>177497</v>
      </c>
      <c r="I30" s="194">
        <f>ROUND((G30+H30)*NPV!C29,0)</f>
        <v>30564</v>
      </c>
      <c r="J30" s="103"/>
      <c r="K30" s="103"/>
      <c r="L30" s="103"/>
      <c r="M30" s="103"/>
      <c r="N30" s="103"/>
      <c r="O30" s="103"/>
      <c r="P30" s="103"/>
      <c r="Q30" s="103"/>
      <c r="R30" s="103"/>
      <c r="S30" s="103"/>
      <c r="T30" s="103"/>
      <c r="U30" s="103"/>
      <c r="V30" s="103"/>
      <c r="W30" s="103"/>
      <c r="X30" s="103"/>
      <c r="Y30" s="103"/>
      <c r="Z30" s="103"/>
    </row>
    <row r="31" spans="1:26" x14ac:dyDescent="0.2">
      <c r="A31" s="103"/>
      <c r="B31" s="103"/>
      <c r="C31" s="103"/>
      <c r="D31" s="103"/>
      <c r="E31" s="311">
        <f t="shared" si="1"/>
        <v>2045</v>
      </c>
      <c r="F31" s="55"/>
      <c r="G31" s="192">
        <f t="shared" si="0"/>
        <v>0</v>
      </c>
      <c r="H31" s="193">
        <f>Maintenance!F31</f>
        <v>-292903</v>
      </c>
      <c r="I31" s="194">
        <f>ROUND((G31+H31)*NPV!C30,0)</f>
        <v>-47137</v>
      </c>
      <c r="J31" s="103"/>
      <c r="K31" s="103"/>
      <c r="L31" s="103"/>
      <c r="M31" s="103"/>
      <c r="N31" s="103"/>
      <c r="O31" s="103"/>
      <c r="P31" s="103"/>
      <c r="Q31" s="103"/>
      <c r="R31" s="103"/>
      <c r="S31" s="103"/>
      <c r="T31" s="103"/>
      <c r="U31" s="103"/>
      <c r="V31" s="103"/>
      <c r="W31" s="103"/>
      <c r="X31" s="103"/>
      <c r="Y31" s="103"/>
      <c r="Z31" s="103"/>
    </row>
    <row r="32" spans="1:26" x14ac:dyDescent="0.2">
      <c r="A32" s="103"/>
      <c r="B32" s="103"/>
      <c r="C32" s="103"/>
      <c r="D32" s="103"/>
      <c r="E32" s="311">
        <f t="shared" si="1"/>
        <v>2046</v>
      </c>
      <c r="F32" s="55"/>
      <c r="G32" s="192">
        <f t="shared" si="0"/>
        <v>0</v>
      </c>
      <c r="H32" s="193">
        <f>Maintenance!F32</f>
        <v>177497</v>
      </c>
      <c r="I32" s="194">
        <f>ROUND((G32+H32)*NPV!C31,0)</f>
        <v>26696</v>
      </c>
      <c r="J32" s="103"/>
      <c r="K32" s="103"/>
      <c r="L32" s="103"/>
      <c r="M32" s="103"/>
      <c r="N32" s="103"/>
      <c r="O32" s="103"/>
      <c r="P32" s="103"/>
      <c r="Q32" s="103"/>
      <c r="R32" s="103"/>
      <c r="S32" s="103"/>
      <c r="T32" s="103"/>
      <c r="U32" s="103"/>
      <c r="V32" s="103"/>
      <c r="W32" s="103"/>
      <c r="X32" s="103"/>
      <c r="Y32" s="103"/>
      <c r="Z32" s="103"/>
    </row>
    <row r="33" spans="1:26" x14ac:dyDescent="0.2">
      <c r="A33" s="103"/>
      <c r="B33" s="103"/>
      <c r="C33" s="103"/>
      <c r="D33" s="103"/>
      <c r="E33" s="311">
        <f t="shared" si="1"/>
        <v>2047</v>
      </c>
      <c r="F33" s="55"/>
      <c r="G33" s="192">
        <f t="shared" si="0"/>
        <v>0</v>
      </c>
      <c r="H33" s="193">
        <f>Maintenance!F33</f>
        <v>5624097</v>
      </c>
      <c r="I33" s="194">
        <f>ROUND((G33+H33)*NPV!C32,0)</f>
        <v>790539</v>
      </c>
      <c r="J33" s="103"/>
      <c r="K33" s="103"/>
      <c r="L33" s="103"/>
      <c r="M33" s="103"/>
      <c r="N33" s="103"/>
      <c r="O33" s="103"/>
      <c r="P33" s="103"/>
      <c r="Q33" s="103"/>
      <c r="R33" s="103"/>
      <c r="S33" s="103"/>
      <c r="T33" s="103"/>
      <c r="U33" s="103"/>
      <c r="V33" s="103"/>
      <c r="W33" s="103"/>
      <c r="X33" s="103"/>
      <c r="Y33" s="103"/>
      <c r="Z33" s="103"/>
    </row>
    <row r="34" spans="1:26" x14ac:dyDescent="0.2">
      <c r="A34" s="103"/>
      <c r="B34" s="103"/>
      <c r="C34" s="103"/>
      <c r="D34" s="103"/>
      <c r="E34" s="311">
        <f t="shared" si="1"/>
        <v>2048</v>
      </c>
      <c r="F34" s="55"/>
      <c r="G34" s="192">
        <f t="shared" si="0"/>
        <v>0</v>
      </c>
      <c r="H34" s="193">
        <f>Maintenance!F34</f>
        <v>-1185303</v>
      </c>
      <c r="I34" s="194">
        <f>ROUND((G34+H34)*NPV!C33,0)</f>
        <v>-155710</v>
      </c>
      <c r="J34" s="103"/>
      <c r="K34" s="103"/>
      <c r="L34" s="103"/>
      <c r="M34" s="103"/>
      <c r="N34" s="103"/>
      <c r="O34" s="103"/>
      <c r="P34" s="103"/>
      <c r="Q34" s="103"/>
      <c r="R34" s="103"/>
      <c r="S34" s="103"/>
      <c r="T34" s="103"/>
      <c r="U34" s="103"/>
      <c r="V34" s="103"/>
      <c r="W34" s="103"/>
      <c r="X34" s="103"/>
      <c r="Y34" s="103"/>
      <c r="Z34" s="103"/>
    </row>
    <row r="35" spans="1:26" x14ac:dyDescent="0.2">
      <c r="A35" s="103"/>
      <c r="B35" s="103"/>
      <c r="C35" s="103"/>
      <c r="D35" s="103"/>
      <c r="E35" s="311">
        <f t="shared" si="1"/>
        <v>2049</v>
      </c>
      <c r="F35" s="55"/>
      <c r="G35" s="192">
        <f t="shared" si="0"/>
        <v>0</v>
      </c>
      <c r="H35" s="193">
        <f>Maintenance!F35</f>
        <v>-2379903</v>
      </c>
      <c r="I35" s="194">
        <f>ROUND((G35+H35)*NPV!C34,0)</f>
        <v>-292188</v>
      </c>
      <c r="J35" s="103"/>
      <c r="K35" s="103"/>
      <c r="L35" s="103"/>
      <c r="M35" s="103"/>
      <c r="N35" s="103"/>
      <c r="O35" s="103"/>
      <c r="P35" s="103"/>
      <c r="Q35" s="103"/>
      <c r="R35" s="103"/>
      <c r="S35" s="103"/>
      <c r="T35" s="103"/>
      <c r="U35" s="103"/>
      <c r="V35" s="103"/>
      <c r="W35" s="103"/>
      <c r="X35" s="103"/>
      <c r="Y35" s="103"/>
      <c r="Z35" s="103"/>
    </row>
    <row r="36" spans="1:26" x14ac:dyDescent="0.2">
      <c r="A36" s="103"/>
      <c r="B36" s="103"/>
      <c r="C36" s="103"/>
      <c r="D36" s="103"/>
      <c r="E36" s="311">
        <f t="shared" si="1"/>
        <v>2050</v>
      </c>
      <c r="F36" s="55"/>
      <c r="G36" s="192">
        <f t="shared" si="0"/>
        <v>0</v>
      </c>
      <c r="H36" s="193">
        <f>Maintenance!F36</f>
        <v>-1577303</v>
      </c>
      <c r="I36" s="194">
        <f>ROUND((G36+H36)*NPV!C35,0)</f>
        <v>-180982</v>
      </c>
      <c r="J36" s="103"/>
      <c r="K36" s="103"/>
      <c r="L36" s="103"/>
      <c r="M36" s="103"/>
      <c r="N36" s="103"/>
      <c r="O36" s="103"/>
      <c r="P36" s="103"/>
      <c r="Q36" s="103"/>
      <c r="R36" s="103"/>
      <c r="S36" s="103"/>
      <c r="T36" s="103"/>
      <c r="U36" s="103"/>
      <c r="V36" s="103"/>
      <c r="W36" s="103"/>
      <c r="X36" s="103"/>
      <c r="Y36" s="103"/>
      <c r="Z36" s="103"/>
    </row>
    <row r="37" spans="1:26" x14ac:dyDescent="0.2">
      <c r="A37" s="103"/>
      <c r="B37" s="103"/>
      <c r="C37" s="103"/>
      <c r="D37" s="103"/>
      <c r="E37" s="311">
        <f t="shared" si="1"/>
        <v>2051</v>
      </c>
      <c r="F37" s="55"/>
      <c r="G37" s="192">
        <f t="shared" ref="G37:G38" si="4">F37*$C$3</f>
        <v>0</v>
      </c>
      <c r="H37" s="193">
        <f>Maintenance!F37</f>
        <v>177497</v>
      </c>
      <c r="I37" s="194">
        <f>ROUND((G37+H37)*NPV!C36,0)</f>
        <v>19034</v>
      </c>
      <c r="J37" s="103"/>
      <c r="K37" s="103"/>
      <c r="L37" s="103"/>
      <c r="M37" s="103"/>
      <c r="N37" s="103"/>
      <c r="O37" s="103"/>
      <c r="P37" s="103"/>
      <c r="Q37" s="103"/>
      <c r="R37" s="103"/>
      <c r="S37" s="103"/>
      <c r="T37" s="103"/>
      <c r="U37" s="103"/>
      <c r="V37" s="103"/>
      <c r="W37" s="103"/>
      <c r="X37" s="103"/>
      <c r="Y37" s="103"/>
      <c r="Z37" s="103"/>
    </row>
    <row r="38" spans="1:26" x14ac:dyDescent="0.2">
      <c r="A38" s="103"/>
      <c r="B38" s="103"/>
      <c r="C38" s="103"/>
      <c r="D38" s="103"/>
      <c r="E38" s="311">
        <f t="shared" si="1"/>
        <v>2052</v>
      </c>
      <c r="F38" s="55"/>
      <c r="G38" s="192">
        <f t="shared" si="4"/>
        <v>0</v>
      </c>
      <c r="H38" s="193">
        <f>Maintenance!F38</f>
        <v>-292903</v>
      </c>
      <c r="I38" s="194">
        <f>ROUND((G38+H38)*NPV!C37,0)</f>
        <v>-29355</v>
      </c>
      <c r="J38" s="103"/>
      <c r="K38" s="103"/>
      <c r="L38" s="103"/>
      <c r="M38" s="103"/>
      <c r="N38" s="103"/>
      <c r="O38" s="103"/>
      <c r="P38" s="103"/>
      <c r="Q38" s="103"/>
      <c r="R38" s="103"/>
      <c r="S38" s="103"/>
      <c r="T38" s="103"/>
      <c r="U38" s="103"/>
      <c r="V38" s="103"/>
      <c r="W38" s="103"/>
      <c r="X38" s="103"/>
      <c r="Y38" s="103"/>
      <c r="Z38" s="103"/>
    </row>
    <row r="39" spans="1:26" x14ac:dyDescent="0.2">
      <c r="A39" s="103"/>
      <c r="B39" s="103"/>
      <c r="C39" s="103"/>
      <c r="D39" s="103"/>
      <c r="E39" s="311">
        <f t="shared" si="1"/>
        <v>2053</v>
      </c>
      <c r="F39" s="55"/>
      <c r="G39" s="192">
        <f t="shared" ref="G39:G41" si="5">F39*$C$3</f>
        <v>0</v>
      </c>
      <c r="H39" s="193">
        <f>Maintenance!F39</f>
        <v>177497</v>
      </c>
      <c r="I39" s="194">
        <f>ROUND((G39+H39)*NPV!C38,0)</f>
        <v>16625</v>
      </c>
      <c r="J39" s="103"/>
      <c r="K39" s="103"/>
      <c r="L39" s="103"/>
      <c r="M39" s="103"/>
      <c r="N39" s="103"/>
      <c r="O39" s="103"/>
      <c r="P39" s="103"/>
      <c r="Q39" s="103"/>
      <c r="R39" s="103"/>
      <c r="S39" s="103"/>
      <c r="T39" s="103"/>
      <c r="U39" s="103"/>
      <c r="V39" s="103"/>
      <c r="W39" s="103"/>
      <c r="X39" s="103"/>
      <c r="Y39" s="103"/>
      <c r="Z39" s="103"/>
    </row>
    <row r="40" spans="1:26" x14ac:dyDescent="0.2">
      <c r="A40" s="103"/>
      <c r="B40" s="103"/>
      <c r="C40" s="103"/>
      <c r="D40" s="103"/>
      <c r="E40" s="311">
        <f t="shared" si="1"/>
        <v>2054</v>
      </c>
      <c r="F40" s="55"/>
      <c r="G40" s="192">
        <f t="shared" si="5"/>
        <v>0</v>
      </c>
      <c r="H40" s="193">
        <f>Maintenance!F40</f>
        <v>9550297</v>
      </c>
      <c r="I40" s="194">
        <f>ROUND((G40+H40)*NPV!C39,0)</f>
        <v>835990</v>
      </c>
      <c r="J40" s="103"/>
      <c r="K40" s="103"/>
      <c r="L40" s="103"/>
      <c r="M40" s="103"/>
      <c r="N40" s="103"/>
      <c r="O40" s="103"/>
      <c r="P40" s="103"/>
      <c r="Q40" s="103"/>
      <c r="R40" s="103"/>
      <c r="S40" s="103"/>
      <c r="T40" s="103"/>
      <c r="U40" s="103"/>
      <c r="V40" s="103"/>
      <c r="W40" s="103"/>
      <c r="X40" s="103"/>
      <c r="Y40" s="103"/>
      <c r="Z40" s="103"/>
    </row>
    <row r="41" spans="1:26" x14ac:dyDescent="0.2">
      <c r="A41" s="103"/>
      <c r="B41" s="103"/>
      <c r="C41" s="103"/>
      <c r="D41" s="103"/>
      <c r="E41" s="311">
        <f t="shared" si="1"/>
        <v>2055</v>
      </c>
      <c r="F41" s="55"/>
      <c r="G41" s="192">
        <f t="shared" si="5"/>
        <v>0</v>
      </c>
      <c r="H41" s="193">
        <f>Maintenance!F41</f>
        <v>-1185303</v>
      </c>
      <c r="I41" s="194">
        <f>ROUND((G41+H41)*NPV!C40,0)</f>
        <v>-96968</v>
      </c>
      <c r="J41" s="103"/>
      <c r="K41" s="103"/>
      <c r="L41" s="103"/>
      <c r="M41" s="103"/>
      <c r="N41" s="103"/>
      <c r="O41" s="103"/>
      <c r="P41" s="103"/>
      <c r="Q41" s="103"/>
      <c r="R41" s="103"/>
      <c r="S41" s="103"/>
      <c r="T41" s="103"/>
      <c r="U41" s="103"/>
      <c r="V41" s="103"/>
      <c r="W41" s="103"/>
      <c r="X41" s="103"/>
      <c r="Y41" s="103"/>
      <c r="Z41" s="103"/>
    </row>
    <row r="42" spans="1:26" ht="13.5" thickBot="1" x14ac:dyDescent="0.25">
      <c r="A42" s="103"/>
      <c r="B42" s="103"/>
      <c r="C42" s="103"/>
      <c r="D42" s="103"/>
      <c r="E42" s="312">
        <f>E41+1</f>
        <v>2056</v>
      </c>
      <c r="F42" s="79"/>
      <c r="G42" s="195">
        <f>-C4</f>
        <v>-97120000</v>
      </c>
      <c r="H42" s="196">
        <f>Maintenance!F42</f>
        <v>-2379903</v>
      </c>
      <c r="I42" s="195">
        <f>ROUND((G42+H42)*NPV!C39,0)</f>
        <v>-8709769</v>
      </c>
      <c r="J42" s="103"/>
      <c r="K42" s="103"/>
      <c r="L42" s="103"/>
      <c r="M42" s="103"/>
      <c r="N42" s="103"/>
      <c r="O42" s="103"/>
      <c r="P42" s="103"/>
      <c r="Q42" s="103"/>
      <c r="R42" s="103"/>
      <c r="S42" s="103"/>
      <c r="T42" s="103"/>
      <c r="U42" s="103"/>
      <c r="V42" s="103"/>
      <c r="W42" s="103"/>
      <c r="X42" s="103"/>
      <c r="Y42" s="103"/>
      <c r="Z42" s="103"/>
    </row>
    <row r="43" spans="1:26" ht="13.5" thickTop="1" x14ac:dyDescent="0.2">
      <c r="A43" s="103"/>
      <c r="B43" s="103"/>
      <c r="C43" s="103"/>
      <c r="D43" s="103"/>
      <c r="E43" s="313" t="s">
        <v>0</v>
      </c>
      <c r="F43" s="59">
        <f>SUM(F5:F42)</f>
        <v>0.99999999999999989</v>
      </c>
      <c r="G43" s="197">
        <f>SUM(G5:G42)</f>
        <v>145679999.99999997</v>
      </c>
      <c r="H43" s="198">
        <f>SUM(H5:H42)</f>
        <v>-8300070</v>
      </c>
      <c r="I43" s="197">
        <f>SUM(I5:I42)</f>
        <v>155500542</v>
      </c>
      <c r="J43" s="103"/>
      <c r="K43" s="103"/>
      <c r="L43" s="103"/>
      <c r="M43" s="103"/>
      <c r="N43" s="103"/>
      <c r="O43" s="103"/>
      <c r="P43" s="103"/>
      <c r="Q43" s="103"/>
      <c r="R43" s="103"/>
      <c r="S43" s="103"/>
      <c r="T43" s="103"/>
      <c r="U43" s="103"/>
      <c r="V43" s="103"/>
      <c r="W43" s="103"/>
      <c r="X43" s="103"/>
      <c r="Y43" s="103"/>
      <c r="Z43" s="103"/>
    </row>
    <row r="44" spans="1:26" x14ac:dyDescent="0.2">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row>
    <row r="45" spans="1:26" x14ac:dyDescent="0.2">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row>
    <row r="46" spans="1:26" x14ac:dyDescent="0.2">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row>
    <row r="47" spans="1:26" x14ac:dyDescent="0.2">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spans="1:26" x14ac:dyDescent="0.2">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spans="1:26" x14ac:dyDescent="0.2">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row>
    <row r="50" spans="1:26" x14ac:dyDescent="0.2">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row>
    <row r="51" spans="1:26" x14ac:dyDescent="0.2">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row>
    <row r="52" spans="1:26" x14ac:dyDescent="0.2">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row>
    <row r="53" spans="1:26" x14ac:dyDescent="0.2">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row>
    <row r="54" spans="1:26" x14ac:dyDescent="0.2">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row>
    <row r="55" spans="1:26" x14ac:dyDescent="0.2">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row>
    <row r="56" spans="1:26" x14ac:dyDescent="0.2">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row>
    <row r="57" spans="1:26" x14ac:dyDescent="0.2">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row>
    <row r="58" spans="1:26" x14ac:dyDescent="0.2">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row>
    <row r="59" spans="1:26" x14ac:dyDescent="0.2">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row>
    <row r="60" spans="1:26" x14ac:dyDescent="0.2">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row>
    <row r="61" spans="1:26" x14ac:dyDescent="0.2">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row>
    <row r="62" spans="1:26" x14ac:dyDescent="0.2">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row>
    <row r="63" spans="1:26" x14ac:dyDescent="0.2">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row>
    <row r="64" spans="1:26" x14ac:dyDescent="0.2">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row>
    <row r="65" spans="1:26" x14ac:dyDescent="0.2">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row>
    <row r="66" spans="1:26" x14ac:dyDescent="0.2">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row>
    <row r="67" spans="1:26" x14ac:dyDescent="0.2">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row>
    <row r="68" spans="1:26" x14ac:dyDescent="0.2">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row>
    <row r="69" spans="1:26" x14ac:dyDescent="0.2">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row>
    <row r="70" spans="1:26" x14ac:dyDescent="0.2">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row>
    <row r="71" spans="1:26" x14ac:dyDescent="0.2">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row>
    <row r="72" spans="1:26" x14ac:dyDescent="0.2">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row>
    <row r="73" spans="1:26" x14ac:dyDescent="0.2">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row>
    <row r="74" spans="1:26" x14ac:dyDescent="0.2">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row>
    <row r="75" spans="1:26" x14ac:dyDescent="0.2">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row>
    <row r="76" spans="1:26" x14ac:dyDescent="0.2">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row>
    <row r="77" spans="1:26" x14ac:dyDescent="0.2">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row>
  </sheetData>
  <mergeCells count="4">
    <mergeCell ref="A3:B3"/>
    <mergeCell ref="A5:B5"/>
    <mergeCell ref="A4:B4"/>
    <mergeCell ref="E3:I3"/>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4499-5B98-475D-A8C2-A2102FBEED6C}">
  <sheetPr>
    <tabColor theme="6"/>
    <pageSetUpPr fitToPage="1"/>
  </sheetPr>
  <dimension ref="A1:AZ302"/>
  <sheetViews>
    <sheetView zoomScale="70" zoomScaleNormal="70" workbookViewId="0">
      <selection activeCell="H43" sqref="H43"/>
    </sheetView>
  </sheetViews>
  <sheetFormatPr defaultRowHeight="12.75" x14ac:dyDescent="0.2"/>
  <cols>
    <col min="1" max="1" width="54.28515625" customWidth="1"/>
    <col min="2" max="2" width="13" customWidth="1"/>
    <col min="3" max="3" width="12.7109375" customWidth="1"/>
    <col min="4" max="4" width="13" customWidth="1"/>
    <col min="5" max="5" width="15.42578125" customWidth="1"/>
    <col min="6" max="6" width="14.28515625" customWidth="1"/>
    <col min="7" max="7" width="14.140625" customWidth="1"/>
    <col min="8" max="8" width="40.42578125" bestFit="1" customWidth="1"/>
    <col min="9" max="9" width="11.7109375" customWidth="1"/>
    <col min="10" max="10" width="14.85546875" bestFit="1" customWidth="1"/>
    <col min="11" max="11" width="16.7109375" bestFit="1" customWidth="1"/>
    <col min="12" max="12" width="12.7109375" customWidth="1"/>
    <col min="13" max="13" width="18" customWidth="1"/>
    <col min="14" max="14" width="22.28515625" customWidth="1"/>
  </cols>
  <sheetData>
    <row r="1" spans="1:52" ht="20.25" x14ac:dyDescent="0.3">
      <c r="A1" s="352" t="s">
        <v>279</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row>
    <row r="2" spans="1:52" ht="10.9" customHeight="1" x14ac:dyDescent="0.3">
      <c r="A2" s="144"/>
      <c r="B2" s="144"/>
      <c r="C2" s="144"/>
      <c r="D2" s="103"/>
      <c r="E2" s="103"/>
      <c r="F2" s="103"/>
      <c r="G2" s="103"/>
      <c r="H2" s="103"/>
      <c r="I2" s="103"/>
      <c r="J2" s="181"/>
      <c r="K2" s="181"/>
      <c r="L2" s="182"/>
      <c r="M2" s="182"/>
      <c r="N2" s="182"/>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row>
    <row r="3" spans="1:52" x14ac:dyDescent="0.2">
      <c r="A3" s="380" t="s">
        <v>240</v>
      </c>
      <c r="B3" s="381"/>
      <c r="C3" s="381"/>
      <c r="D3" s="381"/>
      <c r="E3" s="381"/>
      <c r="F3" s="396"/>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row>
    <row r="4" spans="1:52" ht="43.9" customHeight="1" thickBot="1" x14ac:dyDescent="0.25">
      <c r="A4" s="101" t="s">
        <v>1</v>
      </c>
      <c r="B4" s="101" t="s">
        <v>241</v>
      </c>
      <c r="C4" s="101" t="s">
        <v>260</v>
      </c>
      <c r="D4" s="101" t="s">
        <v>242</v>
      </c>
      <c r="E4" s="101" t="s">
        <v>261</v>
      </c>
      <c r="F4" s="101" t="s">
        <v>86</v>
      </c>
      <c r="G4" s="191"/>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row>
    <row r="5" spans="1:52" ht="13.5" thickTop="1" x14ac:dyDescent="0.2">
      <c r="A5" s="311">
        <v>2019</v>
      </c>
      <c r="B5" s="199">
        <f t="shared" ref="B5:B38" si="0">($F$54*$B$54)</f>
        <v>181684</v>
      </c>
      <c r="C5" s="200">
        <v>0</v>
      </c>
      <c r="D5" s="201"/>
      <c r="E5" s="202"/>
      <c r="F5" s="2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row>
    <row r="6" spans="1:52" x14ac:dyDescent="0.2">
      <c r="A6" s="311">
        <f>A5+1</f>
        <v>2020</v>
      </c>
      <c r="B6" s="199">
        <f t="shared" si="0"/>
        <v>181684</v>
      </c>
      <c r="C6" s="200">
        <f>($F$51*$B$51)+($F$52*$B$52)</f>
        <v>1362800</v>
      </c>
      <c r="D6" s="201"/>
      <c r="E6" s="202"/>
      <c r="F6" s="2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row>
    <row r="7" spans="1:52" x14ac:dyDescent="0.2">
      <c r="A7" s="311">
        <f t="shared" ref="A7:A41" si="1">A6+1</f>
        <v>2021</v>
      </c>
      <c r="B7" s="199">
        <f t="shared" si="0"/>
        <v>181684</v>
      </c>
      <c r="C7" s="200">
        <f>$F$49*$B$49</f>
        <v>2557400</v>
      </c>
      <c r="D7" s="201"/>
      <c r="E7" s="202"/>
      <c r="F7" s="2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row>
    <row r="8" spans="1:52" x14ac:dyDescent="0.2">
      <c r="A8" s="311">
        <f t="shared" si="1"/>
        <v>2022</v>
      </c>
      <c r="B8" s="199">
        <f t="shared" si="0"/>
        <v>181684</v>
      </c>
      <c r="C8" s="200">
        <f>($F$48*$B$48)+($F$53*$B$53)</f>
        <v>1754800</v>
      </c>
      <c r="D8" s="201"/>
      <c r="E8" s="202"/>
      <c r="F8" s="2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row>
    <row r="9" spans="1:52" x14ac:dyDescent="0.2">
      <c r="A9" s="311">
        <f t="shared" si="1"/>
        <v>2023</v>
      </c>
      <c r="B9" s="199">
        <f t="shared" si="0"/>
        <v>181684</v>
      </c>
      <c r="C9" s="200">
        <v>0</v>
      </c>
      <c r="D9" s="201"/>
      <c r="E9" s="202"/>
      <c r="F9" s="2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row>
    <row r="10" spans="1:52" x14ac:dyDescent="0.2">
      <c r="A10" s="311">
        <f t="shared" si="1"/>
        <v>2024</v>
      </c>
      <c r="B10" s="199">
        <f t="shared" si="0"/>
        <v>181684</v>
      </c>
      <c r="C10" s="200">
        <f>$F$50*$B$50</f>
        <v>470400</v>
      </c>
      <c r="D10" s="201"/>
      <c r="E10" s="202"/>
      <c r="F10" s="2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row>
    <row r="11" spans="1:52" x14ac:dyDescent="0.2">
      <c r="A11" s="311">
        <f t="shared" si="1"/>
        <v>2025</v>
      </c>
      <c r="B11" s="199">
        <f t="shared" si="0"/>
        <v>181684</v>
      </c>
      <c r="C11" s="200">
        <v>0</v>
      </c>
      <c r="D11" s="201"/>
      <c r="E11" s="202"/>
      <c r="F11" s="2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row>
    <row r="12" spans="1:52" ht="14.45" customHeight="1" x14ac:dyDescent="0.2">
      <c r="A12" s="311">
        <f t="shared" si="1"/>
        <v>2026</v>
      </c>
      <c r="B12" s="199">
        <f t="shared" si="0"/>
        <v>181684</v>
      </c>
      <c r="C12" s="200">
        <v>0</v>
      </c>
      <c r="D12" s="201"/>
      <c r="E12" s="202"/>
      <c r="F12" s="2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row>
    <row r="13" spans="1:52" x14ac:dyDescent="0.2">
      <c r="A13" s="311">
        <f t="shared" si="1"/>
        <v>2027</v>
      </c>
      <c r="B13" s="199">
        <f t="shared" si="0"/>
        <v>181684</v>
      </c>
      <c r="C13" s="200">
        <f>(F51*B51)+(F52*B52)</f>
        <v>1362800</v>
      </c>
      <c r="D13" s="201">
        <f>($B$62*$E$62)+B13</f>
        <v>359181</v>
      </c>
      <c r="E13" s="202">
        <f>$E$61*$B$61</f>
        <v>199080</v>
      </c>
      <c r="F13" s="203">
        <f>(D13+E13)-(B13+C13)</f>
        <v>-986223</v>
      </c>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row>
    <row r="14" spans="1:52" x14ac:dyDescent="0.2">
      <c r="A14" s="311">
        <f t="shared" si="1"/>
        <v>2028</v>
      </c>
      <c r="B14" s="199">
        <f t="shared" si="0"/>
        <v>181684</v>
      </c>
      <c r="C14" s="200">
        <f>F49*B49</f>
        <v>2557400</v>
      </c>
      <c r="D14" s="201">
        <f t="shared" ref="D14:D38" si="2">($B$62*$E$62)+B14</f>
        <v>359181</v>
      </c>
      <c r="E14" s="202">
        <v>0</v>
      </c>
      <c r="F14" s="203">
        <f t="shared" ref="F14:F42" si="3">(D14+E14)-(B14+C14)</f>
        <v>-2379903</v>
      </c>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row>
    <row r="15" spans="1:52" ht="14.45" customHeight="1" x14ac:dyDescent="0.2">
      <c r="A15" s="311">
        <f t="shared" si="1"/>
        <v>2029</v>
      </c>
      <c r="B15" s="199">
        <f t="shared" si="0"/>
        <v>181684</v>
      </c>
      <c r="C15" s="200">
        <f>(F48*B48)+(F53*B53)</f>
        <v>1754800</v>
      </c>
      <c r="D15" s="201">
        <f t="shared" si="2"/>
        <v>359181</v>
      </c>
      <c r="E15" s="202">
        <v>0</v>
      </c>
      <c r="F15" s="203">
        <f t="shared" si="3"/>
        <v>-1577303</v>
      </c>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row>
    <row r="16" spans="1:52" x14ac:dyDescent="0.2">
      <c r="A16" s="311">
        <f t="shared" si="1"/>
        <v>2030</v>
      </c>
      <c r="B16" s="199">
        <f t="shared" si="0"/>
        <v>181684</v>
      </c>
      <c r="C16" s="200">
        <v>0</v>
      </c>
      <c r="D16" s="201">
        <f t="shared" si="2"/>
        <v>359181</v>
      </c>
      <c r="E16" s="202">
        <v>0</v>
      </c>
      <c r="F16" s="203">
        <f t="shared" si="3"/>
        <v>177497</v>
      </c>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52" x14ac:dyDescent="0.2">
      <c r="A17" s="311">
        <f t="shared" si="1"/>
        <v>2031</v>
      </c>
      <c r="B17" s="199">
        <f t="shared" si="0"/>
        <v>181684</v>
      </c>
      <c r="C17" s="200">
        <f>F50*B50</f>
        <v>470400</v>
      </c>
      <c r="D17" s="201">
        <f t="shared" si="2"/>
        <v>359181</v>
      </c>
      <c r="E17" s="202">
        <v>0</v>
      </c>
      <c r="F17" s="203">
        <f t="shared" si="3"/>
        <v>-292903</v>
      </c>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row>
    <row r="18" spans="1:52" x14ac:dyDescent="0.2">
      <c r="A18" s="311">
        <f t="shared" si="1"/>
        <v>2032</v>
      </c>
      <c r="B18" s="199">
        <f t="shared" si="0"/>
        <v>181684</v>
      </c>
      <c r="C18" s="200">
        <v>0</v>
      </c>
      <c r="D18" s="201">
        <f t="shared" si="2"/>
        <v>359181</v>
      </c>
      <c r="E18" s="202">
        <v>0</v>
      </c>
      <c r="F18" s="203">
        <f t="shared" si="3"/>
        <v>177497</v>
      </c>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2" x14ac:dyDescent="0.2">
      <c r="A19" s="311">
        <f t="shared" si="1"/>
        <v>2033</v>
      </c>
      <c r="B19" s="199">
        <f t="shared" si="0"/>
        <v>181684</v>
      </c>
      <c r="C19" s="200">
        <v>0</v>
      </c>
      <c r="D19" s="201">
        <f t="shared" si="2"/>
        <v>359181</v>
      </c>
      <c r="E19" s="202">
        <f>$E$59*$B$59</f>
        <v>4686400</v>
      </c>
      <c r="F19" s="203">
        <f t="shared" si="3"/>
        <v>4863897</v>
      </c>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2" x14ac:dyDescent="0.2">
      <c r="A20" s="311">
        <f t="shared" si="1"/>
        <v>2034</v>
      </c>
      <c r="B20" s="199">
        <f t="shared" si="0"/>
        <v>181684</v>
      </c>
      <c r="C20" s="200">
        <f>($G$51*$B$51)+($G$52*$B$52)</f>
        <v>2854120</v>
      </c>
      <c r="D20" s="201">
        <f t="shared" si="2"/>
        <v>359181</v>
      </c>
      <c r="E20" s="202">
        <v>0</v>
      </c>
      <c r="F20" s="203">
        <f t="shared" si="3"/>
        <v>-2676623</v>
      </c>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2" ht="16.5" x14ac:dyDescent="0.3">
      <c r="A21" s="311">
        <f t="shared" si="1"/>
        <v>2035</v>
      </c>
      <c r="B21" s="199">
        <f t="shared" si="0"/>
        <v>181684</v>
      </c>
      <c r="C21" s="200">
        <f>$G$49*$B$49</f>
        <v>7174180</v>
      </c>
      <c r="D21" s="201">
        <f t="shared" si="2"/>
        <v>359181</v>
      </c>
      <c r="E21" s="202">
        <v>0</v>
      </c>
      <c r="F21" s="203">
        <f t="shared" si="3"/>
        <v>-6996683</v>
      </c>
      <c r="G21" s="103"/>
      <c r="H21" s="103"/>
      <c r="I21" s="103"/>
      <c r="J21" s="103"/>
      <c r="K21" s="103"/>
      <c r="L21" s="18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2" ht="16.5" x14ac:dyDescent="0.3">
      <c r="A22" s="311">
        <f t="shared" si="1"/>
        <v>2036</v>
      </c>
      <c r="B22" s="199">
        <f t="shared" si="0"/>
        <v>181684</v>
      </c>
      <c r="C22" s="200">
        <f>($G$48*$B$48)+($G$53*$B$53)</f>
        <v>4690760</v>
      </c>
      <c r="D22" s="201">
        <f t="shared" si="2"/>
        <v>359181</v>
      </c>
      <c r="E22" s="202">
        <v>0</v>
      </c>
      <c r="F22" s="203">
        <f t="shared" si="3"/>
        <v>-4513263</v>
      </c>
      <c r="G22" s="103"/>
      <c r="H22" s="103"/>
      <c r="I22" s="103"/>
      <c r="J22" s="103"/>
      <c r="K22" s="103"/>
      <c r="L22" s="18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2" ht="16.5" x14ac:dyDescent="0.3">
      <c r="A23" s="311">
        <f t="shared" si="1"/>
        <v>2037</v>
      </c>
      <c r="B23" s="199">
        <f t="shared" si="0"/>
        <v>181684</v>
      </c>
      <c r="C23" s="200">
        <v>0</v>
      </c>
      <c r="D23" s="201">
        <f t="shared" si="2"/>
        <v>359181</v>
      </c>
      <c r="E23" s="202">
        <v>0</v>
      </c>
      <c r="F23" s="203">
        <f t="shared" si="3"/>
        <v>177497</v>
      </c>
      <c r="G23" s="103"/>
      <c r="H23" s="103"/>
      <c r="I23" s="103"/>
      <c r="J23" s="103"/>
      <c r="K23" s="103"/>
      <c r="L23" s="18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2" ht="16.5" x14ac:dyDescent="0.3">
      <c r="A24" s="311">
        <f t="shared" si="1"/>
        <v>2038</v>
      </c>
      <c r="B24" s="199">
        <f t="shared" si="0"/>
        <v>181684</v>
      </c>
      <c r="C24" s="200">
        <f>$G$50*$B$50</f>
        <v>940800</v>
      </c>
      <c r="D24" s="201">
        <f t="shared" si="2"/>
        <v>359181</v>
      </c>
      <c r="E24" s="202">
        <v>0</v>
      </c>
      <c r="F24" s="203">
        <f t="shared" si="3"/>
        <v>-763303</v>
      </c>
      <c r="G24" s="103"/>
      <c r="H24" s="103"/>
      <c r="I24" s="103"/>
      <c r="J24" s="103"/>
      <c r="K24" s="103"/>
      <c r="L24" s="18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2" ht="16.5" x14ac:dyDescent="0.3">
      <c r="A25" s="311">
        <f t="shared" si="1"/>
        <v>2039</v>
      </c>
      <c r="B25" s="199">
        <f t="shared" si="0"/>
        <v>181684</v>
      </c>
      <c r="C25" s="200">
        <v>0</v>
      </c>
      <c r="D25" s="201">
        <f t="shared" si="2"/>
        <v>359181</v>
      </c>
      <c r="E25" s="202">
        <v>0</v>
      </c>
      <c r="F25" s="203">
        <f>(D25+E25)-(B25+C25)</f>
        <v>177497</v>
      </c>
      <c r="G25" s="103"/>
      <c r="H25" s="103"/>
      <c r="I25" s="103"/>
      <c r="J25" s="103"/>
      <c r="K25" s="103"/>
      <c r="L25" s="18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2" ht="16.5" x14ac:dyDescent="0.3">
      <c r="A26" s="311">
        <f t="shared" si="1"/>
        <v>2040</v>
      </c>
      <c r="B26" s="199">
        <f t="shared" si="0"/>
        <v>181684</v>
      </c>
      <c r="C26" s="200">
        <v>0</v>
      </c>
      <c r="D26" s="201">
        <f t="shared" si="2"/>
        <v>359181</v>
      </c>
      <c r="E26" s="202">
        <f>$E$59*$B$59</f>
        <v>4686400</v>
      </c>
      <c r="F26" s="203">
        <f t="shared" si="3"/>
        <v>4863897</v>
      </c>
      <c r="G26" s="103"/>
      <c r="H26" s="103"/>
      <c r="I26" s="103"/>
      <c r="J26" s="103"/>
      <c r="K26" s="103"/>
      <c r="L26" s="18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2" ht="16.5" x14ac:dyDescent="0.3">
      <c r="A27" s="311">
        <f t="shared" si="1"/>
        <v>2041</v>
      </c>
      <c r="B27" s="199">
        <f t="shared" si="0"/>
        <v>181684</v>
      </c>
      <c r="C27" s="200">
        <f>($F$51*$B$51)+($F$52*$B$52)</f>
        <v>1362800</v>
      </c>
      <c r="D27" s="201">
        <f t="shared" si="2"/>
        <v>359181</v>
      </c>
      <c r="E27" s="202">
        <v>0</v>
      </c>
      <c r="F27" s="203">
        <f t="shared" si="3"/>
        <v>-1185303</v>
      </c>
      <c r="G27" s="103"/>
      <c r="H27" s="103"/>
      <c r="I27" s="103"/>
      <c r="J27" s="103"/>
      <c r="K27" s="103"/>
      <c r="L27" s="18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2" ht="16.5" x14ac:dyDescent="0.3">
      <c r="A28" s="311">
        <f t="shared" si="1"/>
        <v>2042</v>
      </c>
      <c r="B28" s="199">
        <f t="shared" si="0"/>
        <v>181684</v>
      </c>
      <c r="C28" s="200">
        <f>$F$49*$B$49</f>
        <v>2557400</v>
      </c>
      <c r="D28" s="201">
        <f t="shared" si="2"/>
        <v>359181</v>
      </c>
      <c r="E28" s="202">
        <v>0</v>
      </c>
      <c r="F28" s="203">
        <f t="shared" si="3"/>
        <v>-2379903</v>
      </c>
      <c r="G28" s="103"/>
      <c r="H28" s="103"/>
      <c r="I28" s="103"/>
      <c r="J28" s="103"/>
      <c r="K28" s="103"/>
      <c r="L28" s="18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2" x14ac:dyDescent="0.2">
      <c r="A29" s="311">
        <f t="shared" si="1"/>
        <v>2043</v>
      </c>
      <c r="B29" s="199">
        <f t="shared" si="0"/>
        <v>181684</v>
      </c>
      <c r="C29" s="200">
        <f>($F$48*$B$48)+($F$53*$B$53)</f>
        <v>1754800</v>
      </c>
      <c r="D29" s="201">
        <f t="shared" si="2"/>
        <v>359181</v>
      </c>
      <c r="E29" s="202">
        <v>0</v>
      </c>
      <c r="F29" s="203">
        <f t="shared" si="3"/>
        <v>-1577303</v>
      </c>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2" x14ac:dyDescent="0.2">
      <c r="A30" s="311">
        <f t="shared" si="1"/>
        <v>2044</v>
      </c>
      <c r="B30" s="199">
        <f t="shared" si="0"/>
        <v>181684</v>
      </c>
      <c r="C30" s="200">
        <v>0</v>
      </c>
      <c r="D30" s="201">
        <f t="shared" si="2"/>
        <v>359181</v>
      </c>
      <c r="E30" s="202">
        <v>0</v>
      </c>
      <c r="F30" s="203">
        <f t="shared" si="3"/>
        <v>177497</v>
      </c>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x14ac:dyDescent="0.2">
      <c r="A31" s="311">
        <f t="shared" si="1"/>
        <v>2045</v>
      </c>
      <c r="B31" s="199">
        <f t="shared" si="0"/>
        <v>181684</v>
      </c>
      <c r="C31" s="200">
        <f>$F$50*$B$50</f>
        <v>470400</v>
      </c>
      <c r="D31" s="201">
        <f t="shared" si="2"/>
        <v>359181</v>
      </c>
      <c r="E31" s="202">
        <v>0</v>
      </c>
      <c r="F31" s="203">
        <f t="shared" si="3"/>
        <v>-292903</v>
      </c>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x14ac:dyDescent="0.2">
      <c r="A32" s="311">
        <f t="shared" si="1"/>
        <v>2046</v>
      </c>
      <c r="B32" s="199">
        <f t="shared" si="0"/>
        <v>181684</v>
      </c>
      <c r="C32" s="200">
        <v>0</v>
      </c>
      <c r="D32" s="201">
        <f t="shared" si="2"/>
        <v>359181</v>
      </c>
      <c r="E32" s="202">
        <v>0</v>
      </c>
      <c r="F32" s="203">
        <f t="shared" si="3"/>
        <v>177497</v>
      </c>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2" x14ac:dyDescent="0.2">
      <c r="A33" s="311">
        <f t="shared" si="1"/>
        <v>2047</v>
      </c>
      <c r="B33" s="199">
        <f t="shared" si="0"/>
        <v>181684</v>
      </c>
      <c r="C33" s="200">
        <v>0</v>
      </c>
      <c r="D33" s="201">
        <f t="shared" si="2"/>
        <v>359181</v>
      </c>
      <c r="E33" s="202">
        <f>($E$60*$B$60)+($E$59*$B$59)</f>
        <v>5446600</v>
      </c>
      <c r="F33" s="203">
        <f t="shared" si="3"/>
        <v>5624097</v>
      </c>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row>
    <row r="34" spans="1:52" x14ac:dyDescent="0.2">
      <c r="A34" s="311">
        <f t="shared" si="1"/>
        <v>2048</v>
      </c>
      <c r="B34" s="199">
        <f t="shared" si="0"/>
        <v>181684</v>
      </c>
      <c r="C34" s="200">
        <f>($F$51*$B$51)+($F$52*$B$52)</f>
        <v>1362800</v>
      </c>
      <c r="D34" s="201">
        <f t="shared" si="2"/>
        <v>359181</v>
      </c>
      <c r="E34" s="202">
        <v>0</v>
      </c>
      <c r="F34" s="203">
        <f t="shared" si="3"/>
        <v>-1185303</v>
      </c>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row>
    <row r="35" spans="1:52" x14ac:dyDescent="0.2">
      <c r="A35" s="311">
        <f t="shared" si="1"/>
        <v>2049</v>
      </c>
      <c r="B35" s="199">
        <f t="shared" si="0"/>
        <v>181684</v>
      </c>
      <c r="C35" s="200">
        <f>$F$49*$B$49</f>
        <v>2557400</v>
      </c>
      <c r="D35" s="201">
        <f t="shared" si="2"/>
        <v>359181</v>
      </c>
      <c r="E35" s="202">
        <v>0</v>
      </c>
      <c r="F35" s="203">
        <f t="shared" si="3"/>
        <v>-2379903</v>
      </c>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row>
    <row r="36" spans="1:52" x14ac:dyDescent="0.2">
      <c r="A36" s="311">
        <f t="shared" si="1"/>
        <v>2050</v>
      </c>
      <c r="B36" s="199">
        <f t="shared" si="0"/>
        <v>181684</v>
      </c>
      <c r="C36" s="200">
        <f>($F$48*$B$48)+($F$53*$B$53)</f>
        <v>1754800</v>
      </c>
      <c r="D36" s="201">
        <f t="shared" si="2"/>
        <v>359181</v>
      </c>
      <c r="E36" s="202">
        <v>0</v>
      </c>
      <c r="F36" s="203">
        <f t="shared" si="3"/>
        <v>-1577303</v>
      </c>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row>
    <row r="37" spans="1:52" x14ac:dyDescent="0.2">
      <c r="A37" s="311">
        <f t="shared" si="1"/>
        <v>2051</v>
      </c>
      <c r="B37" s="199">
        <f t="shared" si="0"/>
        <v>181684</v>
      </c>
      <c r="C37" s="200">
        <v>0</v>
      </c>
      <c r="D37" s="201">
        <f t="shared" si="2"/>
        <v>359181</v>
      </c>
      <c r="E37" s="202">
        <v>0</v>
      </c>
      <c r="F37" s="203">
        <f t="shared" si="3"/>
        <v>177497</v>
      </c>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row>
    <row r="38" spans="1:52" x14ac:dyDescent="0.2">
      <c r="A38" s="311">
        <f t="shared" si="1"/>
        <v>2052</v>
      </c>
      <c r="B38" s="199">
        <f t="shared" si="0"/>
        <v>181684</v>
      </c>
      <c r="C38" s="200">
        <f>$F$50*$B$50</f>
        <v>470400</v>
      </c>
      <c r="D38" s="201">
        <f t="shared" si="2"/>
        <v>359181</v>
      </c>
      <c r="E38" s="202">
        <v>0</v>
      </c>
      <c r="F38" s="203">
        <f t="shared" si="3"/>
        <v>-292903</v>
      </c>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2" x14ac:dyDescent="0.2">
      <c r="A39" s="311">
        <f t="shared" si="1"/>
        <v>2053</v>
      </c>
      <c r="B39" s="199">
        <f t="shared" ref="B39:B41" si="4">($F$54*$B$54)</f>
        <v>181684</v>
      </c>
      <c r="C39" s="200">
        <v>0</v>
      </c>
      <c r="D39" s="201">
        <f t="shared" ref="D39:D41" si="5">($B$62*$E$62)+B39</f>
        <v>359181</v>
      </c>
      <c r="E39" s="202">
        <v>0</v>
      </c>
      <c r="F39" s="203">
        <f t="shared" ref="F39:F41" si="6">(D39+E39)-(B39+C39)</f>
        <v>177497</v>
      </c>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row>
    <row r="40" spans="1:52" x14ac:dyDescent="0.2">
      <c r="A40" s="311">
        <f t="shared" si="1"/>
        <v>2054</v>
      </c>
      <c r="B40" s="199">
        <f t="shared" si="4"/>
        <v>181684</v>
      </c>
      <c r="C40" s="200">
        <v>0</v>
      </c>
      <c r="D40" s="201">
        <f t="shared" si="5"/>
        <v>359181</v>
      </c>
      <c r="E40" s="202">
        <f>$F$59*$B$59</f>
        <v>9372800</v>
      </c>
      <c r="F40" s="203">
        <f t="shared" si="6"/>
        <v>9550297</v>
      </c>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row>
    <row r="41" spans="1:52" x14ac:dyDescent="0.2">
      <c r="A41" s="311">
        <f t="shared" si="1"/>
        <v>2055</v>
      </c>
      <c r="B41" s="199">
        <f t="shared" si="4"/>
        <v>181684</v>
      </c>
      <c r="C41" s="200">
        <f>($F$51*$B$51)+($F$52*$B$52)</f>
        <v>1362800</v>
      </c>
      <c r="D41" s="201">
        <f t="shared" si="5"/>
        <v>359181</v>
      </c>
      <c r="E41" s="202">
        <f t="shared" ref="E41:E42" si="7">F62*B62</f>
        <v>0</v>
      </c>
      <c r="F41" s="203">
        <f t="shared" si="6"/>
        <v>-1185303</v>
      </c>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2" ht="13.5" thickBot="1" x14ac:dyDescent="0.25">
      <c r="A42" s="312">
        <f>A41+1</f>
        <v>2056</v>
      </c>
      <c r="B42" s="204">
        <f>($F$54*$B$54)</f>
        <v>181684</v>
      </c>
      <c r="C42" s="205">
        <f>$F$49*$B$49</f>
        <v>2557400</v>
      </c>
      <c r="D42" s="206">
        <f>($B$62*$E$62)+B42</f>
        <v>359181</v>
      </c>
      <c r="E42" s="207">
        <f t="shared" si="7"/>
        <v>0</v>
      </c>
      <c r="F42" s="206">
        <f t="shared" si="3"/>
        <v>-2379903</v>
      </c>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ht="13.5" thickTop="1" x14ac:dyDescent="0.2">
      <c r="A43" s="313" t="s">
        <v>0</v>
      </c>
      <c r="B43" s="208">
        <f>SUM(B5:B42)</f>
        <v>6903992</v>
      </c>
      <c r="C43" s="209">
        <f>SUM(C5:C42)</f>
        <v>44161660</v>
      </c>
      <c r="D43" s="208">
        <f>SUM(D5:D42)</f>
        <v>10775430</v>
      </c>
      <c r="E43" s="209">
        <f>SUM(E5:E42)</f>
        <v>24391280</v>
      </c>
      <c r="F43" s="208">
        <f>SUM(F5:F42)</f>
        <v>-8300070</v>
      </c>
      <c r="G43" s="103"/>
      <c r="H43" s="364"/>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x14ac:dyDescent="0.2">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x14ac:dyDescent="0.2">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x14ac:dyDescent="0.2">
      <c r="A46" s="397" t="s">
        <v>252</v>
      </c>
      <c r="B46" s="398"/>
      <c r="C46" s="398"/>
      <c r="D46" s="398"/>
      <c r="E46" s="398"/>
      <c r="F46" s="398"/>
      <c r="G46" s="399"/>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ht="38.25" x14ac:dyDescent="0.2">
      <c r="A47" s="102" t="s">
        <v>243</v>
      </c>
      <c r="B47" s="102" t="s">
        <v>244</v>
      </c>
      <c r="C47" s="102" t="s">
        <v>250</v>
      </c>
      <c r="D47" s="102" t="s">
        <v>253</v>
      </c>
      <c r="E47" s="102" t="s">
        <v>254</v>
      </c>
      <c r="F47" s="102" t="s">
        <v>274</v>
      </c>
      <c r="G47" s="102" t="s">
        <v>277</v>
      </c>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314" t="s">
        <v>246</v>
      </c>
      <c r="B48" s="187">
        <v>7.72</v>
      </c>
      <c r="C48" s="188">
        <v>2036</v>
      </c>
      <c r="D48" s="188">
        <v>7</v>
      </c>
      <c r="E48" s="189"/>
      <c r="F48" s="68">
        <v>190000</v>
      </c>
      <c r="G48" s="68">
        <v>533000</v>
      </c>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2" x14ac:dyDescent="0.2">
      <c r="A49" s="314" t="s">
        <v>247</v>
      </c>
      <c r="B49" s="187">
        <v>13.46</v>
      </c>
      <c r="C49" s="188">
        <v>2035</v>
      </c>
      <c r="D49" s="188">
        <v>7</v>
      </c>
      <c r="E49" s="189"/>
      <c r="F49" s="68">
        <v>190000</v>
      </c>
      <c r="G49" s="68">
        <v>533000</v>
      </c>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2" x14ac:dyDescent="0.2">
      <c r="A50" s="314" t="s">
        <v>248</v>
      </c>
      <c r="B50" s="187">
        <v>2.94</v>
      </c>
      <c r="C50" s="189"/>
      <c r="D50" s="188">
        <v>7</v>
      </c>
      <c r="E50" s="188">
        <v>21</v>
      </c>
      <c r="F50" s="68">
        <v>160000</v>
      </c>
      <c r="G50" s="68">
        <v>320000</v>
      </c>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2" x14ac:dyDescent="0.2">
      <c r="A51" s="314" t="s">
        <v>251</v>
      </c>
      <c r="B51" s="187">
        <v>0.84</v>
      </c>
      <c r="C51" s="188">
        <v>2034</v>
      </c>
      <c r="D51" s="188">
        <v>7</v>
      </c>
      <c r="E51" s="189"/>
      <c r="F51" s="68">
        <v>190000</v>
      </c>
      <c r="G51" s="68">
        <v>533000</v>
      </c>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2" x14ac:dyDescent="0.2">
      <c r="A52" s="314" t="s">
        <v>248</v>
      </c>
      <c r="B52" s="187">
        <v>7.52</v>
      </c>
      <c r="C52" s="189"/>
      <c r="D52" s="188">
        <v>7</v>
      </c>
      <c r="E52" s="188">
        <v>21</v>
      </c>
      <c r="F52" s="68">
        <v>160000</v>
      </c>
      <c r="G52" s="68">
        <v>320000</v>
      </c>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2" x14ac:dyDescent="0.2">
      <c r="A53" s="314" t="s">
        <v>248</v>
      </c>
      <c r="B53" s="187">
        <v>1.8</v>
      </c>
      <c r="C53" s="189"/>
      <c r="D53" s="188">
        <v>7</v>
      </c>
      <c r="E53" s="188">
        <v>21</v>
      </c>
      <c r="F53" s="68">
        <v>160000</v>
      </c>
      <c r="G53" s="68">
        <v>320000</v>
      </c>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2" x14ac:dyDescent="0.2">
      <c r="A54" s="314" t="s">
        <v>249</v>
      </c>
      <c r="B54" s="187">
        <v>34.28</v>
      </c>
      <c r="C54" s="189"/>
      <c r="D54" s="188">
        <v>1</v>
      </c>
      <c r="E54" s="189"/>
      <c r="F54" s="68">
        <v>5300</v>
      </c>
      <c r="G54" s="190"/>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2" x14ac:dyDescent="0.2">
      <c r="A55" s="400" t="s">
        <v>119</v>
      </c>
      <c r="B55" s="401"/>
      <c r="C55" s="401"/>
      <c r="D55" s="401"/>
      <c r="E55" s="401"/>
      <c r="F55" s="401"/>
      <c r="G55" s="402"/>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2" ht="16.5" x14ac:dyDescent="0.3">
      <c r="A56" s="103"/>
      <c r="B56" s="103"/>
      <c r="C56" s="103"/>
      <c r="D56" s="103"/>
      <c r="E56" s="103"/>
      <c r="F56" s="103"/>
      <c r="G56" s="18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x14ac:dyDescent="0.2">
      <c r="A57" s="397" t="s">
        <v>255</v>
      </c>
      <c r="B57" s="398"/>
      <c r="C57" s="398"/>
      <c r="D57" s="398"/>
      <c r="E57" s="398"/>
      <c r="F57" s="399"/>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ht="25.5" x14ac:dyDescent="0.2">
      <c r="A58" s="177" t="s">
        <v>243</v>
      </c>
      <c r="B58" s="177" t="s">
        <v>244</v>
      </c>
      <c r="C58" s="177" t="s">
        <v>245</v>
      </c>
      <c r="D58" s="177" t="s">
        <v>254</v>
      </c>
      <c r="E58" s="229" t="s">
        <v>274</v>
      </c>
      <c r="F58" s="229" t="s">
        <v>276</v>
      </c>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x14ac:dyDescent="0.2">
      <c r="A59" s="314" t="s">
        <v>256</v>
      </c>
      <c r="B59" s="187">
        <v>29.29</v>
      </c>
      <c r="C59" s="188">
        <v>7</v>
      </c>
      <c r="D59" s="188">
        <v>21</v>
      </c>
      <c r="E59" s="68">
        <v>160000</v>
      </c>
      <c r="F59" s="68">
        <v>320000</v>
      </c>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x14ac:dyDescent="0.2">
      <c r="A60" s="314" t="s">
        <v>257</v>
      </c>
      <c r="B60" s="187">
        <v>4.2</v>
      </c>
      <c r="C60" s="188">
        <v>20</v>
      </c>
      <c r="D60" s="189"/>
      <c r="E60" s="68">
        <v>181000</v>
      </c>
      <c r="F60" s="190"/>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x14ac:dyDescent="0.2">
      <c r="A61" s="314" t="s">
        <v>258</v>
      </c>
      <c r="B61" s="187">
        <v>4.2</v>
      </c>
      <c r="C61" s="188" t="s">
        <v>259</v>
      </c>
      <c r="D61" s="189"/>
      <c r="E61" s="68">
        <v>47400</v>
      </c>
      <c r="F61" s="190"/>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x14ac:dyDescent="0.2">
      <c r="A62" s="314" t="s">
        <v>249</v>
      </c>
      <c r="B62" s="187">
        <v>33.49</v>
      </c>
      <c r="C62" s="188">
        <v>1</v>
      </c>
      <c r="D62" s="189"/>
      <c r="E62" s="68">
        <v>5300</v>
      </c>
      <c r="F62" s="190"/>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x14ac:dyDescent="0.2">
      <c r="A63" s="400" t="s">
        <v>119</v>
      </c>
      <c r="B63" s="401"/>
      <c r="C63" s="401"/>
      <c r="D63" s="401"/>
      <c r="E63" s="401"/>
      <c r="F63" s="402"/>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x14ac:dyDescent="0.2">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2" x14ac:dyDescent="0.2">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2" x14ac:dyDescent="0.2">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2" x14ac:dyDescent="0.2">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2" x14ac:dyDescent="0.2">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2" x14ac:dyDescent="0.2">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2" x14ac:dyDescent="0.2">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2" x14ac:dyDescent="0.2">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2" x14ac:dyDescent="0.2">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2" x14ac:dyDescent="0.2">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row>
    <row r="74" spans="1:52" x14ac:dyDescent="0.2">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row>
    <row r="75" spans="1:52" x14ac:dyDescent="0.2">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row>
    <row r="76" spans="1:52" x14ac:dyDescent="0.2">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row>
    <row r="77" spans="1:52" x14ac:dyDescent="0.2">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row>
    <row r="78" spans="1:52" x14ac:dyDescent="0.2">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row>
    <row r="79" spans="1:52" x14ac:dyDescent="0.2">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row>
    <row r="80" spans="1:52" x14ac:dyDescent="0.2">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row>
    <row r="81" spans="1:52" x14ac:dyDescent="0.2">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row>
    <row r="82" spans="1:52" x14ac:dyDescent="0.2">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row>
    <row r="83" spans="1:52" x14ac:dyDescent="0.2">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row>
    <row r="84" spans="1:52" x14ac:dyDescent="0.2">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row>
    <row r="85" spans="1:52" x14ac:dyDescent="0.2">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row>
    <row r="86" spans="1:52" x14ac:dyDescent="0.2">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row>
    <row r="87" spans="1:52" x14ac:dyDescent="0.2">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row>
    <row r="88" spans="1:52" x14ac:dyDescent="0.2">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row>
    <row r="89" spans="1:52" x14ac:dyDescent="0.2">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row>
    <row r="90" spans="1:52" x14ac:dyDescent="0.2">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row>
    <row r="91" spans="1:52" x14ac:dyDescent="0.2">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row>
    <row r="92" spans="1:52" x14ac:dyDescent="0.2">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row>
    <row r="93" spans="1:52" x14ac:dyDescent="0.2">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row>
    <row r="94" spans="1:52" x14ac:dyDescent="0.2">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row>
    <row r="95" spans="1:52" x14ac:dyDescent="0.2">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row>
    <row r="96" spans="1:52" x14ac:dyDescent="0.2">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row>
    <row r="97" spans="1:52" x14ac:dyDescent="0.2">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row>
    <row r="98" spans="1:52" x14ac:dyDescent="0.2">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row>
    <row r="99" spans="1:52" x14ac:dyDescent="0.2">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row>
    <row r="100" spans="1:52" x14ac:dyDescent="0.2">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row>
    <row r="101" spans="1:52" x14ac:dyDescent="0.2">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row>
    <row r="102" spans="1:52" x14ac:dyDescent="0.2">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row>
    <row r="103" spans="1:52" x14ac:dyDescent="0.2">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row>
    <row r="104" spans="1:52" x14ac:dyDescent="0.2">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row>
    <row r="105" spans="1:52" x14ac:dyDescent="0.2">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row>
    <row r="106" spans="1:52" x14ac:dyDescent="0.2">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row>
    <row r="107" spans="1:52" x14ac:dyDescent="0.2">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row>
    <row r="108" spans="1:52" x14ac:dyDescent="0.2">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row>
    <row r="109" spans="1:52" x14ac:dyDescent="0.2">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row>
    <row r="110" spans="1:52" x14ac:dyDescent="0.2">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row>
    <row r="111" spans="1:52" x14ac:dyDescent="0.2">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row>
    <row r="112" spans="1:52" x14ac:dyDescent="0.2">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row>
    <row r="113" spans="1:52" x14ac:dyDescent="0.2">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row>
    <row r="114" spans="1:52" x14ac:dyDescent="0.2">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row>
    <row r="115" spans="1:52" x14ac:dyDescent="0.2">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row>
    <row r="116" spans="1:52" x14ac:dyDescent="0.2">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row>
    <row r="117" spans="1:52" x14ac:dyDescent="0.2">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row>
    <row r="118" spans="1:52" x14ac:dyDescent="0.2">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row>
    <row r="119" spans="1:52" x14ac:dyDescent="0.2">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row>
    <row r="120" spans="1:52" x14ac:dyDescent="0.2">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row>
    <row r="121" spans="1:52" x14ac:dyDescent="0.2">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row>
    <row r="122" spans="1:52" x14ac:dyDescent="0.2">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row>
    <row r="123" spans="1:52" x14ac:dyDescent="0.2">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row>
    <row r="124" spans="1:52" x14ac:dyDescent="0.2">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row>
    <row r="125" spans="1:52" x14ac:dyDescent="0.2">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row>
    <row r="126" spans="1:52" x14ac:dyDescent="0.2">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row>
    <row r="127" spans="1:52" x14ac:dyDescent="0.2">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row>
    <row r="128" spans="1:52" x14ac:dyDescent="0.2">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row>
    <row r="129" spans="1:52" x14ac:dyDescent="0.2">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row>
    <row r="130" spans="1:52" x14ac:dyDescent="0.2">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row>
    <row r="131" spans="1:52" x14ac:dyDescent="0.2">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row>
    <row r="132" spans="1:52" x14ac:dyDescent="0.2">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row>
    <row r="133" spans="1:52" x14ac:dyDescent="0.2">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row>
    <row r="134" spans="1:52" x14ac:dyDescent="0.2">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row>
    <row r="135" spans="1:52" x14ac:dyDescent="0.2">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row>
    <row r="136" spans="1:52" x14ac:dyDescent="0.2">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row>
    <row r="137" spans="1:52" x14ac:dyDescent="0.2">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row>
    <row r="138" spans="1:52" x14ac:dyDescent="0.2">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row>
    <row r="139" spans="1:52" x14ac:dyDescent="0.2">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row>
    <row r="140" spans="1:52" x14ac:dyDescent="0.2">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row>
    <row r="141" spans="1:52" x14ac:dyDescent="0.2">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row>
    <row r="142" spans="1:52" x14ac:dyDescent="0.2">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row>
    <row r="143" spans="1:52" x14ac:dyDescent="0.2">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row>
    <row r="144" spans="1:52" x14ac:dyDescent="0.2">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row>
    <row r="145" spans="1:52" x14ac:dyDescent="0.2">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row>
    <row r="146" spans="1:52" x14ac:dyDescent="0.2">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row>
    <row r="147" spans="1:52" x14ac:dyDescent="0.2">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row>
    <row r="148" spans="1:52" x14ac:dyDescent="0.2">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row>
    <row r="149" spans="1:52" x14ac:dyDescent="0.2">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row>
    <row r="150" spans="1:52" x14ac:dyDescent="0.2">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row>
    <row r="151" spans="1:52" x14ac:dyDescent="0.2">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row>
    <row r="152" spans="1:52" x14ac:dyDescent="0.2">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row>
    <row r="153" spans="1:52" x14ac:dyDescent="0.2">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row>
    <row r="154" spans="1:52" x14ac:dyDescent="0.2">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row>
    <row r="155" spans="1:52" x14ac:dyDescent="0.2">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row>
    <row r="156" spans="1:52" x14ac:dyDescent="0.2">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row>
    <row r="157" spans="1:52" x14ac:dyDescent="0.2">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row>
    <row r="158" spans="1:52" x14ac:dyDescent="0.2">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row>
    <row r="159" spans="1:52" x14ac:dyDescent="0.2">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row>
    <row r="160" spans="1:52" x14ac:dyDescent="0.2">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row>
    <row r="161" spans="1:52" x14ac:dyDescent="0.2">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row>
    <row r="162" spans="1:52" x14ac:dyDescent="0.2">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row>
    <row r="163" spans="1:52" x14ac:dyDescent="0.2">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row>
    <row r="164" spans="1:52" x14ac:dyDescent="0.2">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row>
    <row r="165" spans="1:52" x14ac:dyDescent="0.2">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row>
    <row r="166" spans="1:52" x14ac:dyDescent="0.2">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row>
    <row r="167" spans="1:52" x14ac:dyDescent="0.2">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row>
    <row r="168" spans="1:52" x14ac:dyDescent="0.2">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row>
    <row r="169" spans="1:52" x14ac:dyDescent="0.2">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row>
    <row r="170" spans="1:52" x14ac:dyDescent="0.2">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c r="AY170" s="103"/>
      <c r="AZ170" s="103"/>
    </row>
    <row r="171" spans="1:52" x14ac:dyDescent="0.2">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row>
    <row r="172" spans="1:52" x14ac:dyDescent="0.2">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row>
    <row r="173" spans="1:52" x14ac:dyDescent="0.2">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c r="AY173" s="103"/>
      <c r="AZ173" s="103"/>
    </row>
    <row r="174" spans="1:52" x14ac:dyDescent="0.2">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row>
    <row r="175" spans="1:52" x14ac:dyDescent="0.2">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row>
    <row r="176" spans="1:52" x14ac:dyDescent="0.2">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c r="AS176" s="103"/>
      <c r="AT176" s="103"/>
      <c r="AU176" s="103"/>
      <c r="AV176" s="103"/>
      <c r="AW176" s="103"/>
      <c r="AX176" s="103"/>
      <c r="AY176" s="103"/>
      <c r="AZ176" s="103"/>
    </row>
    <row r="177" spans="1:52" x14ac:dyDescent="0.2">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row>
    <row r="178" spans="1:52" x14ac:dyDescent="0.2">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row>
    <row r="179" spans="1:52" x14ac:dyDescent="0.2">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row>
    <row r="180" spans="1:52" x14ac:dyDescent="0.2">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row>
    <row r="181" spans="1:52" x14ac:dyDescent="0.2">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row>
    <row r="182" spans="1:52" x14ac:dyDescent="0.2">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row>
    <row r="183" spans="1:52" x14ac:dyDescent="0.2">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row>
    <row r="184" spans="1:52" x14ac:dyDescent="0.2">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row>
    <row r="185" spans="1:52" x14ac:dyDescent="0.2">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c r="AY185" s="103"/>
      <c r="AZ185" s="103"/>
    </row>
    <row r="186" spans="1:52" x14ac:dyDescent="0.2">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3"/>
      <c r="AY186" s="103"/>
      <c r="AZ186" s="103"/>
    </row>
    <row r="187" spans="1:52" x14ac:dyDescent="0.2">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c r="AY187" s="103"/>
      <c r="AZ187" s="103"/>
    </row>
    <row r="188" spans="1:52" x14ac:dyDescent="0.2">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c r="AR188" s="103"/>
      <c r="AS188" s="103"/>
      <c r="AT188" s="103"/>
      <c r="AU188" s="103"/>
      <c r="AV188" s="103"/>
      <c r="AW188" s="103"/>
      <c r="AX188" s="103"/>
      <c r="AY188" s="103"/>
      <c r="AZ188" s="103"/>
    </row>
    <row r="189" spans="1:52" x14ac:dyDescent="0.2">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3"/>
      <c r="AV189" s="103"/>
      <c r="AW189" s="103"/>
      <c r="AX189" s="103"/>
      <c r="AY189" s="103"/>
      <c r="AZ189" s="103"/>
    </row>
    <row r="190" spans="1:52" x14ac:dyDescent="0.2">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c r="AY190" s="103"/>
      <c r="AZ190" s="103"/>
    </row>
    <row r="191" spans="1:52" x14ac:dyDescent="0.2">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c r="AQ191" s="103"/>
      <c r="AR191" s="103"/>
      <c r="AS191" s="103"/>
      <c r="AT191" s="103"/>
      <c r="AU191" s="103"/>
      <c r="AV191" s="103"/>
      <c r="AW191" s="103"/>
      <c r="AX191" s="103"/>
      <c r="AY191" s="103"/>
      <c r="AZ191" s="103"/>
    </row>
    <row r="192" spans="1:52" x14ac:dyDescent="0.2">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c r="AR192" s="103"/>
      <c r="AS192" s="103"/>
      <c r="AT192" s="103"/>
      <c r="AU192" s="103"/>
      <c r="AV192" s="103"/>
      <c r="AW192" s="103"/>
      <c r="AX192" s="103"/>
      <c r="AY192" s="103"/>
      <c r="AZ192" s="103"/>
    </row>
    <row r="193" spans="1:52" x14ac:dyDescent="0.2">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c r="AS193" s="103"/>
      <c r="AT193" s="103"/>
      <c r="AU193" s="103"/>
      <c r="AV193" s="103"/>
      <c r="AW193" s="103"/>
      <c r="AX193" s="103"/>
      <c r="AY193" s="103"/>
      <c r="AZ193" s="103"/>
    </row>
    <row r="194" spans="1:52" x14ac:dyDescent="0.2">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c r="AR194" s="103"/>
      <c r="AS194" s="103"/>
      <c r="AT194" s="103"/>
      <c r="AU194" s="103"/>
      <c r="AV194" s="103"/>
      <c r="AW194" s="103"/>
      <c r="AX194" s="103"/>
      <c r="AY194" s="103"/>
      <c r="AZ194" s="103"/>
    </row>
    <row r="195" spans="1:52" x14ac:dyDescent="0.2">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c r="AR195" s="103"/>
      <c r="AS195" s="103"/>
      <c r="AT195" s="103"/>
      <c r="AU195" s="103"/>
      <c r="AV195" s="103"/>
      <c r="AW195" s="103"/>
      <c r="AX195" s="103"/>
      <c r="AY195" s="103"/>
      <c r="AZ195" s="103"/>
    </row>
    <row r="196" spans="1:52" x14ac:dyDescent="0.2">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c r="AY196" s="103"/>
      <c r="AZ196" s="103"/>
    </row>
    <row r="197" spans="1:52" x14ac:dyDescent="0.2">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c r="AS197" s="103"/>
      <c r="AT197" s="103"/>
      <c r="AU197" s="103"/>
      <c r="AV197" s="103"/>
      <c r="AW197" s="103"/>
      <c r="AX197" s="103"/>
      <c r="AY197" s="103"/>
      <c r="AZ197" s="103"/>
    </row>
    <row r="198" spans="1:52" x14ac:dyDescent="0.2">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c r="AY198" s="103"/>
      <c r="AZ198" s="103"/>
    </row>
    <row r="199" spans="1:52" x14ac:dyDescent="0.2">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c r="AR199" s="103"/>
      <c r="AS199" s="103"/>
      <c r="AT199" s="103"/>
      <c r="AU199" s="103"/>
      <c r="AV199" s="103"/>
      <c r="AW199" s="103"/>
      <c r="AX199" s="103"/>
      <c r="AY199" s="103"/>
      <c r="AZ199" s="103"/>
    </row>
    <row r="200" spans="1:52" x14ac:dyDescent="0.2">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c r="AS200" s="103"/>
      <c r="AT200" s="103"/>
      <c r="AU200" s="103"/>
      <c r="AV200" s="103"/>
      <c r="AW200" s="103"/>
      <c r="AX200" s="103"/>
      <c r="AY200" s="103"/>
      <c r="AZ200" s="103"/>
    </row>
    <row r="201" spans="1:52" x14ac:dyDescent="0.2">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c r="AQ201" s="103"/>
      <c r="AR201" s="103"/>
      <c r="AS201" s="103"/>
      <c r="AT201" s="103"/>
      <c r="AU201" s="103"/>
      <c r="AV201" s="103"/>
      <c r="AW201" s="103"/>
      <c r="AX201" s="103"/>
      <c r="AY201" s="103"/>
      <c r="AZ201" s="103"/>
    </row>
    <row r="202" spans="1:52" x14ac:dyDescent="0.2">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c r="AY202" s="103"/>
      <c r="AZ202" s="103"/>
    </row>
    <row r="203" spans="1:52" x14ac:dyDescent="0.2">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c r="AQ203" s="103"/>
      <c r="AR203" s="103"/>
      <c r="AS203" s="103"/>
      <c r="AT203" s="103"/>
      <c r="AU203" s="103"/>
      <c r="AV203" s="103"/>
      <c r="AW203" s="103"/>
      <c r="AX203" s="103"/>
      <c r="AY203" s="103"/>
      <c r="AZ203" s="103"/>
    </row>
    <row r="204" spans="1:52" x14ac:dyDescent="0.2">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c r="AY204" s="103"/>
      <c r="AZ204" s="103"/>
    </row>
    <row r="205" spans="1:52" x14ac:dyDescent="0.2">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c r="AS205" s="103"/>
      <c r="AT205" s="103"/>
      <c r="AU205" s="103"/>
      <c r="AV205" s="103"/>
      <c r="AW205" s="103"/>
      <c r="AX205" s="103"/>
      <c r="AY205" s="103"/>
      <c r="AZ205" s="103"/>
    </row>
    <row r="206" spans="1:52" x14ac:dyDescent="0.2">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c r="AY206" s="103"/>
      <c r="AZ206" s="103"/>
    </row>
    <row r="207" spans="1:52" x14ac:dyDescent="0.2">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c r="AU207" s="103"/>
      <c r="AV207" s="103"/>
      <c r="AW207" s="103"/>
      <c r="AX207" s="103"/>
      <c r="AY207" s="103"/>
      <c r="AZ207" s="103"/>
    </row>
    <row r="208" spans="1:52" x14ac:dyDescent="0.2">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c r="AY208" s="103"/>
      <c r="AZ208" s="103"/>
    </row>
    <row r="209" spans="1:52" x14ac:dyDescent="0.2">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c r="AS209" s="103"/>
      <c r="AT209" s="103"/>
      <c r="AU209" s="103"/>
      <c r="AV209" s="103"/>
      <c r="AW209" s="103"/>
      <c r="AX209" s="103"/>
      <c r="AY209" s="103"/>
      <c r="AZ209" s="103"/>
    </row>
    <row r="210" spans="1:52" x14ac:dyDescent="0.2">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c r="AR210" s="103"/>
      <c r="AS210" s="103"/>
      <c r="AT210" s="103"/>
      <c r="AU210" s="103"/>
      <c r="AV210" s="103"/>
      <c r="AW210" s="103"/>
      <c r="AX210" s="103"/>
      <c r="AY210" s="103"/>
      <c r="AZ210" s="103"/>
    </row>
    <row r="211" spans="1:52" x14ac:dyDescent="0.2">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c r="AS211" s="103"/>
      <c r="AT211" s="103"/>
      <c r="AU211" s="103"/>
      <c r="AV211" s="103"/>
      <c r="AW211" s="103"/>
      <c r="AX211" s="103"/>
      <c r="AY211" s="103"/>
      <c r="AZ211" s="103"/>
    </row>
    <row r="212" spans="1:52" x14ac:dyDescent="0.2">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c r="AQ212" s="103"/>
      <c r="AR212" s="103"/>
      <c r="AS212" s="103"/>
      <c r="AT212" s="103"/>
      <c r="AU212" s="103"/>
      <c r="AV212" s="103"/>
      <c r="AW212" s="103"/>
      <c r="AX212" s="103"/>
      <c r="AY212" s="103"/>
      <c r="AZ212" s="103"/>
    </row>
    <row r="213" spans="1:52" x14ac:dyDescent="0.2">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c r="AQ213" s="103"/>
      <c r="AR213" s="103"/>
      <c r="AS213" s="103"/>
      <c r="AT213" s="103"/>
      <c r="AU213" s="103"/>
      <c r="AV213" s="103"/>
      <c r="AW213" s="103"/>
      <c r="AX213" s="103"/>
      <c r="AY213" s="103"/>
      <c r="AZ213" s="103"/>
    </row>
    <row r="214" spans="1:52" x14ac:dyDescent="0.2">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c r="AS214" s="103"/>
      <c r="AT214" s="103"/>
      <c r="AU214" s="103"/>
      <c r="AV214" s="103"/>
      <c r="AW214" s="103"/>
      <c r="AX214" s="103"/>
      <c r="AY214" s="103"/>
      <c r="AZ214" s="103"/>
    </row>
    <row r="215" spans="1:52" x14ac:dyDescent="0.2">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c r="AS215" s="103"/>
      <c r="AT215" s="103"/>
      <c r="AU215" s="103"/>
      <c r="AV215" s="103"/>
      <c r="AW215" s="103"/>
      <c r="AX215" s="103"/>
      <c r="AY215" s="103"/>
      <c r="AZ215" s="103"/>
    </row>
    <row r="216" spans="1:52" x14ac:dyDescent="0.2">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c r="AY216" s="103"/>
      <c r="AZ216" s="103"/>
    </row>
    <row r="217" spans="1:52" x14ac:dyDescent="0.2">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c r="AY217" s="103"/>
      <c r="AZ217" s="103"/>
    </row>
    <row r="218" spans="1:52" x14ac:dyDescent="0.2">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c r="AS218" s="103"/>
      <c r="AT218" s="103"/>
      <c r="AU218" s="103"/>
      <c r="AV218" s="103"/>
      <c r="AW218" s="103"/>
      <c r="AX218" s="103"/>
      <c r="AY218" s="103"/>
      <c r="AZ218" s="103"/>
    </row>
    <row r="219" spans="1:52" x14ac:dyDescent="0.2">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c r="AY219" s="103"/>
      <c r="AZ219" s="103"/>
    </row>
    <row r="220" spans="1:52" x14ac:dyDescent="0.2">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c r="AY220" s="103"/>
      <c r="AZ220" s="103"/>
    </row>
    <row r="221" spans="1:52" x14ac:dyDescent="0.2">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row>
    <row r="222" spans="1:52" x14ac:dyDescent="0.2">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c r="AY222" s="103"/>
      <c r="AZ222" s="103"/>
    </row>
    <row r="223" spans="1:52" x14ac:dyDescent="0.2">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c r="AS223" s="103"/>
      <c r="AT223" s="103"/>
      <c r="AU223" s="103"/>
      <c r="AV223" s="103"/>
      <c r="AW223" s="103"/>
      <c r="AX223" s="103"/>
      <c r="AY223" s="103"/>
      <c r="AZ223" s="103"/>
    </row>
    <row r="224" spans="1:52" x14ac:dyDescent="0.2">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c r="AR224" s="103"/>
      <c r="AS224" s="103"/>
      <c r="AT224" s="103"/>
      <c r="AU224" s="103"/>
      <c r="AV224" s="103"/>
      <c r="AW224" s="103"/>
      <c r="AX224" s="103"/>
      <c r="AY224" s="103"/>
      <c r="AZ224" s="103"/>
    </row>
    <row r="225" spans="1:52" x14ac:dyDescent="0.2">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c r="AR225" s="103"/>
      <c r="AS225" s="103"/>
      <c r="AT225" s="103"/>
      <c r="AU225" s="103"/>
      <c r="AV225" s="103"/>
      <c r="AW225" s="103"/>
      <c r="AX225" s="103"/>
      <c r="AY225" s="103"/>
      <c r="AZ225" s="103"/>
    </row>
    <row r="226" spans="1:52" x14ac:dyDescent="0.2">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c r="AS226" s="103"/>
      <c r="AT226" s="103"/>
      <c r="AU226" s="103"/>
      <c r="AV226" s="103"/>
      <c r="AW226" s="103"/>
      <c r="AX226" s="103"/>
      <c r="AY226" s="103"/>
      <c r="AZ226" s="103"/>
    </row>
    <row r="227" spans="1:52" x14ac:dyDescent="0.2">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c r="AS227" s="103"/>
      <c r="AT227" s="103"/>
      <c r="AU227" s="103"/>
      <c r="AV227" s="103"/>
      <c r="AW227" s="103"/>
      <c r="AX227" s="103"/>
      <c r="AY227" s="103"/>
      <c r="AZ227" s="103"/>
    </row>
    <row r="228" spans="1:52" x14ac:dyDescent="0.2">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row>
    <row r="229" spans="1:52" x14ac:dyDescent="0.2">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c r="AS229" s="103"/>
      <c r="AT229" s="103"/>
      <c r="AU229" s="103"/>
      <c r="AV229" s="103"/>
      <c r="AW229" s="103"/>
      <c r="AX229" s="103"/>
      <c r="AY229" s="103"/>
      <c r="AZ229" s="103"/>
    </row>
    <row r="230" spans="1:52" x14ac:dyDescent="0.2">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row>
    <row r="231" spans="1:52" x14ac:dyDescent="0.2">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c r="AS231" s="103"/>
      <c r="AT231" s="103"/>
      <c r="AU231" s="103"/>
      <c r="AV231" s="103"/>
      <c r="AW231" s="103"/>
      <c r="AX231" s="103"/>
      <c r="AY231" s="103"/>
      <c r="AZ231" s="103"/>
    </row>
    <row r="232" spans="1:52" x14ac:dyDescent="0.2">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c r="AS232" s="103"/>
      <c r="AT232" s="103"/>
      <c r="AU232" s="103"/>
      <c r="AV232" s="103"/>
      <c r="AW232" s="103"/>
      <c r="AX232" s="103"/>
      <c r="AY232" s="103"/>
      <c r="AZ232" s="103"/>
    </row>
    <row r="233" spans="1:52" x14ac:dyDescent="0.2">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c r="AS233" s="103"/>
      <c r="AT233" s="103"/>
      <c r="AU233" s="103"/>
      <c r="AV233" s="103"/>
      <c r="AW233" s="103"/>
      <c r="AX233" s="103"/>
      <c r="AY233" s="103"/>
      <c r="AZ233" s="103"/>
    </row>
    <row r="234" spans="1:52" x14ac:dyDescent="0.2">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c r="AS234" s="103"/>
      <c r="AT234" s="103"/>
      <c r="AU234" s="103"/>
      <c r="AV234" s="103"/>
      <c r="AW234" s="103"/>
      <c r="AX234" s="103"/>
      <c r="AY234" s="103"/>
      <c r="AZ234" s="103"/>
    </row>
    <row r="235" spans="1:52" x14ac:dyDescent="0.2">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row>
    <row r="236" spans="1:52" x14ac:dyDescent="0.2">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row>
    <row r="237" spans="1:52" x14ac:dyDescent="0.2">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c r="AU237" s="103"/>
      <c r="AV237" s="103"/>
      <c r="AW237" s="103"/>
      <c r="AX237" s="103"/>
      <c r="AY237" s="103"/>
      <c r="AZ237" s="103"/>
    </row>
    <row r="238" spans="1:52" x14ac:dyDescent="0.2">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row>
    <row r="239" spans="1:52" x14ac:dyDescent="0.2">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c r="AS239" s="103"/>
      <c r="AT239" s="103"/>
      <c r="AU239" s="103"/>
      <c r="AV239" s="103"/>
      <c r="AW239" s="103"/>
      <c r="AX239" s="103"/>
      <c r="AY239" s="103"/>
      <c r="AZ239" s="103"/>
    </row>
    <row r="240" spans="1:52" x14ac:dyDescent="0.2">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c r="AY240" s="103"/>
      <c r="AZ240" s="103"/>
    </row>
    <row r="241" spans="1:52" x14ac:dyDescent="0.2">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row>
    <row r="242" spans="1:52" x14ac:dyDescent="0.2">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c r="AY242" s="103"/>
      <c r="AZ242" s="103"/>
    </row>
    <row r="243" spans="1:52" x14ac:dyDescent="0.2">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c r="AS243" s="103"/>
      <c r="AT243" s="103"/>
      <c r="AU243" s="103"/>
      <c r="AV243" s="103"/>
      <c r="AW243" s="103"/>
      <c r="AX243" s="103"/>
      <c r="AY243" s="103"/>
      <c r="AZ243" s="103"/>
    </row>
    <row r="244" spans="1:52" x14ac:dyDescent="0.2">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3"/>
    </row>
    <row r="245" spans="1:52" x14ac:dyDescent="0.2">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c r="AQ245" s="103"/>
      <c r="AR245" s="103"/>
      <c r="AS245" s="103"/>
      <c r="AT245" s="103"/>
      <c r="AU245" s="103"/>
      <c r="AV245" s="103"/>
      <c r="AW245" s="103"/>
      <c r="AX245" s="103"/>
      <c r="AY245" s="103"/>
      <c r="AZ245" s="103"/>
    </row>
    <row r="246" spans="1:52" x14ac:dyDescent="0.2">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c r="AR246" s="103"/>
      <c r="AS246" s="103"/>
      <c r="AT246" s="103"/>
      <c r="AU246" s="103"/>
      <c r="AV246" s="103"/>
      <c r="AW246" s="103"/>
      <c r="AX246" s="103"/>
      <c r="AY246" s="103"/>
      <c r="AZ246" s="103"/>
    </row>
    <row r="247" spans="1:52" x14ac:dyDescent="0.2">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c r="AR247" s="103"/>
      <c r="AS247" s="103"/>
      <c r="AT247" s="103"/>
      <c r="AU247" s="103"/>
      <c r="AV247" s="103"/>
      <c r="AW247" s="103"/>
      <c r="AX247" s="103"/>
      <c r="AY247" s="103"/>
      <c r="AZ247" s="103"/>
    </row>
    <row r="248" spans="1:52" x14ac:dyDescent="0.2">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c r="AS248" s="103"/>
      <c r="AT248" s="103"/>
      <c r="AU248" s="103"/>
      <c r="AV248" s="103"/>
      <c r="AW248" s="103"/>
      <c r="AX248" s="103"/>
      <c r="AY248" s="103"/>
      <c r="AZ248" s="103"/>
    </row>
    <row r="249" spans="1:52" x14ac:dyDescent="0.2">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c r="AR249" s="103"/>
      <c r="AS249" s="103"/>
      <c r="AT249" s="103"/>
      <c r="AU249" s="103"/>
      <c r="AV249" s="103"/>
      <c r="AW249" s="103"/>
      <c r="AX249" s="103"/>
      <c r="AY249" s="103"/>
      <c r="AZ249" s="103"/>
    </row>
    <row r="250" spans="1:52" x14ac:dyDescent="0.2">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c r="AS250" s="103"/>
      <c r="AT250" s="103"/>
      <c r="AU250" s="103"/>
      <c r="AV250" s="103"/>
      <c r="AW250" s="103"/>
      <c r="AX250" s="103"/>
      <c r="AY250" s="103"/>
      <c r="AZ250" s="103"/>
    </row>
    <row r="251" spans="1:52" x14ac:dyDescent="0.2">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c r="AR251" s="103"/>
      <c r="AS251" s="103"/>
      <c r="AT251" s="103"/>
      <c r="AU251" s="103"/>
      <c r="AV251" s="103"/>
      <c r="AW251" s="103"/>
      <c r="AX251" s="103"/>
      <c r="AY251" s="103"/>
      <c r="AZ251" s="103"/>
    </row>
    <row r="252" spans="1:52" x14ac:dyDescent="0.2">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c r="AS252" s="103"/>
      <c r="AT252" s="103"/>
      <c r="AU252" s="103"/>
      <c r="AV252" s="103"/>
      <c r="AW252" s="103"/>
      <c r="AX252" s="103"/>
      <c r="AY252" s="103"/>
      <c r="AZ252" s="103"/>
    </row>
    <row r="253" spans="1:52" x14ac:dyDescent="0.2">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row>
    <row r="254" spans="1:52" x14ac:dyDescent="0.2">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row>
    <row r="255" spans="1:52" x14ac:dyDescent="0.2">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c r="AY255" s="103"/>
      <c r="AZ255" s="103"/>
    </row>
    <row r="256" spans="1:52" x14ac:dyDescent="0.2">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c r="AY256" s="103"/>
      <c r="AZ256" s="103"/>
    </row>
    <row r="257" spans="1:52" x14ac:dyDescent="0.2">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c r="AY257" s="103"/>
      <c r="AZ257" s="103"/>
    </row>
    <row r="258" spans="1:52" x14ac:dyDescent="0.2">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c r="AS258" s="103"/>
      <c r="AT258" s="103"/>
      <c r="AU258" s="103"/>
      <c r="AV258" s="103"/>
      <c r="AW258" s="103"/>
      <c r="AX258" s="103"/>
      <c r="AY258" s="103"/>
      <c r="AZ258" s="103"/>
    </row>
    <row r="259" spans="1:52" x14ac:dyDescent="0.2">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row>
    <row r="260" spans="1:52" x14ac:dyDescent="0.2">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c r="AS260" s="103"/>
      <c r="AT260" s="103"/>
      <c r="AU260" s="103"/>
      <c r="AV260" s="103"/>
      <c r="AW260" s="103"/>
      <c r="AX260" s="103"/>
      <c r="AY260" s="103"/>
      <c r="AZ260" s="103"/>
    </row>
    <row r="261" spans="1:52" x14ac:dyDescent="0.2">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3"/>
    </row>
    <row r="262" spans="1:52" x14ac:dyDescent="0.2">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row>
    <row r="263" spans="1:52" x14ac:dyDescent="0.2">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row>
    <row r="264" spans="1:52" x14ac:dyDescent="0.2">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row>
    <row r="265" spans="1:52" x14ac:dyDescent="0.2">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row>
    <row r="266" spans="1:52" x14ac:dyDescent="0.2">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row>
    <row r="267" spans="1:52" x14ac:dyDescent="0.2">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c r="AY267" s="103"/>
      <c r="AZ267" s="103"/>
    </row>
    <row r="268" spans="1:52" x14ac:dyDescent="0.2">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row>
    <row r="269" spans="1:52" x14ac:dyDescent="0.2">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row>
    <row r="270" spans="1:52" x14ac:dyDescent="0.2">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row>
    <row r="271" spans="1:52" x14ac:dyDescent="0.2">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row>
    <row r="272" spans="1:52" x14ac:dyDescent="0.2">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row>
    <row r="273" spans="1:52" x14ac:dyDescent="0.2">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c r="AY273" s="103"/>
      <c r="AZ273" s="103"/>
    </row>
    <row r="274" spans="1:52" x14ac:dyDescent="0.2">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c r="AY274" s="103"/>
      <c r="AZ274" s="103"/>
    </row>
    <row r="275" spans="1:52" x14ac:dyDescent="0.2">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c r="AY275" s="103"/>
      <c r="AZ275" s="103"/>
    </row>
    <row r="276" spans="1:52" x14ac:dyDescent="0.2">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c r="AU276" s="103"/>
      <c r="AV276" s="103"/>
      <c r="AW276" s="103"/>
      <c r="AX276" s="103"/>
      <c r="AY276" s="103"/>
      <c r="AZ276" s="103"/>
    </row>
    <row r="277" spans="1:52" x14ac:dyDescent="0.2">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row>
    <row r="278" spans="1:52" x14ac:dyDescent="0.2">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c r="AS278" s="103"/>
      <c r="AT278" s="103"/>
      <c r="AU278" s="103"/>
      <c r="AV278" s="103"/>
      <c r="AW278" s="103"/>
      <c r="AX278" s="103"/>
      <c r="AY278" s="103"/>
      <c r="AZ278" s="103"/>
    </row>
    <row r="279" spans="1:52" x14ac:dyDescent="0.2">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c r="AY279" s="103"/>
      <c r="AZ279" s="103"/>
    </row>
    <row r="280" spans="1:52" x14ac:dyDescent="0.2">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c r="AY280" s="103"/>
      <c r="AZ280" s="103"/>
    </row>
    <row r="281" spans="1:52" x14ac:dyDescent="0.2">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c r="AS281" s="103"/>
      <c r="AT281" s="103"/>
      <c r="AU281" s="103"/>
      <c r="AV281" s="103"/>
      <c r="AW281" s="103"/>
      <c r="AX281" s="103"/>
      <c r="AY281" s="103"/>
      <c r="AZ281" s="103"/>
    </row>
    <row r="282" spans="1:52" x14ac:dyDescent="0.2">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c r="AY282" s="103"/>
      <c r="AZ282" s="103"/>
    </row>
    <row r="283" spans="1:52" x14ac:dyDescent="0.2">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c r="AY283" s="103"/>
      <c r="AZ283" s="103"/>
    </row>
    <row r="284" spans="1:52" x14ac:dyDescent="0.2">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c r="AS284" s="103"/>
      <c r="AT284" s="103"/>
      <c r="AU284" s="103"/>
      <c r="AV284" s="103"/>
      <c r="AW284" s="103"/>
      <c r="AX284" s="103"/>
      <c r="AY284" s="103"/>
      <c r="AZ284" s="103"/>
    </row>
    <row r="285" spans="1:52" x14ac:dyDescent="0.2">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c r="AS285" s="103"/>
      <c r="AT285" s="103"/>
      <c r="AU285" s="103"/>
      <c r="AV285" s="103"/>
      <c r="AW285" s="103"/>
      <c r="AX285" s="103"/>
      <c r="AY285" s="103"/>
      <c r="AZ285" s="103"/>
    </row>
    <row r="286" spans="1:52" x14ac:dyDescent="0.2">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c r="AY286" s="103"/>
      <c r="AZ286" s="103"/>
    </row>
    <row r="287" spans="1:52" x14ac:dyDescent="0.2">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c r="AR287" s="103"/>
      <c r="AS287" s="103"/>
      <c r="AT287" s="103"/>
      <c r="AU287" s="103"/>
      <c r="AV287" s="103"/>
      <c r="AW287" s="103"/>
      <c r="AX287" s="103"/>
      <c r="AY287" s="103"/>
      <c r="AZ287" s="103"/>
    </row>
    <row r="288" spans="1:52" x14ac:dyDescent="0.2">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c r="AY288" s="103"/>
      <c r="AZ288" s="103"/>
    </row>
    <row r="289" spans="1:52" x14ac:dyDescent="0.2">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c r="AY289" s="103"/>
      <c r="AZ289" s="103"/>
    </row>
    <row r="290" spans="1:52" x14ac:dyDescent="0.2">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c r="AS290" s="103"/>
      <c r="AT290" s="103"/>
      <c r="AU290" s="103"/>
      <c r="AV290" s="103"/>
      <c r="AW290" s="103"/>
      <c r="AX290" s="103"/>
      <c r="AY290" s="103"/>
      <c r="AZ290" s="103"/>
    </row>
    <row r="291" spans="1:52" x14ac:dyDescent="0.2">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c r="AS291" s="103"/>
      <c r="AT291" s="103"/>
      <c r="AU291" s="103"/>
      <c r="AV291" s="103"/>
      <c r="AW291" s="103"/>
      <c r="AX291" s="103"/>
      <c r="AY291" s="103"/>
      <c r="AZ291" s="103"/>
    </row>
    <row r="292" spans="1:52" x14ac:dyDescent="0.2">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c r="AY292" s="103"/>
      <c r="AZ292" s="103"/>
    </row>
    <row r="293" spans="1:52" x14ac:dyDescent="0.2">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c r="AY293" s="103"/>
      <c r="AZ293" s="103"/>
    </row>
    <row r="294" spans="1:52" x14ac:dyDescent="0.2">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c r="AY294" s="103"/>
      <c r="AZ294" s="103"/>
    </row>
    <row r="295" spans="1:52" x14ac:dyDescent="0.2">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c r="AY295" s="103"/>
      <c r="AZ295" s="103"/>
    </row>
    <row r="296" spans="1:52" x14ac:dyDescent="0.2">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c r="AY296" s="103"/>
      <c r="AZ296" s="103"/>
    </row>
    <row r="297" spans="1:52" x14ac:dyDescent="0.2">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c r="AS297" s="103"/>
      <c r="AT297" s="103"/>
      <c r="AU297" s="103"/>
      <c r="AV297" s="103"/>
      <c r="AW297" s="103"/>
      <c r="AX297" s="103"/>
      <c r="AY297" s="103"/>
      <c r="AZ297" s="103"/>
    </row>
    <row r="298" spans="1:52" x14ac:dyDescent="0.2">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c r="AY298" s="103"/>
      <c r="AZ298" s="103"/>
    </row>
    <row r="299" spans="1:52" x14ac:dyDescent="0.2">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c r="AY299" s="103"/>
      <c r="AZ299" s="103"/>
    </row>
    <row r="300" spans="1:52" x14ac:dyDescent="0.2">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03"/>
      <c r="AZ300" s="103"/>
    </row>
    <row r="301" spans="1:52" x14ac:dyDescent="0.2">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c r="AY301" s="103"/>
      <c r="AZ301" s="103"/>
    </row>
    <row r="302" spans="1:52" x14ac:dyDescent="0.2">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03"/>
      <c r="AZ302" s="103"/>
    </row>
  </sheetData>
  <mergeCells count="5">
    <mergeCell ref="A46:G46"/>
    <mergeCell ref="A55:G55"/>
    <mergeCell ref="A57:F57"/>
    <mergeCell ref="A63:F63"/>
    <mergeCell ref="A3:F3"/>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AG167"/>
  <sheetViews>
    <sheetView zoomScale="70" zoomScaleNormal="70" workbookViewId="0">
      <selection sqref="A1:D1"/>
    </sheetView>
  </sheetViews>
  <sheetFormatPr defaultColWidth="8.85546875" defaultRowHeight="12.75" x14ac:dyDescent="0.2"/>
  <cols>
    <col min="1" max="1" width="19.42578125" style="1" customWidth="1"/>
    <col min="2" max="2" width="16.5703125" style="1" customWidth="1"/>
    <col min="3" max="3" width="18.140625" style="1" customWidth="1"/>
    <col min="4" max="4" width="20" style="1" customWidth="1"/>
    <col min="5" max="5" width="15.42578125" style="1" customWidth="1"/>
    <col min="6" max="6" width="11.140625" style="1" customWidth="1"/>
    <col min="7" max="7" width="11" style="1" customWidth="1"/>
    <col min="8" max="8" width="10.7109375" style="1" customWidth="1"/>
    <col min="9" max="9" width="9.140625" style="1" bestFit="1" customWidth="1"/>
    <col min="10" max="10" width="9.7109375" style="1" customWidth="1"/>
    <col min="11" max="11" width="8.28515625" style="1" customWidth="1"/>
    <col min="12" max="12" width="16.85546875" style="1" customWidth="1"/>
    <col min="13" max="13" width="6.7109375" style="1" customWidth="1"/>
    <col min="14" max="14" width="13.7109375" style="1" customWidth="1"/>
    <col min="15" max="15" width="14.85546875" style="1" bestFit="1" customWidth="1"/>
    <col min="16" max="16" width="15.42578125" style="1" bestFit="1" customWidth="1"/>
    <col min="17" max="17" width="12.140625" style="1" customWidth="1"/>
    <col min="18" max="18" width="10.85546875" style="1" customWidth="1"/>
    <col min="19" max="19" width="9.85546875" style="1" customWidth="1"/>
    <col min="20" max="20" width="12" style="1" customWidth="1"/>
    <col min="21" max="21" width="12.28515625" style="1" customWidth="1"/>
    <col min="22" max="22" width="7.140625" style="1" bestFit="1" customWidth="1"/>
    <col min="23" max="24" width="9.140625" style="1" bestFit="1" customWidth="1"/>
    <col min="25" max="25" width="9.7109375" style="1" customWidth="1"/>
    <col min="26" max="26" width="18.28515625" style="1" customWidth="1"/>
    <col min="27" max="27" width="13" style="1" customWidth="1"/>
    <col min="28" max="28" width="12.5703125" style="1" customWidth="1"/>
    <col min="29" max="29" width="12.28515625" style="1" customWidth="1"/>
    <col min="30" max="30" width="2.7109375" style="1" bestFit="1" customWidth="1"/>
    <col min="31" max="16384" width="8.85546875" style="1"/>
  </cols>
  <sheetData>
    <row r="1" spans="1:29" ht="18" customHeight="1" x14ac:dyDescent="0.2">
      <c r="A1" s="417" t="s">
        <v>99</v>
      </c>
      <c r="B1" s="417"/>
      <c r="C1" s="417"/>
      <c r="D1" s="417"/>
      <c r="E1" s="122"/>
      <c r="F1" s="122"/>
      <c r="G1" s="122"/>
      <c r="H1" s="122"/>
      <c r="I1" s="122"/>
      <c r="J1" s="122"/>
      <c r="K1" s="134"/>
      <c r="L1" s="146"/>
      <c r="M1" s="146"/>
      <c r="N1" s="146"/>
      <c r="O1" s="146"/>
      <c r="P1" s="146"/>
      <c r="Q1" s="146"/>
      <c r="R1" s="146"/>
      <c r="S1" s="146"/>
      <c r="T1" s="146"/>
      <c r="U1" s="144"/>
      <c r="V1" s="134"/>
      <c r="W1" s="122"/>
      <c r="X1" s="122"/>
      <c r="Y1" s="122"/>
      <c r="Z1" s="122"/>
      <c r="AA1" s="122"/>
      <c r="AB1" s="122"/>
      <c r="AC1" s="122"/>
    </row>
    <row r="2" spans="1:29" ht="18" customHeight="1" x14ac:dyDescent="0.2">
      <c r="A2" s="422" t="s">
        <v>38</v>
      </c>
      <c r="B2" s="422"/>
      <c r="C2" s="421">
        <f>D40</f>
        <v>286174200</v>
      </c>
      <c r="D2" s="421"/>
      <c r="E2" s="122"/>
      <c r="F2" s="122"/>
      <c r="G2" s="122"/>
      <c r="H2" s="122"/>
      <c r="I2" s="122"/>
      <c r="J2" s="134"/>
      <c r="K2" s="146"/>
      <c r="L2" s="146"/>
      <c r="M2" s="146"/>
      <c r="N2" s="146"/>
      <c r="O2" s="146"/>
      <c r="P2" s="146"/>
      <c r="Q2" s="146"/>
      <c r="R2" s="146"/>
      <c r="S2" s="146"/>
      <c r="T2" s="144"/>
      <c r="U2" s="134"/>
      <c r="V2" s="122"/>
      <c r="W2" s="122"/>
      <c r="X2" s="122"/>
      <c r="Y2" s="122"/>
      <c r="Z2" s="122"/>
      <c r="AA2" s="122"/>
      <c r="AB2" s="122"/>
      <c r="AC2" s="122"/>
    </row>
    <row r="3" spans="1:29" ht="18" customHeight="1" x14ac:dyDescent="0.3">
      <c r="A3" s="422" t="s">
        <v>106</v>
      </c>
      <c r="B3" s="422"/>
      <c r="C3" s="421">
        <f>E40</f>
        <v>56657497.469249181</v>
      </c>
      <c r="D3" s="421"/>
      <c r="E3" s="122"/>
      <c r="F3" s="167"/>
      <c r="G3" s="167"/>
      <c r="H3" s="122"/>
      <c r="I3" s="122"/>
      <c r="J3" s="134"/>
      <c r="K3" s="146"/>
      <c r="L3" s="146"/>
      <c r="M3" s="146"/>
      <c r="N3" s="146"/>
      <c r="O3" s="146"/>
      <c r="P3" s="146"/>
      <c r="Q3" s="146"/>
      <c r="R3" s="146"/>
      <c r="S3" s="146"/>
      <c r="T3" s="144"/>
      <c r="U3" s="134"/>
      <c r="V3" s="122"/>
      <c r="W3" s="122"/>
      <c r="X3" s="122"/>
      <c r="Y3" s="122"/>
      <c r="Z3" s="122"/>
      <c r="AA3" s="122"/>
      <c r="AB3" s="122"/>
      <c r="AC3" s="122"/>
    </row>
    <row r="4" spans="1:29" ht="18" customHeight="1" x14ac:dyDescent="0.3">
      <c r="A4" s="167"/>
      <c r="B4" s="167"/>
      <c r="C4" s="122"/>
      <c r="D4" s="122"/>
      <c r="E4" s="122"/>
      <c r="F4" s="167"/>
      <c r="G4" s="167"/>
      <c r="H4" s="122"/>
      <c r="I4" s="122"/>
      <c r="J4" s="134"/>
      <c r="K4" s="146"/>
      <c r="L4" s="146"/>
      <c r="M4" s="146"/>
      <c r="N4" s="146"/>
      <c r="O4" s="146"/>
      <c r="P4" s="146"/>
      <c r="Q4" s="146"/>
      <c r="R4" s="146"/>
      <c r="S4" s="146"/>
      <c r="T4" s="144"/>
      <c r="U4" s="134"/>
      <c r="V4" s="122"/>
      <c r="W4" s="122"/>
      <c r="X4" s="122"/>
      <c r="Y4" s="122"/>
      <c r="Z4" s="122"/>
      <c r="AA4" s="122"/>
      <c r="AB4" s="122"/>
      <c r="AC4" s="122"/>
    </row>
    <row r="5" spans="1:29" ht="18" customHeight="1" x14ac:dyDescent="0.3">
      <c r="A5" s="167"/>
      <c r="B5" s="167"/>
      <c r="C5" s="122"/>
      <c r="D5" s="122"/>
      <c r="E5" s="122"/>
      <c r="F5" s="167"/>
      <c r="G5" s="167"/>
      <c r="H5" s="122"/>
      <c r="I5" s="122"/>
      <c r="J5" s="134"/>
      <c r="K5" s="146"/>
      <c r="L5" s="146"/>
      <c r="M5" s="146"/>
      <c r="N5" s="146"/>
      <c r="O5" s="146"/>
      <c r="P5" s="146"/>
      <c r="Q5" s="146"/>
      <c r="R5" s="146"/>
      <c r="S5" s="146"/>
      <c r="T5" s="144"/>
      <c r="U5" s="134"/>
      <c r="V5" s="122"/>
      <c r="W5" s="122"/>
      <c r="X5" s="122"/>
      <c r="Y5" s="122"/>
      <c r="Z5" s="122"/>
      <c r="AA5" s="122"/>
      <c r="AB5" s="122"/>
      <c r="AC5" s="122"/>
    </row>
    <row r="6" spans="1:29" ht="18" customHeight="1" x14ac:dyDescent="0.3">
      <c r="A6" s="417" t="s">
        <v>262</v>
      </c>
      <c r="B6" s="417"/>
      <c r="C6" s="417"/>
      <c r="D6" s="417"/>
      <c r="E6" s="417"/>
      <c r="F6" s="167"/>
      <c r="G6" s="167"/>
      <c r="H6" s="122"/>
      <c r="I6" s="122"/>
      <c r="J6" s="134"/>
      <c r="K6" s="146"/>
      <c r="L6" s="146"/>
      <c r="M6" s="146"/>
      <c r="N6" s="146"/>
      <c r="O6" s="146"/>
      <c r="P6" s="146"/>
      <c r="Q6" s="146"/>
      <c r="R6" s="146"/>
      <c r="S6" s="146"/>
      <c r="T6" s="144"/>
      <c r="U6" s="134"/>
      <c r="V6" s="122"/>
      <c r="W6" s="122"/>
      <c r="X6" s="122"/>
      <c r="Y6" s="122"/>
      <c r="Z6" s="122"/>
      <c r="AA6" s="122"/>
      <c r="AB6" s="122"/>
      <c r="AC6" s="122"/>
    </row>
    <row r="7" spans="1:29" ht="13.9" customHeight="1" x14ac:dyDescent="0.2">
      <c r="A7" s="414" t="s">
        <v>1</v>
      </c>
      <c r="B7" s="414" t="s">
        <v>31</v>
      </c>
      <c r="C7" s="414"/>
      <c r="D7" s="418" t="s">
        <v>38</v>
      </c>
      <c r="E7" s="418" t="s">
        <v>106</v>
      </c>
      <c r="F7" s="122"/>
      <c r="G7" s="122"/>
      <c r="H7" s="122"/>
      <c r="I7" s="122"/>
      <c r="J7" s="122"/>
      <c r="K7" s="122"/>
      <c r="L7" s="122"/>
      <c r="M7" s="122"/>
      <c r="N7" s="122"/>
      <c r="O7" s="122"/>
      <c r="P7" s="122"/>
      <c r="Q7" s="122"/>
      <c r="R7" s="122"/>
      <c r="S7" s="122"/>
      <c r="T7" s="122"/>
      <c r="U7" s="122"/>
      <c r="V7" s="122"/>
      <c r="W7" s="122"/>
      <c r="X7" s="122"/>
      <c r="Y7" s="122"/>
      <c r="Z7" s="122"/>
      <c r="AA7" s="122"/>
      <c r="AB7" s="122"/>
      <c r="AC7" s="122"/>
    </row>
    <row r="8" spans="1:29" ht="13.15" customHeight="1" x14ac:dyDescent="0.2">
      <c r="A8" s="414"/>
      <c r="B8" s="418" t="s">
        <v>28</v>
      </c>
      <c r="C8" s="418" t="s">
        <v>42</v>
      </c>
      <c r="D8" s="418"/>
      <c r="E8" s="418"/>
      <c r="F8" s="122"/>
      <c r="G8" s="122"/>
      <c r="H8" s="122"/>
      <c r="I8" s="122"/>
      <c r="J8" s="122"/>
      <c r="K8" s="122"/>
      <c r="L8" s="122"/>
      <c r="M8" s="122"/>
      <c r="N8" s="122"/>
      <c r="O8" s="122"/>
      <c r="P8" s="122"/>
      <c r="Q8" s="122"/>
      <c r="R8" s="122"/>
      <c r="S8" s="122"/>
      <c r="T8" s="122"/>
      <c r="U8" s="122"/>
      <c r="V8" s="122"/>
      <c r="W8" s="122"/>
      <c r="X8" s="122"/>
      <c r="Y8" s="122"/>
      <c r="Z8" s="122"/>
      <c r="AA8" s="122"/>
      <c r="AB8" s="122"/>
      <c r="AC8" s="122"/>
    </row>
    <row r="9" spans="1:29" ht="13.5" thickBot="1" x14ac:dyDescent="0.25">
      <c r="A9" s="420"/>
      <c r="B9" s="419"/>
      <c r="C9" s="419"/>
      <c r="D9" s="419"/>
      <c r="E9" s="419"/>
      <c r="F9" s="122"/>
      <c r="G9" s="122"/>
      <c r="H9" s="122"/>
      <c r="I9" s="122"/>
      <c r="J9" s="122"/>
      <c r="K9" s="122"/>
      <c r="L9" s="122"/>
      <c r="M9" s="122"/>
      <c r="N9" s="122"/>
      <c r="O9" s="122"/>
      <c r="P9" s="122"/>
      <c r="Q9" s="122"/>
      <c r="R9" s="122"/>
      <c r="S9" s="122"/>
      <c r="T9" s="122"/>
      <c r="U9" s="122"/>
      <c r="V9" s="122"/>
      <c r="W9" s="122"/>
      <c r="X9" s="122"/>
      <c r="Y9" s="122"/>
      <c r="Z9" s="122"/>
      <c r="AA9" s="122"/>
      <c r="AB9" s="122"/>
      <c r="AC9" s="122"/>
    </row>
    <row r="10" spans="1:29" ht="13.5" thickTop="1" x14ac:dyDescent="0.2">
      <c r="A10" s="104">
        <v>2027</v>
      </c>
      <c r="B10" s="52">
        <f t="shared" ref="B10:B34" si="0">L46</f>
        <v>50427000</v>
      </c>
      <c r="C10" s="15">
        <f t="shared" ref="C10:C34" si="1">Z46</f>
        <v>37665800</v>
      </c>
      <c r="D10" s="331">
        <f t="shared" ref="D10:D36" si="2">ROUND(B10-C10,0)</f>
        <v>12761200</v>
      </c>
      <c r="E10" s="332">
        <f>D10*NPV!C12</f>
        <v>6941247.2758648302</v>
      </c>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row>
    <row r="11" spans="1:29" x14ac:dyDescent="0.2">
      <c r="A11" s="104">
        <f t="shared" ref="A11:A39" si="3">A10+1</f>
        <v>2028</v>
      </c>
      <c r="B11" s="52">
        <f t="shared" si="0"/>
        <v>50523300</v>
      </c>
      <c r="C11" s="15">
        <f t="shared" si="1"/>
        <v>37951000</v>
      </c>
      <c r="D11" s="331">
        <f t="shared" si="2"/>
        <v>12572300</v>
      </c>
      <c r="E11" s="332">
        <f>D11*NPV!C13</f>
        <v>6391119.805505313</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row>
    <row r="12" spans="1:29" x14ac:dyDescent="0.2">
      <c r="A12" s="104">
        <f t="shared" si="3"/>
        <v>2029</v>
      </c>
      <c r="B12" s="52">
        <f t="shared" si="0"/>
        <v>51349900</v>
      </c>
      <c r="C12" s="15">
        <f t="shared" si="1"/>
        <v>47644100</v>
      </c>
      <c r="D12" s="331">
        <f t="shared" si="2"/>
        <v>3705800</v>
      </c>
      <c r="E12" s="332">
        <f>D12*NPV!C14</f>
        <v>1760598.8848531186</v>
      </c>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row>
    <row r="13" spans="1:29" x14ac:dyDescent="0.2">
      <c r="A13" s="104">
        <f t="shared" si="3"/>
        <v>2030</v>
      </c>
      <c r="B13" s="52">
        <f t="shared" si="0"/>
        <v>51566800</v>
      </c>
      <c r="C13" s="15">
        <f t="shared" si="1"/>
        <v>48388400</v>
      </c>
      <c r="D13" s="331">
        <f t="shared" si="2"/>
        <v>3178400</v>
      </c>
      <c r="E13" s="332">
        <f>D13*NPV!C15</f>
        <v>1411247.611250753</v>
      </c>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row>
    <row r="14" spans="1:29" x14ac:dyDescent="0.2">
      <c r="A14" s="104">
        <f t="shared" si="3"/>
        <v>2031</v>
      </c>
      <c r="B14" s="52">
        <f t="shared" si="0"/>
        <v>51742200</v>
      </c>
      <c r="C14" s="15">
        <f t="shared" si="1"/>
        <v>48609700</v>
      </c>
      <c r="D14" s="331">
        <f t="shared" si="2"/>
        <v>3132500</v>
      </c>
      <c r="E14" s="332">
        <f>D14*NPV!C16</f>
        <v>1299876.133010844</v>
      </c>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row>
    <row r="15" spans="1:29" x14ac:dyDescent="0.2">
      <c r="A15" s="104">
        <f t="shared" si="3"/>
        <v>2032</v>
      </c>
      <c r="B15" s="52">
        <f t="shared" si="0"/>
        <v>52038200</v>
      </c>
      <c r="C15" s="15">
        <f t="shared" si="1"/>
        <v>48706000</v>
      </c>
      <c r="D15" s="331">
        <f t="shared" si="2"/>
        <v>3332200</v>
      </c>
      <c r="E15" s="332">
        <f>D15*NPV!C17</f>
        <v>1292284.61051793</v>
      </c>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row>
    <row r="16" spans="1:29" x14ac:dyDescent="0.2">
      <c r="A16" s="104">
        <f t="shared" si="3"/>
        <v>2033</v>
      </c>
      <c r="B16" s="52">
        <f t="shared" si="0"/>
        <v>52718600</v>
      </c>
      <c r="C16" s="15">
        <f t="shared" si="1"/>
        <v>49002000</v>
      </c>
      <c r="D16" s="331">
        <f t="shared" si="2"/>
        <v>3716600</v>
      </c>
      <c r="E16" s="332">
        <f>D16*NPV!C18</f>
        <v>1347066.876602794</v>
      </c>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row>
    <row r="17" spans="1:29" x14ac:dyDescent="0.2">
      <c r="A17" s="104">
        <f t="shared" si="3"/>
        <v>2034</v>
      </c>
      <c r="B17" s="52">
        <f t="shared" si="0"/>
        <v>53017800</v>
      </c>
      <c r="C17" s="15">
        <f t="shared" si="1"/>
        <v>49162200</v>
      </c>
      <c r="D17" s="331">
        <f t="shared" si="2"/>
        <v>3855600</v>
      </c>
      <c r="E17" s="332">
        <f>D17*NPV!C19</f>
        <v>1306025.1152645627</v>
      </c>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row>
    <row r="18" spans="1:29" x14ac:dyDescent="0.2">
      <c r="A18" s="104">
        <f t="shared" si="3"/>
        <v>2035</v>
      </c>
      <c r="B18" s="52">
        <f t="shared" si="0"/>
        <v>53257100</v>
      </c>
      <c r="C18" s="15">
        <f t="shared" si="1"/>
        <v>49839400</v>
      </c>
      <c r="D18" s="331">
        <f t="shared" si="2"/>
        <v>3417700</v>
      </c>
      <c r="E18" s="332">
        <f>D18*NPV!C20</f>
        <v>1081956.2942891894</v>
      </c>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row>
    <row r="19" spans="1:29" x14ac:dyDescent="0.2">
      <c r="A19" s="104">
        <f t="shared" si="3"/>
        <v>2036</v>
      </c>
      <c r="B19" s="52">
        <f t="shared" si="0"/>
        <v>54015400</v>
      </c>
      <c r="C19" s="15">
        <f t="shared" si="1"/>
        <v>50208900</v>
      </c>
      <c r="D19" s="331">
        <f t="shared" si="2"/>
        <v>3806500</v>
      </c>
      <c r="E19" s="332">
        <f>D19*NPV!C21</f>
        <v>1126205.9974781638</v>
      </c>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row>
    <row r="20" spans="1:29" x14ac:dyDescent="0.2">
      <c r="A20" s="104">
        <f t="shared" si="3"/>
        <v>2037</v>
      </c>
      <c r="B20" s="52">
        <f t="shared" si="0"/>
        <v>54236700</v>
      </c>
      <c r="C20" s="15">
        <f t="shared" si="1"/>
        <v>50427000</v>
      </c>
      <c r="D20" s="331">
        <f t="shared" si="2"/>
        <v>3809700</v>
      </c>
      <c r="E20" s="332">
        <f>D20*NPV!C22</f>
        <v>1053413.7962713952</v>
      </c>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row>
    <row r="21" spans="1:29" x14ac:dyDescent="0.2">
      <c r="A21" s="104">
        <f t="shared" si="3"/>
        <v>2038</v>
      </c>
      <c r="B21" s="52">
        <f t="shared" si="0"/>
        <v>54532700</v>
      </c>
      <c r="C21" s="15">
        <f t="shared" si="1"/>
        <v>50605600</v>
      </c>
      <c r="D21" s="331">
        <f t="shared" si="2"/>
        <v>3927100</v>
      </c>
      <c r="E21" s="332">
        <f>D21*NPV!C23</f>
        <v>1014837.2659503438</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row>
    <row r="22" spans="1:29" x14ac:dyDescent="0.2">
      <c r="A22" s="104">
        <f t="shared" si="3"/>
        <v>2039</v>
      </c>
      <c r="B22" s="52">
        <f t="shared" si="0"/>
        <v>54836300</v>
      </c>
      <c r="C22" s="15">
        <f t="shared" si="1"/>
        <v>51349900</v>
      </c>
      <c r="D22" s="331">
        <f t="shared" si="2"/>
        <v>3486400</v>
      </c>
      <c r="E22" s="332">
        <f>D22*NPV!C24</f>
        <v>842011.2256170765</v>
      </c>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row>
    <row r="23" spans="1:29" x14ac:dyDescent="0.2">
      <c r="A23" s="104">
        <f t="shared" si="3"/>
        <v>2040</v>
      </c>
      <c r="B23" s="52">
        <f t="shared" si="0"/>
        <v>55466400</v>
      </c>
      <c r="C23" s="15">
        <f t="shared" si="1"/>
        <v>51649100</v>
      </c>
      <c r="D23" s="331">
        <f t="shared" si="2"/>
        <v>3817300</v>
      </c>
      <c r="E23" s="332">
        <f>D23*NPV!C25</f>
        <v>861614.8654392357</v>
      </c>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row>
    <row r="24" spans="1:29" x14ac:dyDescent="0.2">
      <c r="A24" s="104">
        <f t="shared" si="3"/>
        <v>2041</v>
      </c>
      <c r="B24" s="52">
        <f t="shared" si="0"/>
        <v>65351600</v>
      </c>
      <c r="C24" s="15">
        <f t="shared" si="1"/>
        <v>51742200</v>
      </c>
      <c r="D24" s="331">
        <f>ROUND(B24-C24,0)</f>
        <v>13609400</v>
      </c>
      <c r="E24" s="332">
        <f>D24*NPV!C26</f>
        <v>2870860.5141983298</v>
      </c>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row>
    <row r="25" spans="1:29" x14ac:dyDescent="0.2">
      <c r="A25" s="104">
        <f t="shared" si="3"/>
        <v>2042</v>
      </c>
      <c r="B25" s="52">
        <f t="shared" si="0"/>
        <v>65572900</v>
      </c>
      <c r="C25" s="15">
        <f t="shared" si="1"/>
        <v>51960300</v>
      </c>
      <c r="D25" s="331">
        <f t="shared" si="2"/>
        <v>13612600</v>
      </c>
      <c r="E25" s="332">
        <f>D25*NPV!C27</f>
        <v>2683678.0787149854</v>
      </c>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row>
    <row r="26" spans="1:29" x14ac:dyDescent="0.2">
      <c r="A26" s="104">
        <f t="shared" si="3"/>
        <v>2043</v>
      </c>
      <c r="B26" s="52">
        <f t="shared" si="0"/>
        <v>65650800</v>
      </c>
      <c r="C26" s="15">
        <f t="shared" si="1"/>
        <v>52038200</v>
      </c>
      <c r="D26" s="331">
        <f t="shared" si="2"/>
        <v>13612600</v>
      </c>
      <c r="E26" s="332">
        <f>D26*NPV!C28</f>
        <v>2508110.3539392385</v>
      </c>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row>
    <row r="27" spans="1:29" x14ac:dyDescent="0.2">
      <c r="A27" s="104">
        <f t="shared" si="3"/>
        <v>2044</v>
      </c>
      <c r="B27" s="52">
        <f t="shared" si="0"/>
        <v>65747100</v>
      </c>
      <c r="C27" s="15">
        <f t="shared" si="1"/>
        <v>52718600</v>
      </c>
      <c r="D27" s="331">
        <f t="shared" si="2"/>
        <v>13028500</v>
      </c>
      <c r="E27" s="332">
        <f>D27*NPV!C29</f>
        <v>2243448.9806995313</v>
      </c>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row>
    <row r="28" spans="1:29" x14ac:dyDescent="0.2">
      <c r="A28" s="104">
        <f t="shared" si="3"/>
        <v>2045</v>
      </c>
      <c r="B28" s="52">
        <f t="shared" si="0"/>
        <v>65965200</v>
      </c>
      <c r="C28" s="15">
        <f t="shared" si="1"/>
        <v>52800900</v>
      </c>
      <c r="D28" s="331">
        <f t="shared" si="2"/>
        <v>13164300</v>
      </c>
      <c r="E28" s="332">
        <f>D28*NPV!C30</f>
        <v>2118535.634252789</v>
      </c>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row>
    <row r="29" spans="1:29" x14ac:dyDescent="0.2">
      <c r="A29" s="104">
        <f t="shared" si="3"/>
        <v>2046</v>
      </c>
      <c r="B29" s="52">
        <f t="shared" si="0"/>
        <v>66709500</v>
      </c>
      <c r="C29" s="15">
        <f t="shared" si="1"/>
        <v>53017800</v>
      </c>
      <c r="D29" s="331">
        <f t="shared" si="2"/>
        <v>13691700</v>
      </c>
      <c r="E29" s="332">
        <f>D29*NPV!C31</f>
        <v>2059261.9719317998</v>
      </c>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row>
    <row r="30" spans="1:29" x14ac:dyDescent="0.2">
      <c r="A30" s="104">
        <f t="shared" si="3"/>
        <v>2047</v>
      </c>
      <c r="B30" s="52">
        <f t="shared" si="0"/>
        <v>66724700</v>
      </c>
      <c r="C30" s="15">
        <f t="shared" si="1"/>
        <v>53100100</v>
      </c>
      <c r="D30" s="331">
        <f t="shared" si="2"/>
        <v>13624600</v>
      </c>
      <c r="E30" s="332">
        <f>D30*NPV!C32</f>
        <v>1915112.134091334</v>
      </c>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row>
    <row r="31" spans="1:29" x14ac:dyDescent="0.2">
      <c r="A31" s="104">
        <f t="shared" si="3"/>
        <v>2048</v>
      </c>
      <c r="B31" s="52">
        <f t="shared" si="0"/>
        <v>66884900</v>
      </c>
      <c r="C31" s="15">
        <f t="shared" si="1"/>
        <v>53257100</v>
      </c>
      <c r="D31" s="331">
        <f t="shared" si="2"/>
        <v>13627800</v>
      </c>
      <c r="E31" s="332">
        <f>D31*NPV!C33</f>
        <v>1790244.7991593191</v>
      </c>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row>
    <row r="32" spans="1:29" x14ac:dyDescent="0.2">
      <c r="A32" s="104">
        <f t="shared" si="3"/>
        <v>2049</v>
      </c>
      <c r="B32" s="52">
        <f t="shared" si="0"/>
        <v>67106200</v>
      </c>
      <c r="C32" s="15">
        <f t="shared" si="1"/>
        <v>53478400</v>
      </c>
      <c r="D32" s="331">
        <f t="shared" si="2"/>
        <v>13627800</v>
      </c>
      <c r="E32" s="332">
        <f>D32*NPV!C34</f>
        <v>1673125.9805227276</v>
      </c>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row>
    <row r="33" spans="1:30" x14ac:dyDescent="0.2">
      <c r="A33" s="104">
        <f t="shared" si="3"/>
        <v>2050</v>
      </c>
      <c r="B33" s="52">
        <f t="shared" si="0"/>
        <v>67262000</v>
      </c>
      <c r="C33" s="15">
        <f t="shared" si="1"/>
        <v>54015400</v>
      </c>
      <c r="D33" s="331">
        <f t="shared" si="2"/>
        <v>13246600</v>
      </c>
      <c r="E33" s="332">
        <f>D33*NPV!C35</f>
        <v>1519929.8227792725</v>
      </c>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row>
    <row r="34" spans="1:30" x14ac:dyDescent="0.2">
      <c r="A34" s="104">
        <f t="shared" si="3"/>
        <v>2051</v>
      </c>
      <c r="B34" s="52">
        <f t="shared" si="0"/>
        <v>67942400</v>
      </c>
      <c r="C34" s="15">
        <f t="shared" si="1"/>
        <v>54236700</v>
      </c>
      <c r="D34" s="331">
        <f t="shared" si="2"/>
        <v>13705700</v>
      </c>
      <c r="E34" s="332">
        <f>D34*NPV!C36</f>
        <v>1469726.611707231</v>
      </c>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row>
    <row r="35" spans="1:30" x14ac:dyDescent="0.2">
      <c r="A35" s="104">
        <f t="shared" si="3"/>
        <v>2052</v>
      </c>
      <c r="B35" s="52">
        <f t="shared" ref="B35:B39" si="4">L71</f>
        <v>68160500</v>
      </c>
      <c r="C35" s="15">
        <f t="shared" ref="C35:C39" si="5">Z71</f>
        <v>54319000</v>
      </c>
      <c r="D35" s="331">
        <f t="shared" si="2"/>
        <v>13841500</v>
      </c>
      <c r="E35" s="332">
        <f>D35*NPV!C37</f>
        <v>1387186.0596335314</v>
      </c>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row>
    <row r="36" spans="1:30" x14ac:dyDescent="0.2">
      <c r="A36" s="104">
        <f t="shared" si="3"/>
        <v>2053</v>
      </c>
      <c r="B36" s="52">
        <f t="shared" si="4"/>
        <v>68320700</v>
      </c>
      <c r="C36" s="15">
        <f t="shared" si="5"/>
        <v>54532700</v>
      </c>
      <c r="D36" s="331">
        <f t="shared" si="2"/>
        <v>13788000</v>
      </c>
      <c r="E36" s="332">
        <f>D36*NPV!C38</f>
        <v>1291424.6025160775</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row>
    <row r="37" spans="1:30" x14ac:dyDescent="0.2">
      <c r="A37" s="104">
        <f t="shared" si="3"/>
        <v>2054</v>
      </c>
      <c r="B37" s="52">
        <f t="shared" si="4"/>
        <v>68403000</v>
      </c>
      <c r="C37" s="15">
        <f t="shared" si="5"/>
        <v>54629000</v>
      </c>
      <c r="D37" s="331">
        <f t="shared" ref="D37:D39" si="6">ROUND(B37-C37,0)</f>
        <v>13774000</v>
      </c>
      <c r="E37" s="332">
        <f>D37*NPV!C39</f>
        <v>1205713.384458411</v>
      </c>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row>
    <row r="38" spans="1:30" x14ac:dyDescent="0.2">
      <c r="A38" s="104">
        <f t="shared" si="3"/>
        <v>2055</v>
      </c>
      <c r="B38" s="52">
        <f t="shared" si="4"/>
        <v>68624300</v>
      </c>
      <c r="C38" s="15">
        <f t="shared" si="5"/>
        <v>54836300</v>
      </c>
      <c r="D38" s="331">
        <f t="shared" si="6"/>
        <v>13788000</v>
      </c>
      <c r="E38" s="332">
        <f>D38*NPV!C40</f>
        <v>1127980.2624823805</v>
      </c>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row>
    <row r="39" spans="1:30" ht="13.5" thickBot="1" x14ac:dyDescent="0.25">
      <c r="A39" s="104">
        <f t="shared" si="3"/>
        <v>2056</v>
      </c>
      <c r="B39" s="76">
        <f t="shared" si="4"/>
        <v>68841200</v>
      </c>
      <c r="C39" s="78">
        <f t="shared" si="5"/>
        <v>54929400</v>
      </c>
      <c r="D39" s="333">
        <f t="shared" si="6"/>
        <v>13911800</v>
      </c>
      <c r="E39" s="334">
        <f>D39*NPV!C41</f>
        <v>1063652.5202466713</v>
      </c>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row>
    <row r="40" spans="1:30" ht="13.5" thickTop="1" x14ac:dyDescent="0.2">
      <c r="A40" s="93" t="s">
        <v>0</v>
      </c>
      <c r="B40" s="63">
        <f>SUM(B10:B39)</f>
        <v>1812995400</v>
      </c>
      <c r="C40" s="69">
        <f>SUM(C10:C39)</f>
        <v>1526821200</v>
      </c>
      <c r="D40" s="335">
        <f>SUM(D10:D39)</f>
        <v>286174200</v>
      </c>
      <c r="E40" s="336">
        <f>SUM(E10:E39)</f>
        <v>56657497.469249181</v>
      </c>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row>
    <row r="41" spans="1:30" ht="18" customHeight="1" x14ac:dyDescent="0.3">
      <c r="A41" s="167"/>
      <c r="B41" s="167"/>
      <c r="C41" s="122"/>
      <c r="D41" s="122"/>
      <c r="E41" s="122"/>
      <c r="F41" s="167"/>
      <c r="G41" s="167"/>
      <c r="H41" s="122"/>
      <c r="I41" s="122"/>
      <c r="J41" s="134"/>
      <c r="K41" s="146"/>
      <c r="L41" s="146"/>
      <c r="M41" s="146"/>
      <c r="N41" s="146"/>
      <c r="O41" s="146"/>
      <c r="P41" s="146"/>
      <c r="Q41" s="146"/>
      <c r="R41" s="146"/>
      <c r="S41" s="146"/>
      <c r="T41" s="144"/>
      <c r="U41" s="134"/>
      <c r="V41" s="122"/>
      <c r="W41" s="122"/>
      <c r="X41" s="122"/>
      <c r="Y41" s="122"/>
      <c r="Z41" s="122"/>
      <c r="AA41" s="122"/>
      <c r="AB41" s="122"/>
      <c r="AC41" s="122"/>
    </row>
    <row r="42" spans="1:30" ht="16.5" x14ac:dyDescent="0.3">
      <c r="A42" s="168"/>
      <c r="B42" s="122"/>
      <c r="C42" s="122"/>
      <c r="D42" s="122"/>
      <c r="E42" s="122"/>
      <c r="F42" s="122"/>
      <c r="G42" s="122"/>
      <c r="H42" s="122"/>
      <c r="I42" s="122"/>
      <c r="J42" s="122"/>
      <c r="K42" s="134"/>
      <c r="L42" s="146"/>
      <c r="M42" s="146"/>
      <c r="N42" s="146"/>
      <c r="O42" s="146"/>
      <c r="P42" s="146"/>
      <c r="Q42" s="146"/>
      <c r="R42" s="146"/>
      <c r="S42" s="146"/>
      <c r="T42" s="146"/>
      <c r="U42" s="144"/>
      <c r="V42" s="134"/>
      <c r="W42" s="122"/>
      <c r="X42" s="122"/>
      <c r="Y42" s="122"/>
      <c r="Z42" s="122"/>
      <c r="AA42" s="122"/>
      <c r="AB42" s="122"/>
      <c r="AC42" s="122"/>
    </row>
    <row r="43" spans="1:30" ht="13.9" customHeight="1" x14ac:dyDescent="0.2">
      <c r="A43" s="405" t="s">
        <v>1</v>
      </c>
      <c r="B43" s="405" t="s">
        <v>82</v>
      </c>
      <c r="C43" s="391" t="s">
        <v>29</v>
      </c>
      <c r="D43" s="392"/>
      <c r="E43" s="392"/>
      <c r="F43" s="392"/>
      <c r="G43" s="392"/>
      <c r="H43" s="392"/>
      <c r="I43" s="392"/>
      <c r="J43" s="392"/>
      <c r="K43" s="392"/>
      <c r="L43" s="423"/>
      <c r="M43" s="132"/>
      <c r="N43" s="405" t="s">
        <v>1</v>
      </c>
      <c r="O43" s="405" t="s">
        <v>271</v>
      </c>
      <c r="P43" s="405" t="s">
        <v>272</v>
      </c>
      <c r="Q43" s="391" t="s">
        <v>37</v>
      </c>
      <c r="R43" s="392"/>
      <c r="S43" s="392"/>
      <c r="T43" s="392"/>
      <c r="U43" s="392"/>
      <c r="V43" s="392"/>
      <c r="W43" s="392"/>
      <c r="X43" s="392"/>
      <c r="Y43" s="392"/>
      <c r="Z43" s="423"/>
      <c r="AA43" s="122"/>
      <c r="AB43" s="122"/>
      <c r="AC43" s="122"/>
      <c r="AD43" s="122"/>
    </row>
    <row r="44" spans="1:30" ht="13.15" customHeight="1" x14ac:dyDescent="0.2">
      <c r="A44" s="406"/>
      <c r="B44" s="406"/>
      <c r="C44" s="411" t="s">
        <v>43</v>
      </c>
      <c r="D44" s="411" t="s">
        <v>44</v>
      </c>
      <c r="E44" s="411" t="s">
        <v>45</v>
      </c>
      <c r="F44" s="411" t="s">
        <v>46</v>
      </c>
      <c r="G44" s="411" t="s">
        <v>47</v>
      </c>
      <c r="H44" s="391" t="s">
        <v>63</v>
      </c>
      <c r="I44" s="392"/>
      <c r="J44" s="392"/>
      <c r="K44" s="423"/>
      <c r="L44" s="411" t="s">
        <v>31</v>
      </c>
      <c r="M44" s="132"/>
      <c r="N44" s="406"/>
      <c r="O44" s="406"/>
      <c r="P44" s="406"/>
      <c r="Q44" s="411" t="s">
        <v>43</v>
      </c>
      <c r="R44" s="411" t="s">
        <v>44</v>
      </c>
      <c r="S44" s="411" t="s">
        <v>45</v>
      </c>
      <c r="T44" s="411" t="s">
        <v>46</v>
      </c>
      <c r="U44" s="411" t="s">
        <v>47</v>
      </c>
      <c r="V44" s="391" t="s">
        <v>63</v>
      </c>
      <c r="W44" s="392"/>
      <c r="X44" s="392"/>
      <c r="Y44" s="423"/>
      <c r="Z44" s="411" t="s">
        <v>31</v>
      </c>
      <c r="AA44" s="122"/>
      <c r="AB44" s="122"/>
      <c r="AC44" s="122"/>
      <c r="AD44" s="122"/>
    </row>
    <row r="45" spans="1:30" ht="39" thickBot="1" x14ac:dyDescent="0.25">
      <c r="A45" s="407"/>
      <c r="B45" s="407"/>
      <c r="C45" s="412"/>
      <c r="D45" s="412"/>
      <c r="E45" s="412"/>
      <c r="F45" s="412"/>
      <c r="G45" s="412"/>
      <c r="H45" s="17" t="s">
        <v>48</v>
      </c>
      <c r="I45" s="17" t="s">
        <v>49</v>
      </c>
      <c r="J45" s="17" t="s">
        <v>85</v>
      </c>
      <c r="K45" s="16" t="s">
        <v>8</v>
      </c>
      <c r="L45" s="412"/>
      <c r="M45" s="154"/>
      <c r="N45" s="407"/>
      <c r="O45" s="407"/>
      <c r="P45" s="407"/>
      <c r="Q45" s="412"/>
      <c r="R45" s="412"/>
      <c r="S45" s="412"/>
      <c r="T45" s="412"/>
      <c r="U45" s="412"/>
      <c r="V45" s="17" t="s">
        <v>48</v>
      </c>
      <c r="W45" s="17" t="s">
        <v>49</v>
      </c>
      <c r="X45" s="17" t="s">
        <v>85</v>
      </c>
      <c r="Y45" s="16" t="s">
        <v>8</v>
      </c>
      <c r="Z45" s="424"/>
      <c r="AA45" s="122"/>
      <c r="AB45" s="122"/>
      <c r="AC45" s="122"/>
      <c r="AD45" s="122"/>
    </row>
    <row r="46" spans="1:30" ht="13.5" thickTop="1" x14ac:dyDescent="0.2">
      <c r="A46" s="104">
        <v>2027</v>
      </c>
      <c r="B46" s="26">
        <f>'Travel Time'!B183</f>
        <v>14795</v>
      </c>
      <c r="C46" s="27">
        <f t="shared" ref="C46:C70" si="7">ROUND(B46*$B$122,0)</f>
        <v>154</v>
      </c>
      <c r="D46" s="49">
        <f t="shared" ref="D46:D70" si="8">ROUND(C46*$B$118,0)</f>
        <v>310</v>
      </c>
      <c r="E46" s="50">
        <f t="shared" ref="E46:E70" si="9">ROUND(D46*$B$113,0)</f>
        <v>612</v>
      </c>
      <c r="F46" s="13">
        <f t="shared" ref="F46:F70" si="10">ROUND(C46*$I$89*$B$118,0)</f>
        <v>224</v>
      </c>
      <c r="G46" s="27">
        <f t="shared" ref="G46:G70" si="11">ROUND(E46*$I$89,0)</f>
        <v>443</v>
      </c>
      <c r="H46" s="13">
        <f t="shared" ref="H46:H70" si="12">ROUND(E46*$I$87,0)</f>
        <v>107</v>
      </c>
      <c r="I46" s="51">
        <f t="shared" ref="I46:I70" si="13">ROUND(E46*$I$85,0)</f>
        <v>44</v>
      </c>
      <c r="J46" s="14">
        <f t="shared" ref="J46:J70" si="14">ROUND(E46*$I$83,0)</f>
        <v>15</v>
      </c>
      <c r="K46" s="53">
        <f t="shared" ref="K46:K70" si="15">ROUND(E46*$I$81,0)</f>
        <v>3</v>
      </c>
      <c r="L46" s="215">
        <f t="shared" ref="L46:L70" si="16">ROUND((F46*$B$97)+(G46*$B$102)+(H46*$B$103)+(I46*$B$104)+(J46*$B$105)+(K46*$B$106),0)</f>
        <v>50427000</v>
      </c>
      <c r="M46" s="122"/>
      <c r="N46" s="315">
        <f t="shared" ref="N46:N75" si="17">A46</f>
        <v>2027</v>
      </c>
      <c r="O46" s="105">
        <f>'Travel Time'!E183</f>
        <v>6819</v>
      </c>
      <c r="P46" s="27">
        <f>'Travel Time'!F183</f>
        <v>10311</v>
      </c>
      <c r="Q46" s="105">
        <f>ROUND((P46*$B$122)+(('Travel Time'!Q183/100000000)*Safety!$B$126),0)</f>
        <v>132</v>
      </c>
      <c r="R46" s="27">
        <f t="shared" ref="R46:R70" si="18">ROUND(Q46*$B$118,0)</f>
        <v>265</v>
      </c>
      <c r="S46" s="219">
        <f t="shared" ref="S46:S70" si="19">ROUND(R46*$B$113,0)</f>
        <v>523</v>
      </c>
      <c r="T46" s="51">
        <f t="shared" ref="T46:T70" si="20">ROUND(Q46*$I$89*$B$118,0)</f>
        <v>192</v>
      </c>
      <c r="U46" s="105">
        <f t="shared" ref="U46:U70" si="21">ROUND(S46*$I$89,0)</f>
        <v>379</v>
      </c>
      <c r="V46" s="51">
        <f t="shared" ref="V46:V70" si="22">ROUND(S46*$I$87,0)</f>
        <v>91</v>
      </c>
      <c r="W46" s="220">
        <f t="shared" ref="W46:W70" si="23">ROUND(S46*$I$85,0)</f>
        <v>37</v>
      </c>
      <c r="X46" s="53">
        <f t="shared" ref="X46:X70" si="24">ROUND(S46*$I$83,0)</f>
        <v>13</v>
      </c>
      <c r="Y46" s="214">
        <f t="shared" ref="Y46:Y70" si="25">ROUND(S46*$I$81,0)</f>
        <v>2</v>
      </c>
      <c r="Z46" s="52">
        <f t="shared" ref="Z46:Z70" si="26">ROUND((T46*$B$97)+(U46*$B$102)+(V46*$B$103)+(W46*$B$104)+(X46*$B$105)+(Y46*$B$106),0)</f>
        <v>37665800</v>
      </c>
      <c r="AA46" s="166"/>
      <c r="AB46" s="122"/>
      <c r="AC46" s="122"/>
      <c r="AD46" s="122"/>
    </row>
    <row r="47" spans="1:30" x14ac:dyDescent="0.2">
      <c r="A47" s="104">
        <f t="shared" ref="A47:A75" si="27">A46+1</f>
        <v>2028</v>
      </c>
      <c r="B47" s="26">
        <f>'Travel Time'!B184</f>
        <v>15032</v>
      </c>
      <c r="C47" s="27">
        <f t="shared" si="7"/>
        <v>156</v>
      </c>
      <c r="D47" s="49">
        <f t="shared" si="8"/>
        <v>314</v>
      </c>
      <c r="E47" s="50">
        <f t="shared" si="9"/>
        <v>620</v>
      </c>
      <c r="F47" s="13">
        <f t="shared" si="10"/>
        <v>227</v>
      </c>
      <c r="G47" s="27">
        <f t="shared" si="11"/>
        <v>449</v>
      </c>
      <c r="H47" s="13">
        <f t="shared" si="12"/>
        <v>108</v>
      </c>
      <c r="I47" s="51">
        <f t="shared" si="13"/>
        <v>44</v>
      </c>
      <c r="J47" s="14">
        <f t="shared" si="14"/>
        <v>15</v>
      </c>
      <c r="K47" s="53">
        <f t="shared" si="15"/>
        <v>3</v>
      </c>
      <c r="L47" s="215">
        <f t="shared" si="16"/>
        <v>50523300</v>
      </c>
      <c r="M47" s="122"/>
      <c r="N47" s="315">
        <f t="shared" si="17"/>
        <v>2028</v>
      </c>
      <c r="O47" s="105">
        <f>'Travel Time'!E184</f>
        <v>6928</v>
      </c>
      <c r="P47" s="27">
        <f>'Travel Time'!F184</f>
        <v>10476</v>
      </c>
      <c r="Q47" s="105">
        <f>ROUND((P47*$B$122)+(('Travel Time'!Q184/100000000)*Safety!$B$126),0)</f>
        <v>134</v>
      </c>
      <c r="R47" s="27">
        <f t="shared" si="18"/>
        <v>269</v>
      </c>
      <c r="S47" s="219">
        <f t="shared" si="19"/>
        <v>531</v>
      </c>
      <c r="T47" s="51">
        <f t="shared" si="20"/>
        <v>195</v>
      </c>
      <c r="U47" s="105">
        <f t="shared" si="21"/>
        <v>385</v>
      </c>
      <c r="V47" s="51">
        <f t="shared" si="22"/>
        <v>93</v>
      </c>
      <c r="W47" s="220">
        <f t="shared" si="23"/>
        <v>38</v>
      </c>
      <c r="X47" s="53">
        <f t="shared" si="24"/>
        <v>13</v>
      </c>
      <c r="Y47" s="214">
        <f t="shared" si="25"/>
        <v>2</v>
      </c>
      <c r="Z47" s="52">
        <f t="shared" si="26"/>
        <v>37951000</v>
      </c>
      <c r="AA47" s="166"/>
      <c r="AB47" s="122"/>
      <c r="AC47" s="122"/>
      <c r="AD47" s="122"/>
    </row>
    <row r="48" spans="1:30" x14ac:dyDescent="0.2">
      <c r="A48" s="104">
        <f t="shared" si="27"/>
        <v>2029</v>
      </c>
      <c r="B48" s="26">
        <f>'Travel Time'!B185</f>
        <v>15273</v>
      </c>
      <c r="C48" s="27">
        <f t="shared" si="7"/>
        <v>159</v>
      </c>
      <c r="D48" s="49">
        <f t="shared" si="8"/>
        <v>320</v>
      </c>
      <c r="E48" s="50">
        <f t="shared" si="9"/>
        <v>632</v>
      </c>
      <c r="F48" s="13">
        <f t="shared" si="10"/>
        <v>232</v>
      </c>
      <c r="G48" s="27">
        <f t="shared" si="11"/>
        <v>458</v>
      </c>
      <c r="H48" s="13">
        <f t="shared" si="12"/>
        <v>111</v>
      </c>
      <c r="I48" s="51">
        <f t="shared" si="13"/>
        <v>45</v>
      </c>
      <c r="J48" s="14">
        <f t="shared" si="14"/>
        <v>16</v>
      </c>
      <c r="K48" s="53">
        <f t="shared" si="15"/>
        <v>3</v>
      </c>
      <c r="L48" s="215">
        <f t="shared" si="16"/>
        <v>51349900</v>
      </c>
      <c r="M48" s="122"/>
      <c r="N48" s="315">
        <f t="shared" si="17"/>
        <v>2029</v>
      </c>
      <c r="O48" s="105">
        <f>'Travel Time'!E185</f>
        <v>7039</v>
      </c>
      <c r="P48" s="27">
        <f>'Travel Time'!F185</f>
        <v>10644</v>
      </c>
      <c r="Q48" s="105">
        <f>ROUND((P48*$B$122)+(('Travel Time'!Q185/100000000)*Safety!$B$126),0)</f>
        <v>136</v>
      </c>
      <c r="R48" s="27">
        <f t="shared" si="18"/>
        <v>273</v>
      </c>
      <c r="S48" s="219">
        <f t="shared" si="19"/>
        <v>539</v>
      </c>
      <c r="T48" s="51">
        <f t="shared" si="20"/>
        <v>198</v>
      </c>
      <c r="U48" s="105">
        <f t="shared" si="21"/>
        <v>390</v>
      </c>
      <c r="V48" s="51">
        <f t="shared" si="22"/>
        <v>94</v>
      </c>
      <c r="W48" s="220">
        <f t="shared" si="23"/>
        <v>38</v>
      </c>
      <c r="X48" s="53">
        <f t="shared" si="24"/>
        <v>13</v>
      </c>
      <c r="Y48" s="214">
        <f t="shared" si="25"/>
        <v>3</v>
      </c>
      <c r="Z48" s="52">
        <f t="shared" si="26"/>
        <v>47644100</v>
      </c>
      <c r="AA48" s="166"/>
      <c r="AB48" s="122"/>
      <c r="AC48" s="122"/>
      <c r="AD48" s="122"/>
    </row>
    <row r="49" spans="1:30" x14ac:dyDescent="0.2">
      <c r="A49" s="104">
        <f t="shared" si="27"/>
        <v>2030</v>
      </c>
      <c r="B49" s="26">
        <f>'Travel Time'!B186</f>
        <v>15517</v>
      </c>
      <c r="C49" s="27">
        <f t="shared" si="7"/>
        <v>161</v>
      </c>
      <c r="D49" s="49">
        <f t="shared" si="8"/>
        <v>324</v>
      </c>
      <c r="E49" s="50">
        <f t="shared" si="9"/>
        <v>640</v>
      </c>
      <c r="F49" s="13">
        <f t="shared" si="10"/>
        <v>234</v>
      </c>
      <c r="G49" s="27">
        <f t="shared" si="11"/>
        <v>464</v>
      </c>
      <c r="H49" s="13">
        <f t="shared" si="12"/>
        <v>112</v>
      </c>
      <c r="I49" s="51">
        <f t="shared" si="13"/>
        <v>46</v>
      </c>
      <c r="J49" s="14">
        <f t="shared" si="14"/>
        <v>16</v>
      </c>
      <c r="K49" s="53">
        <f t="shared" si="15"/>
        <v>3</v>
      </c>
      <c r="L49" s="215">
        <f t="shared" si="16"/>
        <v>51566800</v>
      </c>
      <c r="M49" s="122"/>
      <c r="N49" s="315">
        <f t="shared" si="17"/>
        <v>2030</v>
      </c>
      <c r="O49" s="105">
        <f>'Travel Time'!E186</f>
        <v>7152</v>
      </c>
      <c r="P49" s="27">
        <f>'Travel Time'!F186</f>
        <v>10814</v>
      </c>
      <c r="Q49" s="105">
        <f>ROUND((P49*$B$122)+(('Travel Time'!Q186/100000000)*Safety!$B$126),0)</f>
        <v>138</v>
      </c>
      <c r="R49" s="27">
        <f t="shared" si="18"/>
        <v>277</v>
      </c>
      <c r="S49" s="219">
        <f t="shared" si="19"/>
        <v>547</v>
      </c>
      <c r="T49" s="51">
        <f t="shared" si="20"/>
        <v>201</v>
      </c>
      <c r="U49" s="105">
        <f t="shared" si="21"/>
        <v>396</v>
      </c>
      <c r="V49" s="51">
        <f t="shared" si="22"/>
        <v>96</v>
      </c>
      <c r="W49" s="220">
        <f t="shared" si="23"/>
        <v>39</v>
      </c>
      <c r="X49" s="53">
        <f t="shared" si="24"/>
        <v>14</v>
      </c>
      <c r="Y49" s="214">
        <f t="shared" si="25"/>
        <v>3</v>
      </c>
      <c r="Z49" s="52">
        <f t="shared" si="26"/>
        <v>48388400</v>
      </c>
      <c r="AA49" s="166"/>
      <c r="AB49" s="122"/>
      <c r="AC49" s="122"/>
      <c r="AD49" s="122"/>
    </row>
    <row r="50" spans="1:30" x14ac:dyDescent="0.2">
      <c r="A50" s="104">
        <f t="shared" si="27"/>
        <v>2031</v>
      </c>
      <c r="B50" s="26">
        <f>'Travel Time'!B187</f>
        <v>15765</v>
      </c>
      <c r="C50" s="27">
        <f t="shared" si="7"/>
        <v>164</v>
      </c>
      <c r="D50" s="49">
        <f t="shared" si="8"/>
        <v>330</v>
      </c>
      <c r="E50" s="50">
        <f t="shared" si="9"/>
        <v>651</v>
      </c>
      <c r="F50" s="13">
        <f t="shared" si="10"/>
        <v>239</v>
      </c>
      <c r="G50" s="27">
        <f t="shared" si="11"/>
        <v>472</v>
      </c>
      <c r="H50" s="13">
        <f t="shared" si="12"/>
        <v>114</v>
      </c>
      <c r="I50" s="51">
        <f t="shared" si="13"/>
        <v>46</v>
      </c>
      <c r="J50" s="14">
        <f t="shared" si="14"/>
        <v>16</v>
      </c>
      <c r="K50" s="53">
        <f t="shared" si="15"/>
        <v>3</v>
      </c>
      <c r="L50" s="215">
        <f t="shared" si="16"/>
        <v>51742200</v>
      </c>
      <c r="M50" s="122"/>
      <c r="N50" s="315">
        <f t="shared" si="17"/>
        <v>2031</v>
      </c>
      <c r="O50" s="105">
        <f>'Travel Time'!E187</f>
        <v>7266</v>
      </c>
      <c r="P50" s="27">
        <f>'Travel Time'!F187</f>
        <v>10987</v>
      </c>
      <c r="Q50" s="105">
        <f>ROUND((P50*$B$122)+(('Travel Time'!Q187/100000000)*Safety!$B$126),0)</f>
        <v>140</v>
      </c>
      <c r="R50" s="27">
        <f t="shared" si="18"/>
        <v>281</v>
      </c>
      <c r="S50" s="219">
        <f t="shared" si="19"/>
        <v>555</v>
      </c>
      <c r="T50" s="51">
        <f t="shared" si="20"/>
        <v>204</v>
      </c>
      <c r="U50" s="105">
        <f t="shared" si="21"/>
        <v>402</v>
      </c>
      <c r="V50" s="51">
        <f t="shared" si="22"/>
        <v>97</v>
      </c>
      <c r="W50" s="220">
        <f t="shared" si="23"/>
        <v>40</v>
      </c>
      <c r="X50" s="53">
        <f t="shared" si="24"/>
        <v>14</v>
      </c>
      <c r="Y50" s="214">
        <f t="shared" si="25"/>
        <v>3</v>
      </c>
      <c r="Z50" s="52">
        <f t="shared" si="26"/>
        <v>48609700</v>
      </c>
      <c r="AA50" s="166"/>
      <c r="AB50" s="122"/>
      <c r="AC50" s="122"/>
      <c r="AD50" s="122"/>
    </row>
    <row r="51" spans="1:30" x14ac:dyDescent="0.2">
      <c r="A51" s="104">
        <f t="shared" si="27"/>
        <v>2032</v>
      </c>
      <c r="B51" s="26">
        <f>'Travel Time'!B188</f>
        <v>16018</v>
      </c>
      <c r="C51" s="27">
        <f t="shared" si="7"/>
        <v>167</v>
      </c>
      <c r="D51" s="49">
        <f t="shared" si="8"/>
        <v>336</v>
      </c>
      <c r="E51" s="50">
        <f t="shared" si="9"/>
        <v>663</v>
      </c>
      <c r="F51" s="13">
        <f t="shared" si="10"/>
        <v>243</v>
      </c>
      <c r="G51" s="27">
        <f t="shared" si="11"/>
        <v>480</v>
      </c>
      <c r="H51" s="13">
        <f t="shared" si="12"/>
        <v>116</v>
      </c>
      <c r="I51" s="51">
        <f t="shared" si="13"/>
        <v>47</v>
      </c>
      <c r="J51" s="14">
        <f t="shared" si="14"/>
        <v>16</v>
      </c>
      <c r="K51" s="53">
        <f t="shared" si="15"/>
        <v>3</v>
      </c>
      <c r="L51" s="215">
        <f t="shared" si="16"/>
        <v>52038200</v>
      </c>
      <c r="M51" s="122"/>
      <c r="N51" s="315">
        <f t="shared" si="17"/>
        <v>2032</v>
      </c>
      <c r="O51" s="105">
        <f>'Travel Time'!E188</f>
        <v>7382</v>
      </c>
      <c r="P51" s="27">
        <f>'Travel Time'!F188</f>
        <v>11163</v>
      </c>
      <c r="Q51" s="105">
        <f>ROUND((P51*$B$122)+(('Travel Time'!Q188/100000000)*Safety!$B$126),0)</f>
        <v>142</v>
      </c>
      <c r="R51" s="27">
        <f t="shared" si="18"/>
        <v>285</v>
      </c>
      <c r="S51" s="219">
        <f t="shared" si="19"/>
        <v>563</v>
      </c>
      <c r="T51" s="51">
        <f t="shared" si="20"/>
        <v>207</v>
      </c>
      <c r="U51" s="105">
        <f t="shared" si="21"/>
        <v>408</v>
      </c>
      <c r="V51" s="51">
        <f t="shared" si="22"/>
        <v>98</v>
      </c>
      <c r="W51" s="220">
        <f t="shared" si="23"/>
        <v>40</v>
      </c>
      <c r="X51" s="53">
        <f t="shared" si="24"/>
        <v>14</v>
      </c>
      <c r="Y51" s="214">
        <f t="shared" si="25"/>
        <v>3</v>
      </c>
      <c r="Z51" s="52">
        <f t="shared" si="26"/>
        <v>48706000</v>
      </c>
      <c r="AA51" s="166"/>
      <c r="AB51" s="122"/>
      <c r="AC51" s="122"/>
      <c r="AD51" s="122"/>
    </row>
    <row r="52" spans="1:30" x14ac:dyDescent="0.2">
      <c r="A52" s="104">
        <f t="shared" si="27"/>
        <v>2033</v>
      </c>
      <c r="B52" s="26">
        <f>'Travel Time'!B189</f>
        <v>16274</v>
      </c>
      <c r="C52" s="27">
        <f t="shared" si="7"/>
        <v>169</v>
      </c>
      <c r="D52" s="49">
        <f t="shared" si="8"/>
        <v>340</v>
      </c>
      <c r="E52" s="50">
        <f t="shared" si="9"/>
        <v>671</v>
      </c>
      <c r="F52" s="13">
        <f t="shared" si="10"/>
        <v>246</v>
      </c>
      <c r="G52" s="27">
        <f t="shared" si="11"/>
        <v>486</v>
      </c>
      <c r="H52" s="13">
        <f t="shared" si="12"/>
        <v>117</v>
      </c>
      <c r="I52" s="51">
        <f t="shared" si="13"/>
        <v>48</v>
      </c>
      <c r="J52" s="14">
        <f t="shared" si="14"/>
        <v>17</v>
      </c>
      <c r="K52" s="53">
        <f t="shared" si="15"/>
        <v>3</v>
      </c>
      <c r="L52" s="215">
        <f t="shared" si="16"/>
        <v>52718600</v>
      </c>
      <c r="M52" s="122"/>
      <c r="N52" s="315">
        <f t="shared" ref="N52:N66" si="28">A52</f>
        <v>2033</v>
      </c>
      <c r="O52" s="105">
        <f>'Travel Time'!E189</f>
        <v>7501</v>
      </c>
      <c r="P52" s="27">
        <f>'Travel Time'!F189</f>
        <v>11341</v>
      </c>
      <c r="Q52" s="105">
        <f>ROUND((P52*$B$122)+(('Travel Time'!Q189/100000000)*Safety!$B$126),0)</f>
        <v>145</v>
      </c>
      <c r="R52" s="27">
        <f t="shared" si="18"/>
        <v>291</v>
      </c>
      <c r="S52" s="219">
        <f t="shared" si="19"/>
        <v>574</v>
      </c>
      <c r="T52" s="51">
        <f t="shared" si="20"/>
        <v>211</v>
      </c>
      <c r="U52" s="105">
        <f t="shared" si="21"/>
        <v>416</v>
      </c>
      <c r="V52" s="51">
        <f t="shared" si="22"/>
        <v>100</v>
      </c>
      <c r="W52" s="220">
        <f t="shared" si="23"/>
        <v>41</v>
      </c>
      <c r="X52" s="53">
        <f t="shared" si="24"/>
        <v>14</v>
      </c>
      <c r="Y52" s="214">
        <f t="shared" si="25"/>
        <v>3</v>
      </c>
      <c r="Z52" s="52">
        <f t="shared" si="26"/>
        <v>49002000</v>
      </c>
      <c r="AA52" s="166"/>
      <c r="AB52" s="122"/>
      <c r="AC52" s="122"/>
      <c r="AD52" s="122"/>
    </row>
    <row r="53" spans="1:30" x14ac:dyDescent="0.2">
      <c r="A53" s="104">
        <f t="shared" si="27"/>
        <v>2034</v>
      </c>
      <c r="B53" s="26">
        <f>'Travel Time'!B190</f>
        <v>16534</v>
      </c>
      <c r="C53" s="27">
        <f t="shared" si="7"/>
        <v>172</v>
      </c>
      <c r="D53" s="49">
        <f t="shared" si="8"/>
        <v>346</v>
      </c>
      <c r="E53" s="50">
        <f t="shared" si="9"/>
        <v>683</v>
      </c>
      <c r="F53" s="13">
        <f t="shared" si="10"/>
        <v>250</v>
      </c>
      <c r="G53" s="27">
        <f t="shared" si="11"/>
        <v>495</v>
      </c>
      <c r="H53" s="13">
        <f t="shared" si="12"/>
        <v>119</v>
      </c>
      <c r="I53" s="51">
        <f t="shared" si="13"/>
        <v>49</v>
      </c>
      <c r="J53" s="14">
        <f t="shared" si="14"/>
        <v>17</v>
      </c>
      <c r="K53" s="53">
        <f t="shared" si="15"/>
        <v>3</v>
      </c>
      <c r="L53" s="215">
        <f t="shared" si="16"/>
        <v>53017800</v>
      </c>
      <c r="M53" s="122"/>
      <c r="N53" s="315">
        <f t="shared" si="28"/>
        <v>2034</v>
      </c>
      <c r="O53" s="105">
        <f>'Travel Time'!E190</f>
        <v>7621</v>
      </c>
      <c r="P53" s="27">
        <f>'Travel Time'!F190</f>
        <v>11523</v>
      </c>
      <c r="Q53" s="105">
        <f>ROUND((P53*$B$122)+(('Travel Time'!Q190/100000000)*Safety!$B$126),0)</f>
        <v>147</v>
      </c>
      <c r="R53" s="27">
        <f t="shared" si="18"/>
        <v>295</v>
      </c>
      <c r="S53" s="219">
        <f t="shared" si="19"/>
        <v>582</v>
      </c>
      <c r="T53" s="51">
        <f t="shared" si="20"/>
        <v>214</v>
      </c>
      <c r="U53" s="105">
        <f t="shared" si="21"/>
        <v>422</v>
      </c>
      <c r="V53" s="51">
        <f t="shared" si="22"/>
        <v>102</v>
      </c>
      <c r="W53" s="220">
        <f t="shared" si="23"/>
        <v>41</v>
      </c>
      <c r="X53" s="53">
        <f t="shared" si="24"/>
        <v>14</v>
      </c>
      <c r="Y53" s="214">
        <f t="shared" si="25"/>
        <v>3</v>
      </c>
      <c r="Z53" s="52">
        <f t="shared" si="26"/>
        <v>49162200</v>
      </c>
      <c r="AA53" s="166"/>
      <c r="AB53" s="122"/>
      <c r="AC53" s="122"/>
      <c r="AD53" s="122"/>
    </row>
    <row r="54" spans="1:30" x14ac:dyDescent="0.2">
      <c r="A54" s="104">
        <f t="shared" si="27"/>
        <v>2035</v>
      </c>
      <c r="B54" s="26">
        <f>'Travel Time'!B191</f>
        <v>16799</v>
      </c>
      <c r="C54" s="27">
        <f t="shared" si="7"/>
        <v>175</v>
      </c>
      <c r="D54" s="49">
        <f t="shared" si="8"/>
        <v>352</v>
      </c>
      <c r="E54" s="50">
        <f t="shared" si="9"/>
        <v>695</v>
      </c>
      <c r="F54" s="13">
        <f t="shared" si="10"/>
        <v>255</v>
      </c>
      <c r="G54" s="27">
        <f t="shared" si="11"/>
        <v>503</v>
      </c>
      <c r="H54" s="13">
        <f t="shared" si="12"/>
        <v>122</v>
      </c>
      <c r="I54" s="51">
        <f t="shared" si="13"/>
        <v>49</v>
      </c>
      <c r="J54" s="14">
        <f t="shared" si="14"/>
        <v>17</v>
      </c>
      <c r="K54" s="53">
        <f t="shared" si="15"/>
        <v>3</v>
      </c>
      <c r="L54" s="215">
        <f t="shared" si="16"/>
        <v>53257100</v>
      </c>
      <c r="M54" s="122"/>
      <c r="N54" s="315">
        <f t="shared" si="28"/>
        <v>2035</v>
      </c>
      <c r="O54" s="105">
        <f>'Travel Time'!E191</f>
        <v>7742</v>
      </c>
      <c r="P54" s="27">
        <f>'Travel Time'!F191</f>
        <v>11707</v>
      </c>
      <c r="Q54" s="105">
        <f>ROUND((P54*$B$122)+(('Travel Time'!Q191/100000000)*Safety!$B$126),0)</f>
        <v>149</v>
      </c>
      <c r="R54" s="27">
        <f t="shared" si="18"/>
        <v>299</v>
      </c>
      <c r="S54" s="219">
        <f t="shared" si="19"/>
        <v>590</v>
      </c>
      <c r="T54" s="51">
        <f t="shared" si="20"/>
        <v>217</v>
      </c>
      <c r="U54" s="105">
        <f t="shared" si="21"/>
        <v>427</v>
      </c>
      <c r="V54" s="51">
        <f t="shared" si="22"/>
        <v>103</v>
      </c>
      <c r="W54" s="220">
        <f t="shared" si="23"/>
        <v>42</v>
      </c>
      <c r="X54" s="53">
        <f t="shared" si="24"/>
        <v>15</v>
      </c>
      <c r="Y54" s="214">
        <f t="shared" si="25"/>
        <v>3</v>
      </c>
      <c r="Z54" s="52">
        <f t="shared" si="26"/>
        <v>49839400</v>
      </c>
      <c r="AA54" s="166"/>
      <c r="AB54" s="122"/>
      <c r="AC54" s="122"/>
      <c r="AD54" s="122"/>
    </row>
    <row r="55" spans="1:30" x14ac:dyDescent="0.2">
      <c r="A55" s="104">
        <f t="shared" si="27"/>
        <v>2036</v>
      </c>
      <c r="B55" s="26">
        <f>'Travel Time'!B192</f>
        <v>17068</v>
      </c>
      <c r="C55" s="27">
        <f t="shared" si="7"/>
        <v>178</v>
      </c>
      <c r="D55" s="49">
        <f t="shared" si="8"/>
        <v>358</v>
      </c>
      <c r="E55" s="50">
        <f t="shared" si="9"/>
        <v>707</v>
      </c>
      <c r="F55" s="13">
        <f t="shared" si="10"/>
        <v>259</v>
      </c>
      <c r="G55" s="27">
        <f t="shared" si="11"/>
        <v>512</v>
      </c>
      <c r="H55" s="13">
        <f t="shared" si="12"/>
        <v>124</v>
      </c>
      <c r="I55" s="51">
        <f t="shared" si="13"/>
        <v>50</v>
      </c>
      <c r="J55" s="14">
        <f t="shared" si="14"/>
        <v>18</v>
      </c>
      <c r="K55" s="53">
        <f t="shared" si="15"/>
        <v>3</v>
      </c>
      <c r="L55" s="215">
        <f t="shared" si="16"/>
        <v>54015400</v>
      </c>
      <c r="M55" s="122"/>
      <c r="N55" s="315">
        <f t="shared" si="28"/>
        <v>2036</v>
      </c>
      <c r="O55" s="105">
        <f>'Travel Time'!E192</f>
        <v>7866</v>
      </c>
      <c r="P55" s="27">
        <f>'Travel Time'!F192</f>
        <v>11894</v>
      </c>
      <c r="Q55" s="105">
        <f>ROUND((P55*$B$122)+(('Travel Time'!Q192/100000000)*Safety!$B$126),0)</f>
        <v>152</v>
      </c>
      <c r="R55" s="27">
        <f t="shared" si="18"/>
        <v>306</v>
      </c>
      <c r="S55" s="219">
        <f t="shared" si="19"/>
        <v>604</v>
      </c>
      <c r="T55" s="51">
        <f t="shared" si="20"/>
        <v>221</v>
      </c>
      <c r="U55" s="105">
        <f t="shared" si="21"/>
        <v>438</v>
      </c>
      <c r="V55" s="51">
        <f t="shared" si="22"/>
        <v>106</v>
      </c>
      <c r="W55" s="220">
        <f t="shared" si="23"/>
        <v>43</v>
      </c>
      <c r="X55" s="53">
        <f t="shared" si="24"/>
        <v>15</v>
      </c>
      <c r="Y55" s="214">
        <f t="shared" si="25"/>
        <v>3</v>
      </c>
      <c r="Z55" s="52">
        <f t="shared" si="26"/>
        <v>50208900</v>
      </c>
      <c r="AA55" s="166"/>
      <c r="AB55" s="122"/>
      <c r="AC55" s="122"/>
      <c r="AD55" s="122"/>
    </row>
    <row r="56" spans="1:30" x14ac:dyDescent="0.2">
      <c r="A56" s="104">
        <f t="shared" si="27"/>
        <v>2037</v>
      </c>
      <c r="B56" s="26">
        <f>'Travel Time'!B193</f>
        <v>17341</v>
      </c>
      <c r="C56" s="27">
        <f t="shared" si="7"/>
        <v>180</v>
      </c>
      <c r="D56" s="49">
        <f t="shared" si="8"/>
        <v>362</v>
      </c>
      <c r="E56" s="50">
        <f t="shared" si="9"/>
        <v>715</v>
      </c>
      <c r="F56" s="13">
        <f t="shared" si="10"/>
        <v>262</v>
      </c>
      <c r="G56" s="27">
        <f t="shared" si="11"/>
        <v>518</v>
      </c>
      <c r="H56" s="13">
        <f t="shared" si="12"/>
        <v>125</v>
      </c>
      <c r="I56" s="51">
        <f t="shared" si="13"/>
        <v>51</v>
      </c>
      <c r="J56" s="14">
        <f t="shared" si="14"/>
        <v>18</v>
      </c>
      <c r="K56" s="53">
        <f t="shared" si="15"/>
        <v>3</v>
      </c>
      <c r="L56" s="215">
        <f t="shared" si="16"/>
        <v>54236700</v>
      </c>
      <c r="M56" s="122"/>
      <c r="N56" s="315">
        <f t="shared" si="28"/>
        <v>2037</v>
      </c>
      <c r="O56" s="105">
        <f>'Travel Time'!E193</f>
        <v>7992</v>
      </c>
      <c r="P56" s="27">
        <f>'Travel Time'!F193</f>
        <v>12085</v>
      </c>
      <c r="Q56" s="105">
        <f>ROUND((P56*$B$122)+(('Travel Time'!Q193/100000000)*Safety!$B$126),0)</f>
        <v>154</v>
      </c>
      <c r="R56" s="27">
        <f t="shared" si="18"/>
        <v>310</v>
      </c>
      <c r="S56" s="219">
        <f t="shared" si="19"/>
        <v>612</v>
      </c>
      <c r="T56" s="51">
        <f t="shared" si="20"/>
        <v>224</v>
      </c>
      <c r="U56" s="105">
        <f t="shared" si="21"/>
        <v>443</v>
      </c>
      <c r="V56" s="51">
        <f t="shared" si="22"/>
        <v>107</v>
      </c>
      <c r="W56" s="220">
        <f t="shared" si="23"/>
        <v>44</v>
      </c>
      <c r="X56" s="53">
        <f t="shared" si="24"/>
        <v>15</v>
      </c>
      <c r="Y56" s="214">
        <f t="shared" si="25"/>
        <v>3</v>
      </c>
      <c r="Z56" s="52">
        <f t="shared" si="26"/>
        <v>50427000</v>
      </c>
      <c r="AA56" s="166"/>
      <c r="AB56" s="122"/>
      <c r="AC56" s="122"/>
      <c r="AD56" s="122"/>
    </row>
    <row r="57" spans="1:30" x14ac:dyDescent="0.2">
      <c r="A57" s="104">
        <f t="shared" si="27"/>
        <v>2038</v>
      </c>
      <c r="B57" s="26">
        <f>'Travel Time'!B194</f>
        <v>17618</v>
      </c>
      <c r="C57" s="27">
        <f t="shared" si="7"/>
        <v>183</v>
      </c>
      <c r="D57" s="49">
        <f t="shared" si="8"/>
        <v>368</v>
      </c>
      <c r="E57" s="50">
        <f t="shared" si="9"/>
        <v>726</v>
      </c>
      <c r="F57" s="13">
        <f t="shared" si="10"/>
        <v>266</v>
      </c>
      <c r="G57" s="27">
        <f t="shared" si="11"/>
        <v>526</v>
      </c>
      <c r="H57" s="13">
        <f t="shared" si="12"/>
        <v>127</v>
      </c>
      <c r="I57" s="51">
        <f t="shared" si="13"/>
        <v>52</v>
      </c>
      <c r="J57" s="14">
        <f t="shared" si="14"/>
        <v>18</v>
      </c>
      <c r="K57" s="53">
        <f t="shared" si="15"/>
        <v>3</v>
      </c>
      <c r="L57" s="215">
        <f t="shared" si="16"/>
        <v>54532700</v>
      </c>
      <c r="M57" s="122"/>
      <c r="N57" s="315">
        <f t="shared" si="28"/>
        <v>2038</v>
      </c>
      <c r="O57" s="105">
        <f>'Travel Time'!E194</f>
        <v>8120</v>
      </c>
      <c r="P57" s="27">
        <f>'Travel Time'!F194</f>
        <v>12278</v>
      </c>
      <c r="Q57" s="105">
        <f>ROUND((P57*$B$122)+(('Travel Time'!Q194/100000000)*Safety!$B$126),0)</f>
        <v>157</v>
      </c>
      <c r="R57" s="27">
        <f t="shared" si="18"/>
        <v>316</v>
      </c>
      <c r="S57" s="219">
        <f t="shared" si="19"/>
        <v>624</v>
      </c>
      <c r="T57" s="51">
        <f t="shared" si="20"/>
        <v>229</v>
      </c>
      <c r="U57" s="105">
        <f t="shared" si="21"/>
        <v>452</v>
      </c>
      <c r="V57" s="51">
        <f t="shared" si="22"/>
        <v>109</v>
      </c>
      <c r="W57" s="220">
        <f t="shared" si="23"/>
        <v>44</v>
      </c>
      <c r="X57" s="53">
        <f t="shared" si="24"/>
        <v>15</v>
      </c>
      <c r="Y57" s="214">
        <f t="shared" si="25"/>
        <v>3</v>
      </c>
      <c r="Z57" s="52">
        <f t="shared" si="26"/>
        <v>50605600</v>
      </c>
      <c r="AA57" s="166"/>
      <c r="AB57" s="122"/>
      <c r="AC57" s="122"/>
      <c r="AD57" s="122"/>
    </row>
    <row r="58" spans="1:30" x14ac:dyDescent="0.2">
      <c r="A58" s="104">
        <f t="shared" si="27"/>
        <v>2039</v>
      </c>
      <c r="B58" s="26">
        <f>'Travel Time'!B195</f>
        <v>17900</v>
      </c>
      <c r="C58" s="27">
        <f t="shared" si="7"/>
        <v>186</v>
      </c>
      <c r="D58" s="49">
        <f t="shared" si="8"/>
        <v>374</v>
      </c>
      <c r="E58" s="50">
        <f t="shared" si="9"/>
        <v>738</v>
      </c>
      <c r="F58" s="13">
        <f t="shared" si="10"/>
        <v>271</v>
      </c>
      <c r="G58" s="27">
        <f t="shared" si="11"/>
        <v>535</v>
      </c>
      <c r="H58" s="13">
        <f t="shared" si="12"/>
        <v>129</v>
      </c>
      <c r="I58" s="51">
        <f t="shared" si="13"/>
        <v>53</v>
      </c>
      <c r="J58" s="14">
        <f t="shared" si="14"/>
        <v>18</v>
      </c>
      <c r="K58" s="53">
        <f t="shared" si="15"/>
        <v>3</v>
      </c>
      <c r="L58" s="215">
        <f t="shared" si="16"/>
        <v>54836300</v>
      </c>
      <c r="M58" s="122"/>
      <c r="N58" s="315">
        <f t="shared" si="28"/>
        <v>2039</v>
      </c>
      <c r="O58" s="105">
        <f>'Travel Time'!E195</f>
        <v>8250</v>
      </c>
      <c r="P58" s="27">
        <f>'Travel Time'!F195</f>
        <v>12475</v>
      </c>
      <c r="Q58" s="105">
        <f>ROUND((P58*$B$122)+(('Travel Time'!Q195/100000000)*Safety!$B$126),0)</f>
        <v>159</v>
      </c>
      <c r="R58" s="27">
        <f t="shared" si="18"/>
        <v>320</v>
      </c>
      <c r="S58" s="219">
        <f t="shared" si="19"/>
        <v>632</v>
      </c>
      <c r="T58" s="51">
        <f t="shared" si="20"/>
        <v>232</v>
      </c>
      <c r="U58" s="105">
        <f t="shared" si="21"/>
        <v>458</v>
      </c>
      <c r="V58" s="51">
        <f t="shared" si="22"/>
        <v>111</v>
      </c>
      <c r="W58" s="220">
        <f t="shared" si="23"/>
        <v>45</v>
      </c>
      <c r="X58" s="53">
        <f t="shared" si="24"/>
        <v>16</v>
      </c>
      <c r="Y58" s="214">
        <f t="shared" si="25"/>
        <v>3</v>
      </c>
      <c r="Z58" s="52">
        <f t="shared" si="26"/>
        <v>51349900</v>
      </c>
      <c r="AA58" s="166"/>
      <c r="AB58" s="122"/>
      <c r="AC58" s="122"/>
      <c r="AD58" s="122"/>
    </row>
    <row r="59" spans="1:30" x14ac:dyDescent="0.2">
      <c r="A59" s="104">
        <f t="shared" si="27"/>
        <v>2040</v>
      </c>
      <c r="B59" s="26">
        <f>'Travel Time'!B196</f>
        <v>18186</v>
      </c>
      <c r="C59" s="27">
        <f t="shared" si="7"/>
        <v>189</v>
      </c>
      <c r="D59" s="49">
        <f t="shared" si="8"/>
        <v>380</v>
      </c>
      <c r="E59" s="50">
        <f t="shared" si="9"/>
        <v>750</v>
      </c>
      <c r="F59" s="13">
        <f t="shared" si="10"/>
        <v>275</v>
      </c>
      <c r="G59" s="27">
        <f t="shared" si="11"/>
        <v>543</v>
      </c>
      <c r="H59" s="13">
        <f t="shared" si="12"/>
        <v>131</v>
      </c>
      <c r="I59" s="51">
        <f t="shared" si="13"/>
        <v>53</v>
      </c>
      <c r="J59" s="14">
        <f t="shared" si="14"/>
        <v>19</v>
      </c>
      <c r="K59" s="53">
        <f t="shared" si="15"/>
        <v>3</v>
      </c>
      <c r="L59" s="215">
        <f t="shared" si="16"/>
        <v>55466400</v>
      </c>
      <c r="M59" s="122"/>
      <c r="N59" s="315">
        <f t="shared" si="28"/>
        <v>2040</v>
      </c>
      <c r="O59" s="105">
        <f>'Travel Time'!E196</f>
        <v>8382</v>
      </c>
      <c r="P59" s="27">
        <f>'Travel Time'!F196</f>
        <v>12674</v>
      </c>
      <c r="Q59" s="105">
        <f>ROUND((P59*$B$122)+(('Travel Time'!Q196/100000000)*Safety!$B$126),0)</f>
        <v>162</v>
      </c>
      <c r="R59" s="27">
        <f t="shared" si="18"/>
        <v>326</v>
      </c>
      <c r="S59" s="219">
        <f t="shared" si="19"/>
        <v>644</v>
      </c>
      <c r="T59" s="51">
        <f t="shared" si="20"/>
        <v>236</v>
      </c>
      <c r="U59" s="105">
        <f t="shared" si="21"/>
        <v>467</v>
      </c>
      <c r="V59" s="51">
        <f t="shared" si="22"/>
        <v>113</v>
      </c>
      <c r="W59" s="220">
        <f t="shared" si="23"/>
        <v>46</v>
      </c>
      <c r="X59" s="53">
        <f t="shared" si="24"/>
        <v>16</v>
      </c>
      <c r="Y59" s="214">
        <f t="shared" si="25"/>
        <v>3</v>
      </c>
      <c r="Z59" s="52">
        <f t="shared" si="26"/>
        <v>51649100</v>
      </c>
      <c r="AA59" s="166"/>
      <c r="AB59" s="122"/>
      <c r="AC59" s="122"/>
      <c r="AD59" s="122"/>
    </row>
    <row r="60" spans="1:30" x14ac:dyDescent="0.2">
      <c r="A60" s="104">
        <f t="shared" si="27"/>
        <v>2041</v>
      </c>
      <c r="B60" s="26">
        <f>'Travel Time'!B197</f>
        <v>18350</v>
      </c>
      <c r="C60" s="27">
        <f t="shared" si="7"/>
        <v>191</v>
      </c>
      <c r="D60" s="49">
        <f t="shared" si="8"/>
        <v>384</v>
      </c>
      <c r="E60" s="50">
        <f t="shared" si="9"/>
        <v>758</v>
      </c>
      <c r="F60" s="13">
        <f t="shared" si="10"/>
        <v>278</v>
      </c>
      <c r="G60" s="27">
        <f t="shared" si="11"/>
        <v>549</v>
      </c>
      <c r="H60" s="13">
        <f t="shared" si="12"/>
        <v>133</v>
      </c>
      <c r="I60" s="51">
        <f t="shared" si="13"/>
        <v>54</v>
      </c>
      <c r="J60" s="14">
        <f t="shared" si="14"/>
        <v>19</v>
      </c>
      <c r="K60" s="53">
        <f t="shared" si="15"/>
        <v>4</v>
      </c>
      <c r="L60" s="215">
        <f t="shared" si="16"/>
        <v>65351600</v>
      </c>
      <c r="M60" s="122"/>
      <c r="N60" s="315">
        <f t="shared" si="28"/>
        <v>2041</v>
      </c>
      <c r="O60" s="105">
        <f>'Travel Time'!E197</f>
        <v>8516</v>
      </c>
      <c r="P60" s="27">
        <f>'Travel Time'!F197</f>
        <v>12877</v>
      </c>
      <c r="Q60" s="105">
        <f>ROUND((P60*$B$122)+(('Travel Time'!Q197/100000000)*Safety!$B$126),0)</f>
        <v>164</v>
      </c>
      <c r="R60" s="27">
        <f t="shared" si="18"/>
        <v>330</v>
      </c>
      <c r="S60" s="219">
        <f t="shared" si="19"/>
        <v>651</v>
      </c>
      <c r="T60" s="51">
        <f t="shared" si="20"/>
        <v>239</v>
      </c>
      <c r="U60" s="105">
        <f t="shared" si="21"/>
        <v>472</v>
      </c>
      <c r="V60" s="51">
        <f t="shared" si="22"/>
        <v>114</v>
      </c>
      <c r="W60" s="220">
        <f t="shared" si="23"/>
        <v>46</v>
      </c>
      <c r="X60" s="53">
        <f t="shared" si="24"/>
        <v>16</v>
      </c>
      <c r="Y60" s="214">
        <f t="shared" si="25"/>
        <v>3</v>
      </c>
      <c r="Z60" s="52">
        <f t="shared" si="26"/>
        <v>51742200</v>
      </c>
      <c r="AA60" s="166"/>
      <c r="AB60" s="122"/>
      <c r="AC60" s="122"/>
      <c r="AD60" s="122"/>
    </row>
    <row r="61" spans="1:30" x14ac:dyDescent="0.2">
      <c r="A61" s="104">
        <f t="shared" si="27"/>
        <v>2042</v>
      </c>
      <c r="B61" s="26">
        <f>'Travel Time'!B198</f>
        <v>18515</v>
      </c>
      <c r="C61" s="27">
        <f t="shared" si="7"/>
        <v>193</v>
      </c>
      <c r="D61" s="49">
        <f t="shared" si="8"/>
        <v>388</v>
      </c>
      <c r="E61" s="50">
        <f t="shared" si="9"/>
        <v>766</v>
      </c>
      <c r="F61" s="13">
        <f t="shared" si="10"/>
        <v>281</v>
      </c>
      <c r="G61" s="27">
        <f t="shared" si="11"/>
        <v>555</v>
      </c>
      <c r="H61" s="13">
        <f t="shared" si="12"/>
        <v>134</v>
      </c>
      <c r="I61" s="51">
        <f t="shared" si="13"/>
        <v>55</v>
      </c>
      <c r="J61" s="14">
        <f t="shared" si="14"/>
        <v>19</v>
      </c>
      <c r="K61" s="53">
        <f t="shared" si="15"/>
        <v>4</v>
      </c>
      <c r="L61" s="215">
        <f t="shared" si="16"/>
        <v>65572900</v>
      </c>
      <c r="M61" s="122"/>
      <c r="N61" s="315">
        <f t="shared" si="28"/>
        <v>2042</v>
      </c>
      <c r="O61" s="105">
        <f>'Travel Time'!E198</f>
        <v>8592</v>
      </c>
      <c r="P61" s="27">
        <f>'Travel Time'!F198</f>
        <v>12993</v>
      </c>
      <c r="Q61" s="105">
        <f>ROUND((P61*$B$122)+(('Travel Time'!Q198/100000000)*Safety!$B$126),0)</f>
        <v>166</v>
      </c>
      <c r="R61" s="27">
        <f t="shared" si="18"/>
        <v>334</v>
      </c>
      <c r="S61" s="219">
        <f t="shared" si="19"/>
        <v>659</v>
      </c>
      <c r="T61" s="51">
        <f t="shared" si="20"/>
        <v>242</v>
      </c>
      <c r="U61" s="105">
        <f t="shared" si="21"/>
        <v>477</v>
      </c>
      <c r="V61" s="51">
        <f t="shared" si="22"/>
        <v>115</v>
      </c>
      <c r="W61" s="220">
        <f t="shared" si="23"/>
        <v>47</v>
      </c>
      <c r="X61" s="53">
        <f t="shared" si="24"/>
        <v>16</v>
      </c>
      <c r="Y61" s="214">
        <f t="shared" si="25"/>
        <v>3</v>
      </c>
      <c r="Z61" s="52">
        <f t="shared" si="26"/>
        <v>51960300</v>
      </c>
      <c r="AA61" s="166"/>
      <c r="AB61" s="122"/>
      <c r="AC61" s="122"/>
      <c r="AD61" s="122"/>
    </row>
    <row r="62" spans="1:30" x14ac:dyDescent="0.2">
      <c r="A62" s="104">
        <f t="shared" si="27"/>
        <v>2043</v>
      </c>
      <c r="B62" s="26">
        <f>'Travel Time'!B199</f>
        <v>18681</v>
      </c>
      <c r="C62" s="27">
        <f t="shared" si="7"/>
        <v>194</v>
      </c>
      <c r="D62" s="49">
        <f t="shared" si="8"/>
        <v>390</v>
      </c>
      <c r="E62" s="50">
        <f t="shared" si="9"/>
        <v>770</v>
      </c>
      <c r="F62" s="13">
        <f t="shared" si="10"/>
        <v>282</v>
      </c>
      <c r="G62" s="27">
        <f t="shared" si="11"/>
        <v>558</v>
      </c>
      <c r="H62" s="13">
        <f t="shared" si="12"/>
        <v>135</v>
      </c>
      <c r="I62" s="51">
        <f t="shared" si="13"/>
        <v>55</v>
      </c>
      <c r="J62" s="14">
        <f t="shared" si="14"/>
        <v>19</v>
      </c>
      <c r="K62" s="53">
        <f t="shared" si="15"/>
        <v>4</v>
      </c>
      <c r="L62" s="215">
        <f t="shared" si="16"/>
        <v>65650800</v>
      </c>
      <c r="M62" s="122"/>
      <c r="N62" s="315">
        <f t="shared" si="28"/>
        <v>2043</v>
      </c>
      <c r="O62" s="105">
        <f>'Travel Time'!E199</f>
        <v>8670</v>
      </c>
      <c r="P62" s="27">
        <f>'Travel Time'!F199</f>
        <v>13110</v>
      </c>
      <c r="Q62" s="105">
        <f>ROUND((P62*$B$122)+(('Travel Time'!Q199/100000000)*Safety!$B$126),0)</f>
        <v>167</v>
      </c>
      <c r="R62" s="27">
        <f t="shared" si="18"/>
        <v>336</v>
      </c>
      <c r="S62" s="219">
        <f t="shared" si="19"/>
        <v>663</v>
      </c>
      <c r="T62" s="51">
        <f t="shared" si="20"/>
        <v>243</v>
      </c>
      <c r="U62" s="105">
        <f t="shared" si="21"/>
        <v>480</v>
      </c>
      <c r="V62" s="51">
        <f t="shared" si="22"/>
        <v>116</v>
      </c>
      <c r="W62" s="220">
        <f t="shared" si="23"/>
        <v>47</v>
      </c>
      <c r="X62" s="53">
        <f t="shared" si="24"/>
        <v>16</v>
      </c>
      <c r="Y62" s="214">
        <f t="shared" si="25"/>
        <v>3</v>
      </c>
      <c r="Z62" s="52">
        <f t="shared" si="26"/>
        <v>52038200</v>
      </c>
      <c r="AA62" s="166"/>
      <c r="AB62" s="122"/>
      <c r="AC62" s="122"/>
      <c r="AD62" s="122"/>
    </row>
    <row r="63" spans="1:30" x14ac:dyDescent="0.2">
      <c r="A63" s="104">
        <f t="shared" si="27"/>
        <v>2044</v>
      </c>
      <c r="B63" s="26">
        <f>'Travel Time'!B200</f>
        <v>18850</v>
      </c>
      <c r="C63" s="27">
        <f t="shared" si="7"/>
        <v>196</v>
      </c>
      <c r="D63" s="49">
        <f t="shared" si="8"/>
        <v>394</v>
      </c>
      <c r="E63" s="50">
        <f t="shared" si="9"/>
        <v>778</v>
      </c>
      <c r="F63" s="13">
        <f t="shared" si="10"/>
        <v>285</v>
      </c>
      <c r="G63" s="27">
        <f t="shared" si="11"/>
        <v>564</v>
      </c>
      <c r="H63" s="13">
        <f t="shared" si="12"/>
        <v>136</v>
      </c>
      <c r="I63" s="51">
        <f t="shared" si="13"/>
        <v>55</v>
      </c>
      <c r="J63" s="14">
        <f t="shared" si="14"/>
        <v>19</v>
      </c>
      <c r="K63" s="53">
        <f t="shared" si="15"/>
        <v>4</v>
      </c>
      <c r="L63" s="215">
        <f t="shared" si="16"/>
        <v>65747100</v>
      </c>
      <c r="M63" s="122"/>
      <c r="N63" s="315">
        <f t="shared" si="28"/>
        <v>2044</v>
      </c>
      <c r="O63" s="105">
        <f>'Travel Time'!E200</f>
        <v>8748</v>
      </c>
      <c r="P63" s="27">
        <f>'Travel Time'!F200</f>
        <v>13228</v>
      </c>
      <c r="Q63" s="105">
        <f>ROUND((P63*$B$122)+(('Travel Time'!Q200/100000000)*Safety!$B$126),0)</f>
        <v>169</v>
      </c>
      <c r="R63" s="27">
        <f t="shared" si="18"/>
        <v>340</v>
      </c>
      <c r="S63" s="219">
        <f t="shared" si="19"/>
        <v>671</v>
      </c>
      <c r="T63" s="51">
        <f t="shared" si="20"/>
        <v>246</v>
      </c>
      <c r="U63" s="105">
        <f t="shared" si="21"/>
        <v>486</v>
      </c>
      <c r="V63" s="51">
        <f t="shared" si="22"/>
        <v>117</v>
      </c>
      <c r="W63" s="220">
        <f t="shared" si="23"/>
        <v>48</v>
      </c>
      <c r="X63" s="53">
        <f t="shared" si="24"/>
        <v>17</v>
      </c>
      <c r="Y63" s="214">
        <f t="shared" si="25"/>
        <v>3</v>
      </c>
      <c r="Z63" s="52">
        <f t="shared" si="26"/>
        <v>52718600</v>
      </c>
      <c r="AA63" s="166"/>
      <c r="AB63" s="122"/>
      <c r="AC63" s="122"/>
      <c r="AD63" s="122"/>
    </row>
    <row r="64" spans="1:30" x14ac:dyDescent="0.2">
      <c r="A64" s="104">
        <f t="shared" si="27"/>
        <v>2045</v>
      </c>
      <c r="B64" s="26">
        <f>'Travel Time'!B201</f>
        <v>19019</v>
      </c>
      <c r="C64" s="27">
        <f t="shared" si="7"/>
        <v>198</v>
      </c>
      <c r="D64" s="49">
        <f t="shared" si="8"/>
        <v>398</v>
      </c>
      <c r="E64" s="50">
        <f t="shared" si="9"/>
        <v>786</v>
      </c>
      <c r="F64" s="13">
        <f t="shared" si="10"/>
        <v>288</v>
      </c>
      <c r="G64" s="27">
        <f t="shared" si="11"/>
        <v>569</v>
      </c>
      <c r="H64" s="13">
        <f t="shared" si="12"/>
        <v>137</v>
      </c>
      <c r="I64" s="51">
        <f t="shared" si="13"/>
        <v>56</v>
      </c>
      <c r="J64" s="14">
        <f t="shared" si="14"/>
        <v>19</v>
      </c>
      <c r="K64" s="53">
        <f t="shared" si="15"/>
        <v>4</v>
      </c>
      <c r="L64" s="215">
        <f t="shared" si="16"/>
        <v>65965200</v>
      </c>
      <c r="M64" s="122"/>
      <c r="N64" s="315">
        <f t="shared" si="28"/>
        <v>2045</v>
      </c>
      <c r="O64" s="105">
        <f>'Travel Time'!E201</f>
        <v>8826</v>
      </c>
      <c r="P64" s="27">
        <f>'Travel Time'!F201</f>
        <v>13347</v>
      </c>
      <c r="Q64" s="105">
        <f>ROUND((P64*$B$122)+(('Travel Time'!Q201/100000000)*Safety!$B$126),0)</f>
        <v>170</v>
      </c>
      <c r="R64" s="27">
        <f t="shared" si="18"/>
        <v>342</v>
      </c>
      <c r="S64" s="219">
        <f t="shared" si="19"/>
        <v>675</v>
      </c>
      <c r="T64" s="51">
        <f t="shared" si="20"/>
        <v>248</v>
      </c>
      <c r="U64" s="105">
        <f t="shared" si="21"/>
        <v>489</v>
      </c>
      <c r="V64" s="51">
        <f t="shared" si="22"/>
        <v>118</v>
      </c>
      <c r="W64" s="220">
        <f t="shared" si="23"/>
        <v>48</v>
      </c>
      <c r="X64" s="53">
        <f t="shared" si="24"/>
        <v>17</v>
      </c>
      <c r="Y64" s="214">
        <f t="shared" si="25"/>
        <v>3</v>
      </c>
      <c r="Z64" s="52">
        <f t="shared" si="26"/>
        <v>52800900</v>
      </c>
      <c r="AA64" s="166"/>
      <c r="AB64" s="122"/>
      <c r="AC64" s="122"/>
      <c r="AD64" s="122"/>
    </row>
    <row r="65" spans="1:33" x14ac:dyDescent="0.2">
      <c r="A65" s="104">
        <f t="shared" si="27"/>
        <v>2046</v>
      </c>
      <c r="B65" s="26">
        <f>'Travel Time'!B202</f>
        <v>19190</v>
      </c>
      <c r="C65" s="27">
        <f t="shared" si="7"/>
        <v>200</v>
      </c>
      <c r="D65" s="49">
        <f t="shared" si="8"/>
        <v>402</v>
      </c>
      <c r="E65" s="50">
        <f t="shared" si="9"/>
        <v>794</v>
      </c>
      <c r="F65" s="13">
        <f t="shared" si="10"/>
        <v>291</v>
      </c>
      <c r="G65" s="27">
        <f t="shared" si="11"/>
        <v>575</v>
      </c>
      <c r="H65" s="13">
        <f t="shared" si="12"/>
        <v>139</v>
      </c>
      <c r="I65" s="51">
        <f t="shared" si="13"/>
        <v>57</v>
      </c>
      <c r="J65" s="14">
        <f t="shared" si="14"/>
        <v>20</v>
      </c>
      <c r="K65" s="53">
        <f t="shared" si="15"/>
        <v>4</v>
      </c>
      <c r="L65" s="215">
        <f t="shared" si="16"/>
        <v>66709500</v>
      </c>
      <c r="M65" s="122"/>
      <c r="N65" s="315">
        <f t="shared" si="28"/>
        <v>2046</v>
      </c>
      <c r="O65" s="105">
        <f>'Travel Time'!E202</f>
        <v>8906</v>
      </c>
      <c r="P65" s="27">
        <f>'Travel Time'!F202</f>
        <v>13467</v>
      </c>
      <c r="Q65" s="105">
        <f>ROUND((P65*$B$122)+(('Travel Time'!Q202/100000000)*Safety!$B$126),0)</f>
        <v>172</v>
      </c>
      <c r="R65" s="27">
        <f t="shared" si="18"/>
        <v>346</v>
      </c>
      <c r="S65" s="219">
        <f t="shared" si="19"/>
        <v>683</v>
      </c>
      <c r="T65" s="51">
        <f t="shared" si="20"/>
        <v>250</v>
      </c>
      <c r="U65" s="105">
        <f t="shared" si="21"/>
        <v>495</v>
      </c>
      <c r="V65" s="51">
        <f t="shared" si="22"/>
        <v>119</v>
      </c>
      <c r="W65" s="220">
        <f t="shared" si="23"/>
        <v>49</v>
      </c>
      <c r="X65" s="53">
        <f t="shared" si="24"/>
        <v>17</v>
      </c>
      <c r="Y65" s="214">
        <f t="shared" si="25"/>
        <v>3</v>
      </c>
      <c r="Z65" s="52">
        <f t="shared" si="26"/>
        <v>53017800</v>
      </c>
      <c r="AA65" s="166"/>
      <c r="AB65" s="122"/>
      <c r="AC65" s="122"/>
      <c r="AD65" s="122"/>
    </row>
    <row r="66" spans="1:33" x14ac:dyDescent="0.2">
      <c r="A66" s="104">
        <f t="shared" si="27"/>
        <v>2047</v>
      </c>
      <c r="B66" s="26">
        <f>'Travel Time'!B203</f>
        <v>19363</v>
      </c>
      <c r="C66" s="27">
        <f t="shared" si="7"/>
        <v>201</v>
      </c>
      <c r="D66" s="49">
        <f t="shared" si="8"/>
        <v>404</v>
      </c>
      <c r="E66" s="50">
        <f t="shared" si="9"/>
        <v>797</v>
      </c>
      <c r="F66" s="13">
        <f t="shared" si="10"/>
        <v>293</v>
      </c>
      <c r="G66" s="27">
        <f t="shared" si="11"/>
        <v>577</v>
      </c>
      <c r="H66" s="13">
        <f t="shared" si="12"/>
        <v>139</v>
      </c>
      <c r="I66" s="51">
        <f t="shared" si="13"/>
        <v>57</v>
      </c>
      <c r="J66" s="14">
        <f t="shared" si="14"/>
        <v>20</v>
      </c>
      <c r="K66" s="53">
        <f t="shared" si="15"/>
        <v>4</v>
      </c>
      <c r="L66" s="215">
        <f t="shared" si="16"/>
        <v>66724700</v>
      </c>
      <c r="M66" s="122"/>
      <c r="N66" s="315">
        <f t="shared" si="28"/>
        <v>2047</v>
      </c>
      <c r="O66" s="105">
        <f>'Travel Time'!E203</f>
        <v>8986</v>
      </c>
      <c r="P66" s="27">
        <f>'Travel Time'!F203</f>
        <v>13589</v>
      </c>
      <c r="Q66" s="105">
        <f>ROUND((P66*$B$122)+(('Travel Time'!Q203/100000000)*Safety!$B$126),0)</f>
        <v>173</v>
      </c>
      <c r="R66" s="27">
        <f t="shared" si="18"/>
        <v>348</v>
      </c>
      <c r="S66" s="219">
        <f t="shared" si="19"/>
        <v>687</v>
      </c>
      <c r="T66" s="51">
        <f t="shared" si="20"/>
        <v>252</v>
      </c>
      <c r="U66" s="105">
        <f t="shared" si="21"/>
        <v>498</v>
      </c>
      <c r="V66" s="51">
        <f t="shared" si="22"/>
        <v>120</v>
      </c>
      <c r="W66" s="220">
        <f t="shared" si="23"/>
        <v>49</v>
      </c>
      <c r="X66" s="53">
        <f t="shared" si="24"/>
        <v>17</v>
      </c>
      <c r="Y66" s="214">
        <f t="shared" si="25"/>
        <v>3</v>
      </c>
      <c r="Z66" s="52">
        <f t="shared" si="26"/>
        <v>53100100</v>
      </c>
      <c r="AA66" s="166"/>
      <c r="AB66" s="122"/>
      <c r="AC66" s="122"/>
      <c r="AD66" s="122"/>
    </row>
    <row r="67" spans="1:33" x14ac:dyDescent="0.2">
      <c r="A67" s="104">
        <f t="shared" si="27"/>
        <v>2048</v>
      </c>
      <c r="B67" s="26">
        <f>'Travel Time'!B204</f>
        <v>19537</v>
      </c>
      <c r="C67" s="27">
        <f t="shared" si="7"/>
        <v>203</v>
      </c>
      <c r="D67" s="49">
        <f t="shared" si="8"/>
        <v>408</v>
      </c>
      <c r="E67" s="50">
        <f t="shared" si="9"/>
        <v>805</v>
      </c>
      <c r="F67" s="13">
        <f t="shared" si="10"/>
        <v>296</v>
      </c>
      <c r="G67" s="27">
        <f t="shared" si="11"/>
        <v>583</v>
      </c>
      <c r="H67" s="13">
        <f t="shared" si="12"/>
        <v>141</v>
      </c>
      <c r="I67" s="51">
        <f t="shared" si="13"/>
        <v>57</v>
      </c>
      <c r="J67" s="14">
        <f t="shared" si="14"/>
        <v>20</v>
      </c>
      <c r="K67" s="53">
        <f t="shared" si="15"/>
        <v>4</v>
      </c>
      <c r="L67" s="215">
        <f t="shared" si="16"/>
        <v>66884900</v>
      </c>
      <c r="M67" s="122"/>
      <c r="N67" s="315">
        <f t="shared" si="17"/>
        <v>2048</v>
      </c>
      <c r="O67" s="105">
        <f>'Travel Time'!E204</f>
        <v>9067</v>
      </c>
      <c r="P67" s="27">
        <f>'Travel Time'!F204</f>
        <v>13711</v>
      </c>
      <c r="Q67" s="105">
        <f>ROUND((P67*$B$122)+(('Travel Time'!Q204/100000000)*Safety!$B$126),0)</f>
        <v>175</v>
      </c>
      <c r="R67" s="27">
        <f t="shared" si="18"/>
        <v>352</v>
      </c>
      <c r="S67" s="219">
        <f t="shared" si="19"/>
        <v>695</v>
      </c>
      <c r="T67" s="51">
        <f t="shared" si="20"/>
        <v>255</v>
      </c>
      <c r="U67" s="105">
        <f t="shared" si="21"/>
        <v>503</v>
      </c>
      <c r="V67" s="51">
        <f t="shared" si="22"/>
        <v>122</v>
      </c>
      <c r="W67" s="220">
        <f t="shared" si="23"/>
        <v>49</v>
      </c>
      <c r="X67" s="53">
        <f t="shared" si="24"/>
        <v>17</v>
      </c>
      <c r="Y67" s="214">
        <f t="shared" si="25"/>
        <v>3</v>
      </c>
      <c r="Z67" s="52">
        <f t="shared" si="26"/>
        <v>53257100</v>
      </c>
      <c r="AA67" s="166"/>
      <c r="AB67" s="122"/>
      <c r="AC67" s="122"/>
      <c r="AD67" s="122"/>
    </row>
    <row r="68" spans="1:33" x14ac:dyDescent="0.2">
      <c r="A68" s="104">
        <f t="shared" si="27"/>
        <v>2049</v>
      </c>
      <c r="B68" s="26">
        <f>'Travel Time'!B205</f>
        <v>19713</v>
      </c>
      <c r="C68" s="27">
        <f t="shared" si="7"/>
        <v>205</v>
      </c>
      <c r="D68" s="49">
        <f t="shared" si="8"/>
        <v>412</v>
      </c>
      <c r="E68" s="50">
        <f t="shared" si="9"/>
        <v>813</v>
      </c>
      <c r="F68" s="13">
        <f t="shared" si="10"/>
        <v>299</v>
      </c>
      <c r="G68" s="27">
        <f t="shared" si="11"/>
        <v>589</v>
      </c>
      <c r="H68" s="13">
        <f t="shared" si="12"/>
        <v>142</v>
      </c>
      <c r="I68" s="51">
        <f t="shared" si="13"/>
        <v>58</v>
      </c>
      <c r="J68" s="14">
        <f t="shared" si="14"/>
        <v>20</v>
      </c>
      <c r="K68" s="53">
        <f t="shared" si="15"/>
        <v>4</v>
      </c>
      <c r="L68" s="215">
        <f t="shared" si="16"/>
        <v>67106200</v>
      </c>
      <c r="M68" s="122"/>
      <c r="N68" s="315">
        <f t="shared" si="17"/>
        <v>2049</v>
      </c>
      <c r="O68" s="105">
        <f>'Travel Time'!E205</f>
        <v>9149</v>
      </c>
      <c r="P68" s="27">
        <f>'Travel Time'!F205</f>
        <v>13834</v>
      </c>
      <c r="Q68" s="105">
        <f>ROUND((P68*$B$122)+(('Travel Time'!Q205/100000000)*Safety!$B$126),0)</f>
        <v>177</v>
      </c>
      <c r="R68" s="27">
        <f t="shared" si="18"/>
        <v>356</v>
      </c>
      <c r="S68" s="219">
        <f t="shared" si="19"/>
        <v>703</v>
      </c>
      <c r="T68" s="51">
        <f t="shared" si="20"/>
        <v>258</v>
      </c>
      <c r="U68" s="105">
        <f t="shared" si="21"/>
        <v>509</v>
      </c>
      <c r="V68" s="51">
        <f t="shared" si="22"/>
        <v>123</v>
      </c>
      <c r="W68" s="220">
        <f t="shared" si="23"/>
        <v>50</v>
      </c>
      <c r="X68" s="53">
        <f t="shared" si="24"/>
        <v>17</v>
      </c>
      <c r="Y68" s="214">
        <f t="shared" si="25"/>
        <v>3</v>
      </c>
      <c r="Z68" s="52">
        <f t="shared" si="26"/>
        <v>53478400</v>
      </c>
      <c r="AA68" s="166"/>
      <c r="AB68" s="122"/>
      <c r="AC68" s="122"/>
      <c r="AD68" s="122"/>
    </row>
    <row r="69" spans="1:33" x14ac:dyDescent="0.2">
      <c r="A69" s="104">
        <f t="shared" si="27"/>
        <v>2050</v>
      </c>
      <c r="B69" s="26">
        <f>'Travel Time'!B206</f>
        <v>19891</v>
      </c>
      <c r="C69" s="27">
        <f t="shared" si="7"/>
        <v>207</v>
      </c>
      <c r="D69" s="49">
        <f t="shared" si="8"/>
        <v>416</v>
      </c>
      <c r="E69" s="50">
        <f t="shared" si="9"/>
        <v>821</v>
      </c>
      <c r="F69" s="13">
        <f t="shared" si="10"/>
        <v>301</v>
      </c>
      <c r="G69" s="27">
        <f t="shared" si="11"/>
        <v>595</v>
      </c>
      <c r="H69" s="13">
        <f t="shared" si="12"/>
        <v>144</v>
      </c>
      <c r="I69" s="51">
        <f t="shared" si="13"/>
        <v>58</v>
      </c>
      <c r="J69" s="14">
        <f t="shared" si="14"/>
        <v>20</v>
      </c>
      <c r="K69" s="53">
        <f t="shared" si="15"/>
        <v>4</v>
      </c>
      <c r="L69" s="215">
        <f t="shared" si="16"/>
        <v>67262000</v>
      </c>
      <c r="M69" s="132"/>
      <c r="N69" s="315">
        <f t="shared" si="17"/>
        <v>2050</v>
      </c>
      <c r="O69" s="105">
        <f>'Travel Time'!E206</f>
        <v>9231</v>
      </c>
      <c r="P69" s="27">
        <f>'Travel Time'!F206</f>
        <v>13959</v>
      </c>
      <c r="Q69" s="105">
        <f>ROUND((P69*$B$122)+(('Travel Time'!Q206/100000000)*Safety!$B$126),0)</f>
        <v>178</v>
      </c>
      <c r="R69" s="27">
        <f t="shared" si="18"/>
        <v>358</v>
      </c>
      <c r="S69" s="219">
        <f t="shared" si="19"/>
        <v>707</v>
      </c>
      <c r="T69" s="51">
        <f t="shared" si="20"/>
        <v>259</v>
      </c>
      <c r="U69" s="105">
        <f t="shared" si="21"/>
        <v>512</v>
      </c>
      <c r="V69" s="51">
        <f t="shared" si="22"/>
        <v>124</v>
      </c>
      <c r="W69" s="220">
        <f t="shared" si="23"/>
        <v>50</v>
      </c>
      <c r="X69" s="53">
        <f t="shared" si="24"/>
        <v>18</v>
      </c>
      <c r="Y69" s="214">
        <f t="shared" si="25"/>
        <v>3</v>
      </c>
      <c r="Z69" s="52">
        <f t="shared" si="26"/>
        <v>54015400</v>
      </c>
      <c r="AA69" s="166"/>
      <c r="AB69" s="122"/>
      <c r="AC69" s="122"/>
      <c r="AD69" s="122"/>
    </row>
    <row r="70" spans="1:33" x14ac:dyDescent="0.2">
      <c r="A70" s="104">
        <f t="shared" si="27"/>
        <v>2051</v>
      </c>
      <c r="B70" s="26">
        <f>'Travel Time'!B207</f>
        <v>20070</v>
      </c>
      <c r="C70" s="27">
        <f t="shared" si="7"/>
        <v>209</v>
      </c>
      <c r="D70" s="49">
        <f t="shared" si="8"/>
        <v>420</v>
      </c>
      <c r="E70" s="50">
        <f t="shared" si="9"/>
        <v>829</v>
      </c>
      <c r="F70" s="13">
        <f t="shared" si="10"/>
        <v>304</v>
      </c>
      <c r="G70" s="27">
        <f t="shared" si="11"/>
        <v>601</v>
      </c>
      <c r="H70" s="13">
        <f t="shared" si="12"/>
        <v>145</v>
      </c>
      <c r="I70" s="51">
        <f t="shared" si="13"/>
        <v>59</v>
      </c>
      <c r="J70" s="14">
        <f t="shared" si="14"/>
        <v>21</v>
      </c>
      <c r="K70" s="53">
        <f t="shared" si="15"/>
        <v>4</v>
      </c>
      <c r="L70" s="215">
        <f t="shared" si="16"/>
        <v>67942400</v>
      </c>
      <c r="M70" s="132"/>
      <c r="N70" s="315">
        <f t="shared" si="17"/>
        <v>2051</v>
      </c>
      <c r="O70" s="105">
        <f>'Travel Time'!E207</f>
        <v>9314</v>
      </c>
      <c r="P70" s="27">
        <f>'Travel Time'!F207</f>
        <v>14084</v>
      </c>
      <c r="Q70" s="105">
        <f>ROUND((P70*$B$122)+(('Travel Time'!Q207/100000000)*Safety!$B$126),0)</f>
        <v>180</v>
      </c>
      <c r="R70" s="27">
        <f t="shared" si="18"/>
        <v>362</v>
      </c>
      <c r="S70" s="219">
        <f t="shared" si="19"/>
        <v>715</v>
      </c>
      <c r="T70" s="51">
        <f t="shared" si="20"/>
        <v>262</v>
      </c>
      <c r="U70" s="105">
        <f t="shared" si="21"/>
        <v>518</v>
      </c>
      <c r="V70" s="51">
        <f t="shared" si="22"/>
        <v>125</v>
      </c>
      <c r="W70" s="220">
        <f t="shared" si="23"/>
        <v>51</v>
      </c>
      <c r="X70" s="53">
        <f t="shared" si="24"/>
        <v>18</v>
      </c>
      <c r="Y70" s="214">
        <f t="shared" si="25"/>
        <v>3</v>
      </c>
      <c r="Z70" s="52">
        <f t="shared" si="26"/>
        <v>54236700</v>
      </c>
      <c r="AA70" s="166"/>
      <c r="AB70" s="122"/>
      <c r="AC70" s="122"/>
      <c r="AD70" s="122"/>
    </row>
    <row r="71" spans="1:33" x14ac:dyDescent="0.2">
      <c r="A71" s="104">
        <f t="shared" si="27"/>
        <v>2052</v>
      </c>
      <c r="B71" s="26">
        <f>'Travel Time'!B208</f>
        <v>20250</v>
      </c>
      <c r="C71" s="27">
        <f t="shared" ref="C71:C73" si="29">ROUND(B71*$B$122,0)</f>
        <v>211</v>
      </c>
      <c r="D71" s="49">
        <f t="shared" ref="D71:D73" si="30">ROUND(C71*$B$118,0)</f>
        <v>424</v>
      </c>
      <c r="E71" s="50">
        <f t="shared" ref="E71:E73" si="31">ROUND(D71*$B$113,0)</f>
        <v>837</v>
      </c>
      <c r="F71" s="13">
        <f t="shared" ref="F71:F73" si="32">ROUND(C71*$I$89*$B$118,0)</f>
        <v>307</v>
      </c>
      <c r="G71" s="27">
        <f t="shared" ref="G71:G73" si="33">ROUND(E71*$I$89,0)</f>
        <v>606</v>
      </c>
      <c r="H71" s="13">
        <f t="shared" ref="H71:H73" si="34">ROUND(E71*$I$87,0)</f>
        <v>146</v>
      </c>
      <c r="I71" s="51">
        <f t="shared" ref="I71:I73" si="35">ROUND(E71*$I$85,0)</f>
        <v>60</v>
      </c>
      <c r="J71" s="14">
        <f t="shared" ref="J71:J73" si="36">ROUND(E71*$I$83,0)</f>
        <v>21</v>
      </c>
      <c r="K71" s="53">
        <f t="shared" ref="K71:K73" si="37">ROUND(E71*$I$81,0)</f>
        <v>4</v>
      </c>
      <c r="L71" s="215">
        <f t="shared" ref="L71:L73" si="38">ROUND((F71*$B$97)+(G71*$B$102)+(H71*$B$103)+(I71*$B$104)+(J71*$B$105)+(K71*$B$106),0)</f>
        <v>68160500</v>
      </c>
      <c r="M71" s="132"/>
      <c r="N71" s="315">
        <f t="shared" ref="N71:N73" si="39">A71</f>
        <v>2052</v>
      </c>
      <c r="O71" s="105">
        <f>'Travel Time'!E208</f>
        <v>9398</v>
      </c>
      <c r="P71" s="27">
        <f>'Travel Time'!F208</f>
        <v>14211</v>
      </c>
      <c r="Q71" s="105">
        <f>ROUND((P71*$B$122)+(('Travel Time'!Q208/100000000)*Safety!$B$126),0)</f>
        <v>181</v>
      </c>
      <c r="R71" s="27">
        <f t="shared" ref="R71:R73" si="40">ROUND(Q71*$B$118,0)</f>
        <v>364</v>
      </c>
      <c r="S71" s="219">
        <f t="shared" ref="S71:S73" si="41">ROUND(R71*$B$113,0)</f>
        <v>719</v>
      </c>
      <c r="T71" s="51">
        <f t="shared" ref="T71:T73" si="42">ROUND(Q71*$I$89*$B$118,0)</f>
        <v>264</v>
      </c>
      <c r="U71" s="105">
        <f t="shared" ref="U71:U73" si="43">ROUND(S71*$I$89,0)</f>
        <v>521</v>
      </c>
      <c r="V71" s="51">
        <f t="shared" ref="V71:V73" si="44">ROUND(S71*$I$87,0)</f>
        <v>126</v>
      </c>
      <c r="W71" s="220">
        <f t="shared" ref="W71:W73" si="45">ROUND(S71*$I$85,0)</f>
        <v>51</v>
      </c>
      <c r="X71" s="53">
        <f t="shared" ref="X71:X73" si="46">ROUND(S71*$I$83,0)</f>
        <v>18</v>
      </c>
      <c r="Y71" s="214">
        <f t="shared" ref="Y71:Y73" si="47">ROUND(S71*$I$81,0)</f>
        <v>3</v>
      </c>
      <c r="Z71" s="52">
        <f t="shared" ref="Z71:Z73" si="48">ROUND((T71*$B$97)+(U71*$B$102)+(V71*$B$103)+(W71*$B$104)+(X71*$B$105)+(Y71*$B$106),0)</f>
        <v>54319000</v>
      </c>
      <c r="AA71" s="166"/>
      <c r="AB71" s="122"/>
      <c r="AC71" s="122"/>
      <c r="AD71" s="122"/>
    </row>
    <row r="72" spans="1:33" x14ac:dyDescent="0.2">
      <c r="A72" s="104">
        <f t="shared" si="27"/>
        <v>2053</v>
      </c>
      <c r="B72" s="26">
        <f>'Travel Time'!B209</f>
        <v>20433</v>
      </c>
      <c r="C72" s="27">
        <f t="shared" si="29"/>
        <v>213</v>
      </c>
      <c r="D72" s="49">
        <f t="shared" si="30"/>
        <v>428</v>
      </c>
      <c r="E72" s="50">
        <f t="shared" si="31"/>
        <v>845</v>
      </c>
      <c r="F72" s="13">
        <f t="shared" si="32"/>
        <v>310</v>
      </c>
      <c r="G72" s="27">
        <f t="shared" si="33"/>
        <v>612</v>
      </c>
      <c r="H72" s="13">
        <f t="shared" si="34"/>
        <v>148</v>
      </c>
      <c r="I72" s="51">
        <f t="shared" si="35"/>
        <v>60</v>
      </c>
      <c r="J72" s="14">
        <f t="shared" si="36"/>
        <v>21</v>
      </c>
      <c r="K72" s="53">
        <f t="shared" si="37"/>
        <v>4</v>
      </c>
      <c r="L72" s="215">
        <f t="shared" si="38"/>
        <v>68320700</v>
      </c>
      <c r="M72" s="132"/>
      <c r="N72" s="315">
        <f t="shared" si="39"/>
        <v>2053</v>
      </c>
      <c r="O72" s="105">
        <f>'Travel Time'!E209</f>
        <v>9482</v>
      </c>
      <c r="P72" s="27">
        <f>'Travel Time'!F209</f>
        <v>14339</v>
      </c>
      <c r="Q72" s="105">
        <f>ROUND((P72*$B$122)+(('Travel Time'!Q209/100000000)*Safety!$B$126),0)</f>
        <v>183</v>
      </c>
      <c r="R72" s="27">
        <f t="shared" si="40"/>
        <v>368</v>
      </c>
      <c r="S72" s="219">
        <f t="shared" si="41"/>
        <v>726</v>
      </c>
      <c r="T72" s="51">
        <f t="shared" si="42"/>
        <v>266</v>
      </c>
      <c r="U72" s="105">
        <f t="shared" si="43"/>
        <v>526</v>
      </c>
      <c r="V72" s="51">
        <f t="shared" si="44"/>
        <v>127</v>
      </c>
      <c r="W72" s="220">
        <f t="shared" si="45"/>
        <v>52</v>
      </c>
      <c r="X72" s="53">
        <f t="shared" si="46"/>
        <v>18</v>
      </c>
      <c r="Y72" s="214">
        <f t="shared" si="47"/>
        <v>3</v>
      </c>
      <c r="Z72" s="52">
        <f t="shared" si="48"/>
        <v>54532700</v>
      </c>
      <c r="AA72" s="166"/>
      <c r="AB72" s="122"/>
      <c r="AC72" s="122"/>
      <c r="AD72" s="122"/>
    </row>
    <row r="73" spans="1:33" x14ac:dyDescent="0.2">
      <c r="A73" s="104">
        <f t="shared" si="27"/>
        <v>2054</v>
      </c>
      <c r="B73" s="26">
        <f>'Travel Time'!B210</f>
        <v>20616</v>
      </c>
      <c r="C73" s="27">
        <f t="shared" si="29"/>
        <v>214</v>
      </c>
      <c r="D73" s="49">
        <f t="shared" si="30"/>
        <v>430</v>
      </c>
      <c r="E73" s="50">
        <f t="shared" si="31"/>
        <v>849</v>
      </c>
      <c r="F73" s="13">
        <f t="shared" si="32"/>
        <v>312</v>
      </c>
      <c r="G73" s="27">
        <f t="shared" si="33"/>
        <v>615</v>
      </c>
      <c r="H73" s="13">
        <f t="shared" si="34"/>
        <v>149</v>
      </c>
      <c r="I73" s="51">
        <f t="shared" si="35"/>
        <v>60</v>
      </c>
      <c r="J73" s="14">
        <f t="shared" si="36"/>
        <v>21</v>
      </c>
      <c r="K73" s="53">
        <f t="shared" si="37"/>
        <v>4</v>
      </c>
      <c r="L73" s="215">
        <f t="shared" si="38"/>
        <v>68403000</v>
      </c>
      <c r="M73" s="132"/>
      <c r="N73" s="315">
        <f t="shared" si="39"/>
        <v>2054</v>
      </c>
      <c r="O73" s="105">
        <f>'Travel Time'!E210</f>
        <v>9568</v>
      </c>
      <c r="P73" s="27">
        <f>'Travel Time'!F210</f>
        <v>14468</v>
      </c>
      <c r="Q73" s="105">
        <f>ROUND((P73*$B$122)+(('Travel Time'!Q210/100000000)*Safety!$B$126),0)</f>
        <v>185</v>
      </c>
      <c r="R73" s="27">
        <f t="shared" si="40"/>
        <v>372</v>
      </c>
      <c r="S73" s="219">
        <f t="shared" si="41"/>
        <v>734</v>
      </c>
      <c r="T73" s="51">
        <f t="shared" si="42"/>
        <v>269</v>
      </c>
      <c r="U73" s="105">
        <f t="shared" si="43"/>
        <v>532</v>
      </c>
      <c r="V73" s="51">
        <f t="shared" si="44"/>
        <v>128</v>
      </c>
      <c r="W73" s="220">
        <f t="shared" si="45"/>
        <v>52</v>
      </c>
      <c r="X73" s="53">
        <f t="shared" si="46"/>
        <v>18</v>
      </c>
      <c r="Y73" s="214">
        <f t="shared" si="47"/>
        <v>3</v>
      </c>
      <c r="Z73" s="52">
        <f t="shared" si="48"/>
        <v>54629000</v>
      </c>
      <c r="AA73" s="166"/>
      <c r="AB73" s="122"/>
      <c r="AC73" s="122"/>
      <c r="AD73" s="122"/>
    </row>
    <row r="74" spans="1:33" x14ac:dyDescent="0.2">
      <c r="A74" s="104">
        <f t="shared" si="27"/>
        <v>2055</v>
      </c>
      <c r="B74" s="26">
        <f>'Travel Time'!B211</f>
        <v>20802</v>
      </c>
      <c r="C74" s="27">
        <f>ROUND(B74*$B$122,0)</f>
        <v>216</v>
      </c>
      <c r="D74" s="49">
        <f>ROUND(C74*$B$118,0)</f>
        <v>434</v>
      </c>
      <c r="E74" s="50">
        <f>ROUND(D74*$B$113,0)</f>
        <v>857</v>
      </c>
      <c r="F74" s="13">
        <f>ROUND(C74*$I$89*$B$118,0)</f>
        <v>315</v>
      </c>
      <c r="G74" s="27">
        <f>ROUND(E74*$I$89,0)</f>
        <v>621</v>
      </c>
      <c r="H74" s="13">
        <f>ROUND(E74*$I$87,0)</f>
        <v>150</v>
      </c>
      <c r="I74" s="51">
        <f>ROUND(E74*$I$85,0)</f>
        <v>61</v>
      </c>
      <c r="J74" s="14">
        <f>ROUND(E74*$I$83,0)</f>
        <v>21</v>
      </c>
      <c r="K74" s="53">
        <f>ROUND(E74*$I$81,0)</f>
        <v>4</v>
      </c>
      <c r="L74" s="215">
        <f>ROUND((F74*$B$97)+(G74*$B$102)+(H74*$B$103)+(I74*$B$104)+(J74*$B$105)+(K74*$B$106),0)</f>
        <v>68624300</v>
      </c>
      <c r="M74" s="122"/>
      <c r="N74" s="315">
        <f t="shared" si="17"/>
        <v>2055</v>
      </c>
      <c r="O74" s="105">
        <f>'Travel Time'!E211</f>
        <v>9653.8366336633662</v>
      </c>
      <c r="P74" s="27">
        <f>'Travel Time'!F211</f>
        <v>14598.317241379311</v>
      </c>
      <c r="Q74" s="105">
        <f>ROUND((P74*$B$122)+(('Travel Time'!Q211/100000000)*Safety!$B$126),0)</f>
        <v>186</v>
      </c>
      <c r="R74" s="27">
        <f>ROUND(Q74*$B$118,0)</f>
        <v>374</v>
      </c>
      <c r="S74" s="219">
        <f>ROUND(R74*$B$113,0)</f>
        <v>738</v>
      </c>
      <c r="T74" s="51">
        <f>ROUND(Q74*$I$89*$B$118,0)</f>
        <v>271</v>
      </c>
      <c r="U74" s="105">
        <f>ROUND(S74*$I$89,0)</f>
        <v>535</v>
      </c>
      <c r="V74" s="51">
        <f>ROUND(S74*$I$87,0)</f>
        <v>129</v>
      </c>
      <c r="W74" s="220">
        <f>ROUND(S74*$I$85,0)</f>
        <v>53</v>
      </c>
      <c r="X74" s="53">
        <f>ROUND(S74*$I$83,0)</f>
        <v>18</v>
      </c>
      <c r="Y74" s="214">
        <f>ROUND(S74*$I$81,0)</f>
        <v>3</v>
      </c>
      <c r="Z74" s="52">
        <f>ROUND((T74*$B$97)+(U74*$B$102)+(V74*$B$103)+(W74*$B$104)+(X74*$B$105)+(Y74*$B$106),0)</f>
        <v>54836300</v>
      </c>
      <c r="AA74" s="166"/>
      <c r="AB74" s="122"/>
      <c r="AC74" s="122"/>
      <c r="AD74" s="122"/>
    </row>
    <row r="75" spans="1:33" ht="13.5" thickBot="1" x14ac:dyDescent="0.25">
      <c r="A75" s="312">
        <f t="shared" si="27"/>
        <v>2056</v>
      </c>
      <c r="B75" s="26">
        <f>'Travel Time'!B212</f>
        <v>20989</v>
      </c>
      <c r="C75" s="71">
        <f>ROUND(B75*$B$122,0)</f>
        <v>218</v>
      </c>
      <c r="D75" s="70">
        <f>ROUND(C75*$B$118,0)</f>
        <v>438</v>
      </c>
      <c r="E75" s="72">
        <f>ROUND(D75*$B$113,0)</f>
        <v>865</v>
      </c>
      <c r="F75" s="73">
        <f>ROUND(C75*$I$89*$B$118,0)</f>
        <v>317</v>
      </c>
      <c r="G75" s="71">
        <f>ROUND(E75*$I$89,0)</f>
        <v>627</v>
      </c>
      <c r="H75" s="73">
        <f>ROUND(E75*$I$87,0)</f>
        <v>151</v>
      </c>
      <c r="I75" s="74">
        <f>ROUND(E75*$I$85,0)</f>
        <v>62</v>
      </c>
      <c r="J75" s="75">
        <f>ROUND(E75*$I$83,0)</f>
        <v>21</v>
      </c>
      <c r="K75" s="77">
        <f>ROUND(E75*$I$81,0)</f>
        <v>4</v>
      </c>
      <c r="L75" s="217">
        <f>ROUND((F75*$B$97)+(G75*$B$102)+(H75*$B$103)+(I75*$B$104)+(J75*$B$105)+(K75*$B$106),0)</f>
        <v>68841200</v>
      </c>
      <c r="M75" s="122"/>
      <c r="N75" s="316">
        <f t="shared" si="17"/>
        <v>2056</v>
      </c>
      <c r="O75" s="105">
        <f>'Travel Time'!E212</f>
        <v>9741</v>
      </c>
      <c r="P75" s="27">
        <f>'Travel Time'!F212</f>
        <v>14730</v>
      </c>
      <c r="Q75" s="105">
        <f>ROUND((P75*$B$122)+(('Travel Time'!Q212/100000000)*Safety!$B$126),0)</f>
        <v>188</v>
      </c>
      <c r="R75" s="71">
        <f>ROUND(Q75*$B$118,0)</f>
        <v>378</v>
      </c>
      <c r="S75" s="222">
        <f>ROUND(R75*$B$113,0)</f>
        <v>746</v>
      </c>
      <c r="T75" s="74">
        <f>ROUND(Q75*$I$89*$B$118,0)</f>
        <v>274</v>
      </c>
      <c r="U75" s="221">
        <f>ROUND(S75*$I$89,0)</f>
        <v>540</v>
      </c>
      <c r="V75" s="74">
        <f>ROUND(S75*$I$87,0)</f>
        <v>130</v>
      </c>
      <c r="W75" s="223">
        <f>ROUND(S75*$I$85,0)</f>
        <v>53</v>
      </c>
      <c r="X75" s="77">
        <f>ROUND(S75*$I$83,0)</f>
        <v>18</v>
      </c>
      <c r="Y75" s="216">
        <f>ROUND(S75*$I$81,0)</f>
        <v>3</v>
      </c>
      <c r="Z75" s="76">
        <f>ROUND((T75*$B$97)+(U75*$B$102)+(V75*$B$103)+(W75*$B$104)+(X75*$B$105)+(Y75*$B$106),0)</f>
        <v>54929400</v>
      </c>
      <c r="AA75" s="166"/>
      <c r="AB75" s="122"/>
      <c r="AC75" s="122"/>
      <c r="AD75" s="122"/>
    </row>
    <row r="76" spans="1:33" ht="13.5" thickTop="1" x14ac:dyDescent="0.2">
      <c r="A76" s="408" t="s">
        <v>0</v>
      </c>
      <c r="B76" s="409"/>
      <c r="C76" s="409"/>
      <c r="D76" s="409"/>
      <c r="E76" s="409"/>
      <c r="F76" s="409"/>
      <c r="G76" s="409"/>
      <c r="H76" s="409"/>
      <c r="I76" s="409"/>
      <c r="J76" s="409"/>
      <c r="K76" s="410"/>
      <c r="L76" s="218">
        <f>SUM(L46:L75)</f>
        <v>1812995400</v>
      </c>
      <c r="M76" s="129"/>
      <c r="N76" s="408" t="s">
        <v>0</v>
      </c>
      <c r="O76" s="409"/>
      <c r="P76" s="409"/>
      <c r="Q76" s="409"/>
      <c r="R76" s="409"/>
      <c r="S76" s="409"/>
      <c r="T76" s="409"/>
      <c r="U76" s="409"/>
      <c r="V76" s="409"/>
      <c r="W76" s="409"/>
      <c r="X76" s="409"/>
      <c r="Y76" s="410"/>
      <c r="Z76" s="224">
        <f>SUM(Z46:Z75)</f>
        <v>1526821200</v>
      </c>
      <c r="AA76" s="166"/>
      <c r="AB76" s="122"/>
      <c r="AC76" s="122"/>
      <c r="AD76" s="122"/>
    </row>
    <row r="77" spans="1:33" x14ac:dyDescent="0.2">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9"/>
    </row>
    <row r="78" spans="1:33" x14ac:dyDescent="0.2">
      <c r="A78" s="380" t="s">
        <v>61</v>
      </c>
      <c r="B78" s="381"/>
      <c r="C78" s="381"/>
      <c r="D78" s="381"/>
      <c r="E78" s="381"/>
      <c r="F78" s="381"/>
      <c r="G78" s="381"/>
      <c r="H78" s="381"/>
      <c r="I78" s="396"/>
      <c r="J78" s="122"/>
      <c r="K78" s="134"/>
      <c r="L78" s="144"/>
      <c r="M78" s="144"/>
      <c r="N78" s="145"/>
      <c r="O78" s="145"/>
      <c r="P78" s="145"/>
      <c r="Q78" s="145"/>
      <c r="R78" s="145"/>
      <c r="S78" s="145"/>
      <c r="T78" s="145"/>
      <c r="U78" s="146"/>
      <c r="V78" s="134"/>
      <c r="W78" s="122"/>
      <c r="X78" s="122"/>
      <c r="Y78" s="147"/>
      <c r="Z78" s="147"/>
      <c r="AA78" s="147"/>
      <c r="AB78" s="147"/>
      <c r="AC78" s="134"/>
      <c r="AD78" s="2"/>
      <c r="AE78" s="2"/>
      <c r="AF78" s="2"/>
      <c r="AG78" s="2"/>
    </row>
    <row r="79" spans="1:33" x14ac:dyDescent="0.2">
      <c r="A79" s="380" t="s">
        <v>15</v>
      </c>
      <c r="B79" s="381"/>
      <c r="C79" s="381"/>
      <c r="D79" s="381"/>
      <c r="E79" s="381"/>
      <c r="F79" s="381"/>
      <c r="G79" s="381"/>
      <c r="H79" s="381"/>
      <c r="I79" s="396"/>
      <c r="J79" s="122"/>
      <c r="K79" s="134"/>
      <c r="L79" s="148"/>
      <c r="M79" s="148"/>
      <c r="N79" s="149"/>
      <c r="O79" s="150"/>
      <c r="P79" s="151"/>
      <c r="Q79" s="151"/>
      <c r="R79" s="151"/>
      <c r="S79" s="151"/>
      <c r="T79" s="152"/>
      <c r="U79" s="153"/>
      <c r="V79" s="154"/>
      <c r="W79" s="122"/>
      <c r="X79" s="122"/>
      <c r="Y79" s="154"/>
      <c r="Z79" s="154"/>
      <c r="AA79" s="154"/>
      <c r="AB79" s="154"/>
      <c r="AC79" s="154"/>
      <c r="AD79" s="3"/>
      <c r="AE79" s="3"/>
      <c r="AF79" s="3"/>
      <c r="AG79" s="3"/>
    </row>
    <row r="80" spans="1:33" x14ac:dyDescent="0.2">
      <c r="A80" s="415"/>
      <c r="B80" s="415"/>
      <c r="C80" s="34">
        <v>2014</v>
      </c>
      <c r="D80" s="35">
        <v>2015</v>
      </c>
      <c r="E80" s="35">
        <v>2016</v>
      </c>
      <c r="F80" s="35">
        <v>2017</v>
      </c>
      <c r="G80" s="35">
        <v>2018</v>
      </c>
      <c r="H80" s="414" t="s">
        <v>30</v>
      </c>
      <c r="I80" s="414"/>
      <c r="J80" s="122"/>
      <c r="K80" s="134"/>
      <c r="L80" s="155"/>
      <c r="M80" s="155"/>
      <c r="N80" s="149"/>
      <c r="O80" s="156"/>
      <c r="P80" s="156"/>
      <c r="Q80" s="156"/>
      <c r="R80" s="156"/>
      <c r="S80" s="151"/>
      <c r="T80" s="152"/>
      <c r="U80" s="157"/>
      <c r="V80" s="158"/>
      <c r="W80" s="122"/>
      <c r="X80" s="122"/>
      <c r="Y80" s="141"/>
      <c r="Z80" s="141"/>
      <c r="AA80" s="169"/>
      <c r="AB80" s="131"/>
      <c r="AC80" s="131"/>
      <c r="AD80" s="5"/>
      <c r="AE80" s="5"/>
      <c r="AF80" s="4"/>
      <c r="AG80" s="4"/>
    </row>
    <row r="81" spans="1:33" x14ac:dyDescent="0.2">
      <c r="A81" s="416" t="s">
        <v>8</v>
      </c>
      <c r="B81" s="106" t="s">
        <v>13</v>
      </c>
      <c r="C81" s="28">
        <v>0</v>
      </c>
      <c r="D81" s="45">
        <v>1</v>
      </c>
      <c r="E81" s="28">
        <v>0</v>
      </c>
      <c r="F81" s="45">
        <v>1</v>
      </c>
      <c r="G81" s="28">
        <v>1</v>
      </c>
      <c r="H81" s="45">
        <f>SUM(C81:G81)</f>
        <v>3</v>
      </c>
      <c r="I81" s="29">
        <f>H81/$H$91</f>
        <v>4.6439628482972135E-3</v>
      </c>
      <c r="J81" s="122"/>
      <c r="K81" s="134"/>
      <c r="L81" s="155"/>
      <c r="M81" s="155"/>
      <c r="N81" s="149"/>
      <c r="O81" s="156"/>
      <c r="P81" s="156"/>
      <c r="Q81" s="156"/>
      <c r="R81" s="156"/>
      <c r="S81" s="151"/>
      <c r="T81" s="152"/>
      <c r="U81" s="157"/>
      <c r="V81" s="159"/>
      <c r="W81" s="122"/>
      <c r="X81" s="122"/>
      <c r="Y81" s="132"/>
      <c r="Z81" s="134"/>
      <c r="AA81" s="130"/>
      <c r="AB81" s="130"/>
      <c r="AC81" s="130"/>
      <c r="AD81" s="6"/>
      <c r="AE81" s="6"/>
      <c r="AF81" s="7"/>
      <c r="AG81" s="8"/>
    </row>
    <row r="82" spans="1:33" x14ac:dyDescent="0.2">
      <c r="A82" s="416"/>
      <c r="B82" s="108" t="s">
        <v>14</v>
      </c>
      <c r="C82" s="30"/>
      <c r="D82" s="46"/>
      <c r="E82" s="30"/>
      <c r="F82" s="46"/>
      <c r="G82" s="30"/>
      <c r="H82" s="46"/>
      <c r="I82" s="31"/>
      <c r="J82" s="122"/>
      <c r="K82" s="134"/>
      <c r="L82" s="155"/>
      <c r="M82" s="155"/>
      <c r="N82" s="149"/>
      <c r="O82" s="156"/>
      <c r="P82" s="156"/>
      <c r="Q82" s="156"/>
      <c r="R82" s="156"/>
      <c r="S82" s="151"/>
      <c r="T82" s="152"/>
      <c r="U82" s="157"/>
      <c r="V82" s="159"/>
      <c r="W82" s="122"/>
      <c r="X82" s="122"/>
      <c r="Y82" s="132"/>
      <c r="Z82" s="134"/>
      <c r="AA82" s="130"/>
      <c r="AB82" s="130"/>
      <c r="AC82" s="130"/>
      <c r="AD82" s="6"/>
      <c r="AE82" s="6"/>
      <c r="AF82" s="7"/>
      <c r="AG82" s="8"/>
    </row>
    <row r="83" spans="1:33" x14ac:dyDescent="0.2">
      <c r="A83" s="416" t="s">
        <v>84</v>
      </c>
      <c r="B83" s="106" t="s">
        <v>13</v>
      </c>
      <c r="C83" s="28">
        <v>5</v>
      </c>
      <c r="D83" s="45">
        <v>1</v>
      </c>
      <c r="E83" s="28">
        <v>6</v>
      </c>
      <c r="F83" s="45">
        <v>2</v>
      </c>
      <c r="G83" s="28">
        <v>2</v>
      </c>
      <c r="H83" s="45">
        <f>SUM(C83:G83)</f>
        <v>16</v>
      </c>
      <c r="I83" s="29">
        <f>H83/$H$91</f>
        <v>2.4767801857585141E-2</v>
      </c>
      <c r="J83" s="122"/>
      <c r="K83" s="134"/>
      <c r="L83" s="155"/>
      <c r="M83" s="155"/>
      <c r="N83" s="155"/>
      <c r="O83" s="160"/>
      <c r="P83" s="156"/>
      <c r="Q83" s="156"/>
      <c r="R83" s="156"/>
      <c r="S83" s="156"/>
      <c r="T83" s="161"/>
      <c r="U83" s="157"/>
      <c r="V83" s="159"/>
      <c r="W83" s="122"/>
      <c r="X83" s="122"/>
      <c r="Y83" s="132"/>
      <c r="Z83" s="134"/>
      <c r="AA83" s="130"/>
      <c r="AB83" s="130"/>
      <c r="AC83" s="130"/>
      <c r="AD83" s="6"/>
      <c r="AE83" s="6"/>
      <c r="AF83" s="7"/>
      <c r="AG83" s="8"/>
    </row>
    <row r="84" spans="1:33" x14ac:dyDescent="0.2">
      <c r="A84" s="416"/>
      <c r="B84" s="108" t="s">
        <v>14</v>
      </c>
      <c r="C84" s="30"/>
      <c r="D84" s="46"/>
      <c r="E84" s="30"/>
      <c r="F84" s="46"/>
      <c r="G84" s="30"/>
      <c r="H84" s="46"/>
      <c r="I84" s="31"/>
      <c r="J84" s="122"/>
      <c r="K84" s="134"/>
      <c r="L84" s="132"/>
      <c r="M84" s="132"/>
      <c r="N84" s="134"/>
      <c r="O84" s="130"/>
      <c r="P84" s="134"/>
      <c r="Q84" s="134"/>
      <c r="R84" s="134"/>
      <c r="S84" s="134"/>
      <c r="T84" s="134"/>
      <c r="U84" s="162"/>
      <c r="V84" s="159"/>
      <c r="W84" s="122"/>
      <c r="X84" s="122"/>
      <c r="Y84" s="132"/>
      <c r="Z84" s="134"/>
      <c r="AA84" s="130"/>
      <c r="AB84" s="130"/>
      <c r="AC84" s="130"/>
      <c r="AD84" s="6"/>
      <c r="AE84" s="6"/>
      <c r="AF84" s="7"/>
      <c r="AG84" s="8"/>
    </row>
    <row r="85" spans="1:33" x14ac:dyDescent="0.2">
      <c r="A85" s="416" t="s">
        <v>10</v>
      </c>
      <c r="B85" s="106" t="s">
        <v>13</v>
      </c>
      <c r="C85" s="28">
        <v>13</v>
      </c>
      <c r="D85" s="45">
        <v>9</v>
      </c>
      <c r="E85" s="28">
        <v>13</v>
      </c>
      <c r="F85" s="45">
        <v>7</v>
      </c>
      <c r="G85" s="28">
        <v>4</v>
      </c>
      <c r="H85" s="45">
        <f>SUM(C85:G85)</f>
        <v>46</v>
      </c>
      <c r="I85" s="29">
        <f>H85/$H$91</f>
        <v>7.1207430340557279E-2</v>
      </c>
      <c r="J85" s="163"/>
      <c r="K85" s="158"/>
      <c r="L85" s="158"/>
      <c r="M85" s="158"/>
      <c r="N85" s="158"/>
      <c r="O85" s="158"/>
      <c r="P85" s="158"/>
      <c r="Q85" s="158"/>
      <c r="R85" s="158"/>
      <c r="S85" s="158"/>
      <c r="T85" s="158"/>
      <c r="U85" s="158"/>
      <c r="V85" s="159"/>
      <c r="W85" s="122"/>
      <c r="X85" s="122"/>
      <c r="Y85" s="132"/>
      <c r="Z85" s="134"/>
      <c r="AA85" s="130"/>
      <c r="AB85" s="130"/>
      <c r="AC85" s="130"/>
      <c r="AD85" s="6"/>
      <c r="AE85" s="6"/>
      <c r="AF85" s="7"/>
      <c r="AG85" s="8"/>
    </row>
    <row r="86" spans="1:33" x14ac:dyDescent="0.2">
      <c r="A86" s="416"/>
      <c r="B86" s="108" t="s">
        <v>14</v>
      </c>
      <c r="C86" s="30"/>
      <c r="D86" s="46"/>
      <c r="E86" s="30"/>
      <c r="F86" s="46"/>
      <c r="G86" s="30"/>
      <c r="H86" s="46"/>
      <c r="I86" s="31"/>
      <c r="J86" s="163"/>
      <c r="K86" s="164"/>
      <c r="L86" s="164"/>
      <c r="M86" s="164"/>
      <c r="N86" s="164"/>
      <c r="O86" s="164"/>
      <c r="P86" s="164"/>
      <c r="Q86" s="164"/>
      <c r="R86" s="164"/>
      <c r="S86" s="164"/>
      <c r="T86" s="164"/>
      <c r="U86" s="164"/>
      <c r="V86" s="159"/>
      <c r="W86" s="122"/>
      <c r="X86" s="122"/>
      <c r="Y86" s="132"/>
      <c r="Z86" s="134"/>
      <c r="AA86" s="130"/>
      <c r="AB86" s="130"/>
      <c r="AC86" s="130"/>
      <c r="AD86" s="6"/>
      <c r="AE86" s="6"/>
      <c r="AF86" s="7"/>
      <c r="AG86" s="8"/>
    </row>
    <row r="87" spans="1:33" x14ac:dyDescent="0.2">
      <c r="A87" s="416" t="s">
        <v>11</v>
      </c>
      <c r="B87" s="106" t="s">
        <v>13</v>
      </c>
      <c r="C87" s="28">
        <v>30</v>
      </c>
      <c r="D87" s="45">
        <v>15</v>
      </c>
      <c r="E87" s="28">
        <v>30</v>
      </c>
      <c r="F87" s="45">
        <v>22</v>
      </c>
      <c r="G87" s="28">
        <v>16</v>
      </c>
      <c r="H87" s="45">
        <f>SUM(C87:G87)</f>
        <v>113</v>
      </c>
      <c r="I87" s="29">
        <f>H87/$H$91</f>
        <v>0.17492260061919504</v>
      </c>
      <c r="J87" s="163"/>
      <c r="K87" s="164"/>
      <c r="L87" s="164"/>
      <c r="M87" s="164"/>
      <c r="N87" s="164"/>
      <c r="O87" s="164"/>
      <c r="P87" s="164"/>
      <c r="Q87" s="164"/>
      <c r="R87" s="164"/>
      <c r="S87" s="164"/>
      <c r="T87" s="164"/>
      <c r="U87" s="164"/>
      <c r="V87" s="159"/>
      <c r="W87" s="122"/>
      <c r="X87" s="122"/>
      <c r="Y87" s="132"/>
      <c r="Z87" s="134"/>
      <c r="AA87" s="130"/>
      <c r="AB87" s="130"/>
      <c r="AC87" s="130"/>
      <c r="AD87" s="6"/>
      <c r="AE87" s="6"/>
      <c r="AF87" s="7"/>
      <c r="AG87" s="8"/>
    </row>
    <row r="88" spans="1:33" x14ac:dyDescent="0.2">
      <c r="A88" s="416"/>
      <c r="B88" s="108" t="s">
        <v>14</v>
      </c>
      <c r="C88" s="30"/>
      <c r="D88" s="46"/>
      <c r="E88" s="30"/>
      <c r="F88" s="46"/>
      <c r="G88" s="30"/>
      <c r="H88" s="46"/>
      <c r="I88" s="31"/>
      <c r="J88" s="163"/>
      <c r="K88" s="164"/>
      <c r="L88" s="164"/>
      <c r="M88" s="164"/>
      <c r="N88" s="164"/>
      <c r="O88" s="164"/>
      <c r="P88" s="164"/>
      <c r="Q88" s="164"/>
      <c r="R88" s="164"/>
      <c r="S88" s="164"/>
      <c r="T88" s="164"/>
      <c r="U88" s="164"/>
      <c r="V88" s="159"/>
      <c r="W88" s="122"/>
      <c r="X88" s="122"/>
      <c r="Y88" s="132"/>
      <c r="Z88" s="134"/>
      <c r="AA88" s="130"/>
      <c r="AB88" s="130"/>
      <c r="AC88" s="130"/>
      <c r="AD88" s="6"/>
      <c r="AE88" s="6"/>
      <c r="AF88" s="7"/>
      <c r="AG88" s="8"/>
    </row>
    <row r="89" spans="1:33" x14ac:dyDescent="0.2">
      <c r="A89" s="416" t="s">
        <v>12</v>
      </c>
      <c r="B89" s="106" t="s">
        <v>13</v>
      </c>
      <c r="C89" s="28">
        <v>93</v>
      </c>
      <c r="D89" s="45">
        <v>108</v>
      </c>
      <c r="E89" s="28">
        <v>87</v>
      </c>
      <c r="F89" s="45">
        <v>89</v>
      </c>
      <c r="G89" s="28">
        <v>91</v>
      </c>
      <c r="H89" s="45">
        <f>SUM(C89:G89)</f>
        <v>468</v>
      </c>
      <c r="I89" s="29">
        <f>H89/$H$91</f>
        <v>0.72445820433436536</v>
      </c>
      <c r="J89" s="122"/>
      <c r="K89" s="134"/>
      <c r="L89" s="132"/>
      <c r="M89" s="132"/>
      <c r="N89" s="134"/>
      <c r="O89" s="130"/>
      <c r="P89" s="130"/>
      <c r="Q89" s="130"/>
      <c r="R89" s="130"/>
      <c r="S89" s="130"/>
      <c r="T89" s="130"/>
      <c r="U89" s="162"/>
      <c r="V89" s="159"/>
      <c r="W89" s="122"/>
      <c r="X89" s="122"/>
      <c r="Y89" s="132"/>
      <c r="Z89" s="134"/>
      <c r="AA89" s="130"/>
      <c r="AB89" s="130"/>
      <c r="AC89" s="130"/>
      <c r="AD89" s="6"/>
      <c r="AE89" s="6"/>
      <c r="AF89" s="7"/>
      <c r="AG89" s="8"/>
    </row>
    <row r="90" spans="1:33" x14ac:dyDescent="0.2">
      <c r="A90" s="416"/>
      <c r="B90" s="108" t="s">
        <v>14</v>
      </c>
      <c r="C90" s="30"/>
      <c r="D90" s="46"/>
      <c r="E90" s="30"/>
      <c r="F90" s="46"/>
      <c r="G90" s="30"/>
      <c r="H90" s="46"/>
      <c r="I90" s="31"/>
      <c r="J90" s="165"/>
      <c r="K90" s="134"/>
      <c r="L90" s="132"/>
      <c r="M90" s="132"/>
      <c r="N90" s="134"/>
      <c r="O90" s="130"/>
      <c r="P90" s="130"/>
      <c r="Q90" s="130"/>
      <c r="R90" s="130"/>
      <c r="S90" s="130"/>
      <c r="T90" s="130"/>
      <c r="U90" s="162"/>
      <c r="V90" s="159"/>
      <c r="W90" s="122"/>
      <c r="X90" s="122"/>
      <c r="Y90" s="132"/>
      <c r="Z90" s="134"/>
      <c r="AA90" s="130"/>
      <c r="AB90" s="130"/>
      <c r="AC90" s="130"/>
      <c r="AD90" s="6"/>
      <c r="AE90" s="6"/>
      <c r="AF90" s="7"/>
      <c r="AG90" s="8"/>
    </row>
    <row r="91" spans="1:33" x14ac:dyDescent="0.2">
      <c r="A91" s="416" t="s">
        <v>0</v>
      </c>
      <c r="B91" s="106" t="s">
        <v>13</v>
      </c>
      <c r="C91" s="32">
        <f>SUM(C81,C83,C85,C87,C89)</f>
        <v>141</v>
      </c>
      <c r="D91" s="47">
        <f>SUM(D81,D83,D85,D87,D89)</f>
        <v>134</v>
      </c>
      <c r="E91" s="32">
        <f>SUM(E81,E83,E85,E87,E89)</f>
        <v>136</v>
      </c>
      <c r="F91" s="47">
        <f>SUM(F81,F83,F85,F87,F89)</f>
        <v>121</v>
      </c>
      <c r="G91" s="32">
        <f>SUM(G81,G83,G85,G87,G89)</f>
        <v>114</v>
      </c>
      <c r="H91" s="45">
        <f>SUM(C91:G91)</f>
        <v>646</v>
      </c>
      <c r="I91" s="29">
        <f>H91/$H$91</f>
        <v>1</v>
      </c>
      <c r="J91" s="122"/>
      <c r="K91" s="134"/>
      <c r="L91" s="132"/>
      <c r="M91" s="132"/>
      <c r="N91" s="134"/>
      <c r="O91" s="130"/>
      <c r="P91" s="130"/>
      <c r="Q91" s="130"/>
      <c r="R91" s="130"/>
      <c r="S91" s="130"/>
      <c r="T91" s="130"/>
      <c r="U91" s="162"/>
      <c r="V91" s="159"/>
      <c r="W91" s="122"/>
      <c r="X91" s="122"/>
      <c r="Y91" s="132"/>
      <c r="Z91" s="134"/>
      <c r="AA91" s="130"/>
      <c r="AB91" s="130"/>
      <c r="AC91" s="130"/>
      <c r="AD91" s="6"/>
      <c r="AE91" s="6"/>
      <c r="AF91" s="7"/>
      <c r="AG91" s="8"/>
    </row>
    <row r="92" spans="1:33" x14ac:dyDescent="0.2">
      <c r="A92" s="430"/>
      <c r="B92" s="317" t="s">
        <v>14</v>
      </c>
      <c r="C92" s="33"/>
      <c r="D92" s="48"/>
      <c r="E92" s="33"/>
      <c r="F92" s="48"/>
      <c r="G92" s="33"/>
      <c r="H92" s="46"/>
      <c r="I92" s="31"/>
      <c r="J92" s="122"/>
      <c r="K92" s="134"/>
      <c r="L92" s="132"/>
      <c r="M92" s="132"/>
      <c r="N92" s="134"/>
      <c r="O92" s="130"/>
      <c r="P92" s="130"/>
      <c r="Q92" s="130"/>
      <c r="R92" s="130"/>
      <c r="S92" s="130"/>
      <c r="T92" s="130"/>
      <c r="U92" s="162"/>
      <c r="V92" s="159"/>
      <c r="W92" s="134"/>
      <c r="X92" s="122"/>
      <c r="Y92" s="132"/>
      <c r="Z92" s="134"/>
      <c r="AA92" s="130"/>
      <c r="AB92" s="130"/>
      <c r="AC92" s="130"/>
      <c r="AD92" s="6"/>
      <c r="AE92" s="6"/>
      <c r="AF92" s="7"/>
      <c r="AG92" s="8"/>
    </row>
    <row r="93" spans="1:33" x14ac:dyDescent="0.2">
      <c r="A93" s="425" t="s">
        <v>273</v>
      </c>
      <c r="B93" s="431"/>
      <c r="C93" s="431"/>
      <c r="D93" s="431"/>
      <c r="E93" s="431"/>
      <c r="F93" s="431"/>
      <c r="G93" s="431"/>
      <c r="H93" s="431"/>
      <c r="I93" s="426"/>
      <c r="J93" s="122"/>
      <c r="K93" s="134"/>
      <c r="L93" s="154"/>
      <c r="M93" s="154"/>
      <c r="N93" s="154"/>
      <c r="O93" s="154"/>
      <c r="P93" s="154"/>
      <c r="Q93" s="154"/>
      <c r="R93" s="154"/>
      <c r="S93" s="154"/>
      <c r="T93" s="154"/>
      <c r="U93" s="154"/>
      <c r="V93" s="154"/>
      <c r="W93" s="134"/>
      <c r="X93" s="122"/>
      <c r="Y93" s="154"/>
      <c r="Z93" s="154"/>
      <c r="AA93" s="154"/>
      <c r="AB93" s="154"/>
      <c r="AC93" s="154"/>
      <c r="AD93" s="3"/>
      <c r="AE93" s="3"/>
      <c r="AF93" s="3"/>
      <c r="AG93" s="3"/>
    </row>
    <row r="94" spans="1:33" x14ac:dyDescent="0.2">
      <c r="A94" s="125"/>
      <c r="B94" s="125"/>
      <c r="C94" s="125"/>
      <c r="D94" s="125"/>
      <c r="E94" s="103"/>
      <c r="F94" s="103"/>
      <c r="G94" s="103"/>
      <c r="H94" s="103"/>
      <c r="I94" s="125"/>
      <c r="J94" s="125"/>
      <c r="K94" s="122"/>
      <c r="L94" s="134"/>
      <c r="M94" s="134"/>
      <c r="N94" s="134"/>
      <c r="O94" s="134"/>
      <c r="P94" s="134"/>
      <c r="Q94" s="134"/>
      <c r="R94" s="134"/>
      <c r="S94" s="125"/>
      <c r="T94" s="125"/>
      <c r="U94" s="125"/>
      <c r="V94" s="134"/>
      <c r="W94" s="134"/>
      <c r="X94" s="122"/>
      <c r="Y94" s="122"/>
      <c r="Z94" s="122"/>
      <c r="AA94" s="122"/>
      <c r="AB94" s="122"/>
      <c r="AC94" s="122"/>
    </row>
    <row r="95" spans="1:33" x14ac:dyDescent="0.2">
      <c r="A95" s="368" t="s">
        <v>26</v>
      </c>
      <c r="B95" s="368"/>
      <c r="C95" s="122"/>
      <c r="D95" s="137"/>
      <c r="E95" s="126"/>
      <c r="F95" s="103"/>
      <c r="G95" s="103"/>
      <c r="H95" s="103"/>
      <c r="I95" s="122"/>
      <c r="J95" s="122"/>
      <c r="K95" s="122"/>
      <c r="L95" s="134"/>
      <c r="M95" s="134"/>
      <c r="N95" s="134"/>
      <c r="O95" s="134"/>
      <c r="P95" s="134"/>
      <c r="Q95" s="134"/>
      <c r="R95" s="134"/>
      <c r="S95" s="134"/>
      <c r="T95" s="134"/>
      <c r="U95" s="134"/>
      <c r="V95" s="134"/>
      <c r="W95" s="134"/>
      <c r="X95" s="122"/>
      <c r="Y95" s="122"/>
      <c r="Z95" s="122"/>
      <c r="AA95" s="122"/>
      <c r="AB95" s="122"/>
      <c r="AC95" s="122"/>
    </row>
    <row r="96" spans="1:33" s="12" customFormat="1" ht="17.45" customHeight="1" x14ac:dyDescent="0.2">
      <c r="A96" s="36"/>
      <c r="B96" s="37" t="s">
        <v>114</v>
      </c>
      <c r="C96" s="129"/>
      <c r="D96" s="138"/>
      <c r="E96" s="127"/>
      <c r="F96" s="127"/>
      <c r="G96" s="128"/>
      <c r="H96" s="128"/>
      <c r="I96" s="129"/>
      <c r="J96" s="129"/>
      <c r="K96" s="129"/>
      <c r="L96" s="141"/>
      <c r="M96" s="141"/>
      <c r="N96" s="141"/>
      <c r="O96" s="141"/>
      <c r="P96" s="141"/>
      <c r="Q96" s="141"/>
      <c r="R96" s="141"/>
      <c r="S96" s="141"/>
      <c r="T96" s="141"/>
      <c r="U96" s="141"/>
      <c r="V96" s="141"/>
      <c r="W96" s="141"/>
      <c r="X96" s="129"/>
      <c r="Y96" s="129"/>
      <c r="Z96" s="129"/>
      <c r="AA96" s="129"/>
      <c r="AB96" s="129"/>
      <c r="AC96" s="129"/>
      <c r="AD96" s="129"/>
    </row>
    <row r="97" spans="1:30" x14ac:dyDescent="0.2">
      <c r="A97" s="318" t="s">
        <v>27</v>
      </c>
      <c r="B97" s="62">
        <v>4400</v>
      </c>
      <c r="C97" s="122"/>
      <c r="D97" s="139"/>
      <c r="E97" s="126"/>
      <c r="F97" s="103"/>
      <c r="G97" s="103"/>
      <c r="H97" s="103"/>
      <c r="I97" s="122"/>
      <c r="J97" s="122"/>
      <c r="K97" s="122"/>
      <c r="L97" s="134"/>
      <c r="M97" s="134"/>
      <c r="N97" s="134"/>
      <c r="O97" s="134"/>
      <c r="P97" s="134"/>
      <c r="Q97" s="134"/>
      <c r="R97" s="134"/>
      <c r="S97" s="134"/>
      <c r="T97" s="134"/>
      <c r="U97" s="134"/>
      <c r="V97" s="134"/>
      <c r="W97" s="134"/>
      <c r="X97" s="122"/>
      <c r="Y97" s="122"/>
      <c r="Z97" s="122"/>
      <c r="AA97" s="122"/>
      <c r="AB97" s="122"/>
      <c r="AC97" s="122"/>
      <c r="AD97" s="122"/>
    </row>
    <row r="98" spans="1:30" x14ac:dyDescent="0.2">
      <c r="A98" s="413" t="s">
        <v>107</v>
      </c>
      <c r="B98" s="413"/>
      <c r="C98" s="122"/>
      <c r="D98" s="139"/>
      <c r="E98" s="130"/>
      <c r="F98" s="131"/>
      <c r="G98" s="132"/>
      <c r="H98" s="132"/>
      <c r="I98" s="122"/>
      <c r="J98" s="122"/>
      <c r="K98" s="122"/>
      <c r="L98" s="134"/>
      <c r="M98" s="134"/>
      <c r="N98" s="134"/>
      <c r="O98" s="134"/>
      <c r="P98" s="134"/>
      <c r="Q98" s="134"/>
      <c r="R98" s="134"/>
      <c r="S98" s="134"/>
      <c r="T98" s="134"/>
      <c r="U98" s="134"/>
      <c r="V98" s="134"/>
      <c r="W98" s="134"/>
      <c r="X98" s="122"/>
      <c r="Y98" s="122"/>
      <c r="Z98" s="122"/>
      <c r="AA98" s="122"/>
      <c r="AB98" s="122"/>
      <c r="AC98" s="122"/>
      <c r="AD98" s="122"/>
    </row>
    <row r="99" spans="1:30" x14ac:dyDescent="0.2">
      <c r="A99" s="121"/>
      <c r="B99" s="121"/>
      <c r="C99" s="122"/>
      <c r="D99" s="139"/>
      <c r="E99" s="130"/>
      <c r="F99" s="131"/>
      <c r="G99" s="132"/>
      <c r="H99" s="132"/>
      <c r="I99" s="122"/>
      <c r="J99" s="122"/>
      <c r="K99" s="122"/>
      <c r="L99" s="134"/>
      <c r="M99" s="134"/>
      <c r="N99" s="134"/>
      <c r="O99" s="134"/>
      <c r="P99" s="134"/>
      <c r="Q99" s="134"/>
      <c r="R99" s="134"/>
      <c r="S99" s="134"/>
      <c r="T99" s="134"/>
      <c r="U99" s="134"/>
      <c r="V99" s="134"/>
      <c r="W99" s="134"/>
      <c r="X99" s="122"/>
      <c r="Y99" s="122"/>
      <c r="Z99" s="122"/>
      <c r="AA99" s="122"/>
      <c r="AB99" s="122"/>
      <c r="AC99" s="122"/>
      <c r="AD99" s="122"/>
    </row>
    <row r="100" spans="1:30" x14ac:dyDescent="0.2">
      <c r="A100" s="36" t="s">
        <v>16</v>
      </c>
      <c r="B100" s="36"/>
      <c r="C100" s="122"/>
      <c r="D100" s="139"/>
      <c r="E100" s="130"/>
      <c r="F100" s="131"/>
      <c r="G100" s="132"/>
      <c r="H100" s="132"/>
      <c r="I100" s="122"/>
      <c r="J100" s="122"/>
      <c r="K100" s="122"/>
      <c r="L100" s="134"/>
      <c r="M100" s="134"/>
      <c r="N100" s="134"/>
      <c r="O100" s="134"/>
      <c r="P100" s="134"/>
      <c r="Q100" s="134"/>
      <c r="R100" s="134"/>
      <c r="S100" s="134"/>
      <c r="T100" s="134"/>
      <c r="U100" s="134"/>
      <c r="V100" s="134"/>
      <c r="W100" s="134"/>
      <c r="X100" s="122"/>
      <c r="Y100" s="122"/>
      <c r="Z100" s="122"/>
      <c r="AA100" s="122"/>
      <c r="AB100" s="122"/>
      <c r="AC100" s="122"/>
      <c r="AD100" s="122"/>
    </row>
    <row r="101" spans="1:30" x14ac:dyDescent="0.2">
      <c r="A101" s="36" t="s">
        <v>17</v>
      </c>
      <c r="B101" s="36" t="s">
        <v>18</v>
      </c>
      <c r="C101" s="122"/>
      <c r="D101" s="140"/>
      <c r="E101" s="130"/>
      <c r="F101" s="130"/>
      <c r="G101" s="133"/>
      <c r="H101" s="133"/>
      <c r="I101" s="122"/>
      <c r="J101" s="122"/>
      <c r="K101" s="122"/>
      <c r="L101" s="134"/>
      <c r="M101" s="134"/>
      <c r="N101" s="134"/>
      <c r="O101" s="134"/>
      <c r="P101" s="134"/>
      <c r="Q101" s="134"/>
      <c r="R101" s="134"/>
      <c r="S101" s="134"/>
      <c r="T101" s="134"/>
      <c r="U101" s="134"/>
      <c r="V101" s="134"/>
      <c r="W101" s="134"/>
      <c r="X101" s="122"/>
      <c r="Y101" s="122"/>
      <c r="Z101" s="122"/>
      <c r="AA101" s="122"/>
      <c r="AB101" s="122"/>
      <c r="AC101" s="122"/>
      <c r="AD101" s="122"/>
    </row>
    <row r="102" spans="1:30" x14ac:dyDescent="0.2">
      <c r="A102" s="319" t="s">
        <v>19</v>
      </c>
      <c r="B102" s="64">
        <v>3200</v>
      </c>
      <c r="C102" s="122"/>
      <c r="D102" s="141"/>
      <c r="E102" s="134"/>
      <c r="F102" s="134"/>
      <c r="G102" s="134"/>
      <c r="H102" s="134"/>
      <c r="I102" s="122"/>
      <c r="J102" s="122"/>
      <c r="K102" s="122"/>
      <c r="L102" s="134"/>
      <c r="M102" s="134"/>
      <c r="N102" s="134"/>
      <c r="O102" s="134"/>
      <c r="P102" s="134"/>
      <c r="Q102" s="134"/>
      <c r="R102" s="134"/>
      <c r="S102" s="134"/>
      <c r="T102" s="134"/>
      <c r="U102" s="134"/>
      <c r="V102" s="134"/>
      <c r="W102" s="134"/>
      <c r="X102" s="122"/>
      <c r="Y102" s="122"/>
      <c r="Z102" s="122"/>
      <c r="AA102" s="122"/>
      <c r="AB102" s="122"/>
      <c r="AC102" s="122"/>
      <c r="AD102" s="122"/>
    </row>
    <row r="103" spans="1:30" x14ac:dyDescent="0.2">
      <c r="A103" s="320" t="s">
        <v>20</v>
      </c>
      <c r="B103" s="65">
        <v>63900</v>
      </c>
      <c r="C103" s="122"/>
      <c r="D103" s="122"/>
      <c r="E103" s="122"/>
      <c r="F103" s="122"/>
      <c r="G103" s="122"/>
      <c r="H103" s="122"/>
      <c r="I103" s="122"/>
      <c r="J103" s="122"/>
      <c r="K103" s="122"/>
      <c r="L103" s="134"/>
      <c r="M103" s="134"/>
      <c r="N103" s="134"/>
      <c r="O103" s="134"/>
      <c r="P103" s="134"/>
      <c r="Q103" s="134"/>
      <c r="R103" s="134"/>
      <c r="S103" s="134"/>
      <c r="T103" s="134"/>
      <c r="U103" s="134"/>
      <c r="V103" s="134"/>
      <c r="W103" s="134"/>
      <c r="X103" s="122"/>
      <c r="Y103" s="122"/>
      <c r="Z103" s="122"/>
      <c r="AA103" s="122"/>
      <c r="AB103" s="122"/>
      <c r="AC103" s="122"/>
    </row>
    <row r="104" spans="1:30" x14ac:dyDescent="0.2">
      <c r="A104" s="320" t="s">
        <v>21</v>
      </c>
      <c r="B104" s="65">
        <v>125000</v>
      </c>
      <c r="C104" s="122"/>
      <c r="D104" s="122"/>
      <c r="E104" s="122"/>
      <c r="F104" s="122"/>
      <c r="G104" s="122"/>
      <c r="H104" s="122"/>
      <c r="I104" s="122"/>
      <c r="J104" s="122"/>
      <c r="K104" s="122"/>
      <c r="L104" s="134"/>
      <c r="M104" s="134"/>
      <c r="N104" s="134"/>
      <c r="O104" s="134"/>
      <c r="P104" s="134"/>
      <c r="Q104" s="134"/>
      <c r="R104" s="134"/>
      <c r="S104" s="134"/>
      <c r="T104" s="134"/>
      <c r="U104" s="134"/>
      <c r="V104" s="134"/>
      <c r="W104" s="134"/>
      <c r="X104" s="122"/>
      <c r="Y104" s="122"/>
      <c r="Z104" s="122"/>
      <c r="AA104" s="122"/>
      <c r="AB104" s="122"/>
      <c r="AC104" s="122"/>
    </row>
    <row r="105" spans="1:30" x14ac:dyDescent="0.2">
      <c r="A105" s="320" t="s">
        <v>22</v>
      </c>
      <c r="B105" s="65">
        <v>459100</v>
      </c>
      <c r="C105" s="122"/>
      <c r="D105" s="122"/>
      <c r="E105" s="122"/>
      <c r="F105" s="122"/>
      <c r="G105" s="122"/>
      <c r="H105" s="122"/>
      <c r="I105" s="122"/>
      <c r="J105" s="122"/>
      <c r="K105" s="122"/>
      <c r="L105" s="134"/>
      <c r="M105" s="134"/>
      <c r="N105" s="134"/>
      <c r="O105" s="134"/>
      <c r="P105" s="134"/>
      <c r="Q105" s="134"/>
      <c r="R105" s="134"/>
      <c r="S105" s="134"/>
      <c r="T105" s="134"/>
      <c r="U105" s="134"/>
      <c r="V105" s="134"/>
      <c r="W105" s="134"/>
      <c r="X105" s="122"/>
      <c r="Y105" s="122"/>
      <c r="Z105" s="122"/>
      <c r="AA105" s="122"/>
      <c r="AB105" s="122"/>
      <c r="AC105" s="122"/>
    </row>
    <row r="106" spans="1:30" x14ac:dyDescent="0.2">
      <c r="A106" s="320" t="s">
        <v>23</v>
      </c>
      <c r="B106" s="65">
        <v>9600000</v>
      </c>
      <c r="C106" s="122"/>
      <c r="D106" s="122"/>
      <c r="E106" s="122"/>
      <c r="F106" s="122"/>
      <c r="G106" s="122"/>
      <c r="H106" s="122"/>
      <c r="I106" s="122"/>
      <c r="J106" s="122"/>
      <c r="K106" s="122"/>
      <c r="L106" s="134"/>
      <c r="M106" s="134"/>
      <c r="N106" s="134"/>
      <c r="O106" s="134"/>
      <c r="P106" s="134"/>
      <c r="Q106" s="134"/>
      <c r="R106" s="134"/>
      <c r="S106" s="134"/>
      <c r="T106" s="134"/>
      <c r="U106" s="134"/>
      <c r="V106" s="134"/>
      <c r="W106" s="134"/>
      <c r="X106" s="122"/>
      <c r="Y106" s="122"/>
      <c r="Z106" s="122"/>
      <c r="AA106" s="122"/>
      <c r="AB106" s="122"/>
      <c r="AC106" s="122"/>
    </row>
    <row r="107" spans="1:30" ht="25.5" x14ac:dyDescent="0.2">
      <c r="A107" s="321" t="s">
        <v>24</v>
      </c>
      <c r="B107" s="66">
        <v>174000</v>
      </c>
      <c r="C107" s="122"/>
      <c r="D107" s="122"/>
      <c r="E107" s="122"/>
      <c r="F107" s="122"/>
      <c r="G107" s="122"/>
      <c r="H107" s="122"/>
      <c r="I107" s="122"/>
      <c r="J107" s="122"/>
      <c r="K107" s="122"/>
      <c r="L107" s="134"/>
      <c r="M107" s="134"/>
      <c r="N107" s="134"/>
      <c r="O107" s="134"/>
      <c r="P107" s="134"/>
      <c r="Q107" s="134"/>
      <c r="R107" s="134"/>
      <c r="S107" s="134"/>
      <c r="T107" s="134"/>
      <c r="U107" s="134"/>
      <c r="V107" s="134"/>
      <c r="W107" s="134"/>
      <c r="X107" s="122"/>
      <c r="Y107" s="122"/>
      <c r="Z107" s="122"/>
      <c r="AA107" s="122"/>
      <c r="AB107" s="122"/>
      <c r="AC107" s="122"/>
    </row>
    <row r="108" spans="1:30" ht="25.5" x14ac:dyDescent="0.2">
      <c r="A108" s="322" t="s">
        <v>25</v>
      </c>
      <c r="B108" s="67">
        <v>132200</v>
      </c>
      <c r="C108" s="122"/>
      <c r="D108" s="122"/>
      <c r="E108" s="122"/>
      <c r="F108" s="122"/>
      <c r="G108" s="122"/>
      <c r="H108" s="122"/>
      <c r="I108" s="122"/>
      <c r="J108" s="122"/>
      <c r="K108" s="122"/>
      <c r="L108" s="134"/>
      <c r="M108" s="134"/>
      <c r="N108" s="134"/>
      <c r="O108" s="134"/>
      <c r="P108" s="134"/>
      <c r="Q108" s="134"/>
      <c r="R108" s="134"/>
      <c r="S108" s="134"/>
      <c r="T108" s="134"/>
      <c r="U108" s="134"/>
      <c r="V108" s="134"/>
      <c r="W108" s="134"/>
      <c r="X108" s="122"/>
      <c r="Y108" s="122"/>
      <c r="Z108" s="122"/>
      <c r="AA108" s="122"/>
      <c r="AB108" s="122"/>
      <c r="AC108" s="122"/>
    </row>
    <row r="109" spans="1:30" x14ac:dyDescent="0.2">
      <c r="A109" s="413" t="s">
        <v>107</v>
      </c>
      <c r="B109" s="413"/>
      <c r="C109" s="122"/>
      <c r="D109" s="122"/>
      <c r="E109" s="122"/>
      <c r="F109" s="122"/>
      <c r="G109" s="122"/>
      <c r="H109" s="122"/>
      <c r="I109" s="122"/>
      <c r="J109" s="122"/>
      <c r="K109" s="122"/>
      <c r="L109" s="134"/>
      <c r="M109" s="134"/>
      <c r="N109" s="134"/>
      <c r="O109" s="134"/>
      <c r="P109" s="134"/>
      <c r="Q109" s="134"/>
      <c r="R109" s="134"/>
      <c r="S109" s="134"/>
      <c r="T109" s="134"/>
      <c r="U109" s="134"/>
      <c r="V109" s="134"/>
      <c r="W109" s="134"/>
      <c r="X109" s="122"/>
      <c r="Y109" s="122"/>
      <c r="Z109" s="122"/>
      <c r="AA109" s="122"/>
      <c r="AB109" s="122"/>
      <c r="AC109" s="122"/>
    </row>
    <row r="110" spans="1:30" x14ac:dyDescent="0.2">
      <c r="A110" s="121"/>
      <c r="B110" s="121"/>
      <c r="C110" s="122"/>
      <c r="D110" s="122"/>
      <c r="E110" s="122"/>
      <c r="F110" s="122"/>
      <c r="G110" s="122"/>
      <c r="H110" s="122"/>
      <c r="I110" s="122"/>
      <c r="J110" s="122"/>
      <c r="K110" s="122"/>
      <c r="L110" s="134"/>
      <c r="M110" s="134"/>
      <c r="N110" s="134"/>
      <c r="O110" s="134"/>
      <c r="P110" s="134"/>
      <c r="Q110" s="134"/>
      <c r="R110" s="134"/>
      <c r="S110" s="134"/>
      <c r="T110" s="134"/>
      <c r="U110" s="134"/>
      <c r="V110" s="134"/>
      <c r="W110" s="134"/>
      <c r="X110" s="122"/>
      <c r="Y110" s="122"/>
      <c r="Z110" s="122"/>
      <c r="AA110" s="122"/>
      <c r="AB110" s="122"/>
      <c r="AC110" s="122"/>
    </row>
    <row r="111" spans="1:30" x14ac:dyDescent="0.2">
      <c r="A111" s="418" t="s">
        <v>32</v>
      </c>
      <c r="B111" s="418"/>
      <c r="C111" s="122"/>
      <c r="D111" s="122"/>
      <c r="E111" s="122"/>
      <c r="F111" s="122"/>
      <c r="G111" s="122"/>
      <c r="H111" s="122"/>
      <c r="I111" s="122"/>
      <c r="J111" s="122"/>
      <c r="K111" s="122"/>
      <c r="L111" s="134"/>
      <c r="M111" s="134"/>
      <c r="N111" s="134"/>
      <c r="O111" s="134"/>
      <c r="P111" s="134"/>
      <c r="Q111" s="134"/>
      <c r="R111" s="134"/>
      <c r="S111" s="134"/>
      <c r="T111" s="134"/>
      <c r="U111" s="134"/>
      <c r="V111" s="134"/>
      <c r="W111" s="134"/>
      <c r="X111" s="122"/>
      <c r="Y111" s="122"/>
      <c r="Z111" s="122"/>
      <c r="AA111" s="122"/>
      <c r="AB111" s="122"/>
      <c r="AC111" s="122"/>
    </row>
    <row r="112" spans="1:30" x14ac:dyDescent="0.2">
      <c r="A112" s="38" t="s">
        <v>33</v>
      </c>
      <c r="B112" s="38" t="s">
        <v>36</v>
      </c>
      <c r="C112" s="122"/>
      <c r="D112" s="122"/>
      <c r="E112" s="122"/>
      <c r="F112" s="122"/>
      <c r="G112" s="122"/>
      <c r="H112" s="122"/>
      <c r="I112" s="122"/>
      <c r="J112" s="122"/>
      <c r="K112" s="122"/>
      <c r="L112" s="134"/>
      <c r="M112" s="134"/>
      <c r="N112" s="134"/>
      <c r="O112" s="134"/>
      <c r="P112" s="134"/>
      <c r="Q112" s="134"/>
      <c r="R112" s="134"/>
      <c r="S112" s="134"/>
      <c r="T112" s="134"/>
      <c r="U112" s="134"/>
      <c r="V112" s="134"/>
      <c r="W112" s="134"/>
      <c r="X112" s="122"/>
      <c r="Y112" s="122"/>
      <c r="Z112" s="122"/>
      <c r="AA112" s="122"/>
      <c r="AB112" s="122"/>
      <c r="AC112" s="122"/>
    </row>
    <row r="113" spans="1:29" x14ac:dyDescent="0.2">
      <c r="A113" s="323" t="s">
        <v>34</v>
      </c>
      <c r="B113" s="212">
        <f>1822/923</f>
        <v>1.9739978331527628</v>
      </c>
      <c r="C113" s="122"/>
      <c r="D113" s="122"/>
      <c r="E113" s="122"/>
      <c r="F113" s="122"/>
      <c r="G113" s="122"/>
      <c r="H113" s="122"/>
      <c r="I113" s="122"/>
      <c r="J113" s="122"/>
      <c r="K113" s="122"/>
      <c r="L113" s="134"/>
      <c r="M113" s="134"/>
      <c r="N113" s="134"/>
      <c r="O113" s="134"/>
      <c r="P113" s="134"/>
      <c r="Q113" s="134"/>
      <c r="R113" s="134"/>
      <c r="S113" s="134"/>
      <c r="T113" s="134"/>
      <c r="U113" s="134"/>
      <c r="V113" s="134"/>
      <c r="W113" s="134"/>
      <c r="X113" s="122"/>
      <c r="Y113" s="122"/>
      <c r="Z113" s="122"/>
      <c r="AA113" s="122"/>
      <c r="AB113" s="122"/>
      <c r="AC113" s="122"/>
    </row>
    <row r="114" spans="1:29" x14ac:dyDescent="0.2">
      <c r="A114" s="324" t="s">
        <v>35</v>
      </c>
      <c r="B114" s="44">
        <v>1</v>
      </c>
      <c r="C114" s="122"/>
      <c r="D114" s="122"/>
      <c r="E114" s="122"/>
      <c r="F114" s="122"/>
      <c r="G114" s="122"/>
      <c r="H114" s="122"/>
      <c r="I114" s="122"/>
      <c r="J114" s="122"/>
      <c r="K114" s="122"/>
      <c r="L114" s="134"/>
      <c r="M114" s="134"/>
      <c r="N114" s="134"/>
      <c r="O114" s="134"/>
      <c r="P114" s="134"/>
      <c r="Q114" s="134"/>
      <c r="R114" s="134"/>
      <c r="S114" s="134"/>
      <c r="T114" s="134"/>
      <c r="U114" s="134"/>
      <c r="V114" s="134"/>
      <c r="W114" s="134"/>
      <c r="X114" s="122"/>
      <c r="Y114" s="122"/>
      <c r="Z114" s="122"/>
      <c r="AA114" s="122"/>
      <c r="AB114" s="122"/>
      <c r="AC114" s="122"/>
    </row>
    <row r="115" spans="1:29" x14ac:dyDescent="0.2">
      <c r="A115" s="413" t="s">
        <v>265</v>
      </c>
      <c r="B115" s="413"/>
      <c r="C115" s="122"/>
      <c r="D115" s="122"/>
      <c r="E115" s="122"/>
      <c r="F115" s="122"/>
      <c r="G115" s="122"/>
      <c r="H115" s="122"/>
      <c r="I115" s="122"/>
      <c r="J115" s="122"/>
      <c r="K115" s="122"/>
      <c r="L115" s="122"/>
      <c r="M115" s="122"/>
      <c r="N115" s="122"/>
      <c r="O115" s="122"/>
      <c r="P115" s="122"/>
      <c r="Q115" s="135"/>
      <c r="R115" s="135"/>
      <c r="S115" s="122"/>
      <c r="T115" s="122"/>
      <c r="U115" s="122"/>
      <c r="V115" s="122"/>
      <c r="W115" s="122"/>
      <c r="X115" s="122"/>
      <c r="Y115" s="122"/>
      <c r="Z115" s="122"/>
      <c r="AA115" s="122"/>
      <c r="AB115" s="122"/>
      <c r="AC115" s="122"/>
    </row>
    <row r="116" spans="1:29" x14ac:dyDescent="0.2">
      <c r="A116" s="213" t="s">
        <v>266</v>
      </c>
      <c r="B116" s="142"/>
      <c r="C116" s="122"/>
      <c r="D116" s="122"/>
      <c r="E116" s="122"/>
      <c r="F116" s="122"/>
      <c r="G116" s="122"/>
      <c r="H116" s="122"/>
      <c r="I116" s="122"/>
      <c r="J116" s="122"/>
      <c r="K116" s="122"/>
      <c r="L116" s="122"/>
      <c r="M116" s="122"/>
      <c r="N116" s="122"/>
      <c r="O116" s="122"/>
      <c r="P116" s="122"/>
      <c r="Q116" s="135"/>
      <c r="R116" s="135"/>
      <c r="S116" s="122"/>
      <c r="T116" s="122"/>
      <c r="U116" s="122"/>
      <c r="V116" s="122"/>
      <c r="W116" s="122"/>
      <c r="X116" s="122"/>
      <c r="Y116" s="122"/>
      <c r="Z116" s="122"/>
      <c r="AA116" s="122"/>
      <c r="AB116" s="122"/>
      <c r="AC116" s="122"/>
    </row>
    <row r="117" spans="1:29" x14ac:dyDescent="0.2">
      <c r="A117" s="418" t="s">
        <v>39</v>
      </c>
      <c r="B117" s="418"/>
      <c r="C117" s="122"/>
      <c r="D117" s="122"/>
      <c r="E117" s="122"/>
      <c r="F117" s="122"/>
      <c r="G117" s="122"/>
      <c r="H117" s="122"/>
      <c r="I117" s="122"/>
      <c r="J117" s="122"/>
      <c r="K117" s="122"/>
      <c r="L117" s="122"/>
      <c r="M117" s="122"/>
      <c r="N117" s="122"/>
      <c r="O117" s="122"/>
      <c r="P117" s="122"/>
      <c r="Q117" s="135"/>
      <c r="R117" s="135"/>
      <c r="S117" s="122"/>
      <c r="T117" s="122"/>
      <c r="U117" s="122"/>
      <c r="V117" s="122"/>
      <c r="W117" s="122"/>
      <c r="X117" s="122"/>
      <c r="Y117" s="122"/>
      <c r="Z117" s="122"/>
      <c r="AA117" s="122"/>
      <c r="AB117" s="122"/>
      <c r="AC117" s="122"/>
    </row>
    <row r="118" spans="1:29" x14ac:dyDescent="0.2">
      <c r="A118" s="325" t="s">
        <v>40</v>
      </c>
      <c r="B118" s="43">
        <v>2.0099999999999998</v>
      </c>
      <c r="C118" s="122"/>
      <c r="D118" s="122"/>
      <c r="E118" s="122"/>
      <c r="F118" s="122"/>
      <c r="G118" s="122"/>
      <c r="H118" s="122"/>
      <c r="I118" s="122"/>
      <c r="J118" s="122"/>
      <c r="K118" s="122"/>
      <c r="L118" s="122"/>
      <c r="M118" s="122"/>
      <c r="N118" s="122"/>
      <c r="O118" s="122"/>
      <c r="P118" s="122"/>
      <c r="Q118" s="135"/>
      <c r="R118" s="135"/>
      <c r="S118" s="122"/>
      <c r="T118" s="122"/>
      <c r="U118" s="122"/>
      <c r="V118" s="122"/>
      <c r="W118" s="122"/>
      <c r="X118" s="122"/>
      <c r="Y118" s="122"/>
      <c r="Z118" s="122"/>
      <c r="AA118" s="122"/>
      <c r="AB118" s="122"/>
      <c r="AC118" s="122"/>
    </row>
    <row r="119" spans="1:29" x14ac:dyDescent="0.2">
      <c r="A119" s="429" t="s">
        <v>273</v>
      </c>
      <c r="B119" s="429"/>
      <c r="C119" s="122"/>
      <c r="D119" s="122"/>
      <c r="E119" s="122"/>
      <c r="F119" s="122"/>
      <c r="G119" s="122"/>
      <c r="H119" s="122"/>
      <c r="I119" s="122"/>
      <c r="J119" s="122"/>
      <c r="K119" s="122"/>
      <c r="L119" s="122"/>
      <c r="M119" s="122"/>
      <c r="N119" s="122"/>
      <c r="O119" s="122"/>
      <c r="P119" s="122"/>
      <c r="Q119" s="135"/>
      <c r="R119" s="135"/>
      <c r="S119" s="122"/>
      <c r="T119" s="122"/>
      <c r="U119" s="122"/>
      <c r="V119" s="122"/>
      <c r="W119" s="122"/>
      <c r="X119" s="122"/>
      <c r="Y119" s="122"/>
      <c r="Z119" s="122"/>
      <c r="AA119" s="122"/>
      <c r="AB119" s="122"/>
      <c r="AC119" s="122"/>
    </row>
    <row r="120" spans="1:29" x14ac:dyDescent="0.2">
      <c r="A120" s="131"/>
      <c r="B120" s="131"/>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row>
    <row r="121" spans="1:29" x14ac:dyDescent="0.2">
      <c r="A121" s="427" t="s">
        <v>41</v>
      </c>
      <c r="B121" s="428"/>
      <c r="C121" s="122"/>
      <c r="D121" s="122"/>
      <c r="E121" s="122"/>
      <c r="F121" s="122"/>
      <c r="G121" s="122"/>
      <c r="H121" s="122"/>
      <c r="I121" s="122"/>
      <c r="J121" s="122"/>
      <c r="K121" s="122"/>
      <c r="L121" s="122"/>
      <c r="M121" s="122"/>
      <c r="N121" s="122"/>
      <c r="O121" s="122"/>
      <c r="P121" s="136"/>
      <c r="Q121" s="122"/>
      <c r="R121" s="122"/>
      <c r="S121" s="122"/>
      <c r="T121" s="122"/>
      <c r="U121" s="122"/>
      <c r="V121" s="122"/>
      <c r="W121" s="122"/>
      <c r="X121" s="122"/>
      <c r="Y121" s="122"/>
      <c r="Z121" s="122"/>
      <c r="AA121" s="122"/>
      <c r="AB121" s="122"/>
      <c r="AC121" s="122"/>
    </row>
    <row r="122" spans="1:29" x14ac:dyDescent="0.2">
      <c r="A122" s="323" t="s">
        <v>267</v>
      </c>
      <c r="B122" s="42">
        <f>(H91/5)/AVERAGE(B130:B134)</f>
        <v>1.0403749214887344E-2</v>
      </c>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row>
    <row r="123" spans="1:29" x14ac:dyDescent="0.2">
      <c r="A123" s="403" t="s">
        <v>119</v>
      </c>
      <c r="B123" s="404"/>
      <c r="C123" s="122"/>
      <c r="D123" s="129"/>
      <c r="E123" s="129"/>
      <c r="F123" s="129"/>
      <c r="G123" s="129"/>
      <c r="H123" s="129"/>
      <c r="I123" s="122"/>
      <c r="J123" s="122"/>
      <c r="K123" s="122"/>
      <c r="L123" s="122"/>
      <c r="M123" s="122"/>
      <c r="N123" s="122"/>
      <c r="O123" s="122"/>
      <c r="P123" s="122"/>
      <c r="Q123" s="122"/>
      <c r="R123" s="122"/>
      <c r="S123" s="122"/>
      <c r="T123" s="122"/>
      <c r="U123" s="122"/>
      <c r="V123" s="122"/>
      <c r="W123" s="122"/>
      <c r="X123" s="122"/>
      <c r="Y123" s="122"/>
      <c r="Z123" s="122"/>
      <c r="AA123" s="122"/>
      <c r="AB123" s="122"/>
      <c r="AC123" s="122"/>
    </row>
    <row r="124" spans="1:29" x14ac:dyDescent="0.2">
      <c r="A124" s="121"/>
      <c r="B124" s="121"/>
      <c r="C124" s="122"/>
      <c r="D124" s="129"/>
      <c r="E124" s="129"/>
      <c r="F124" s="129"/>
      <c r="G124" s="129"/>
      <c r="H124" s="129"/>
      <c r="I124" s="122"/>
      <c r="J124" s="122"/>
      <c r="K124" s="122"/>
      <c r="L124" s="122"/>
      <c r="M124" s="122"/>
      <c r="N124" s="122"/>
      <c r="O124" s="122"/>
      <c r="P124" s="122"/>
      <c r="Q124" s="122"/>
      <c r="R124" s="122"/>
      <c r="S124" s="122"/>
      <c r="T124" s="122"/>
      <c r="U124" s="122"/>
      <c r="V124" s="122"/>
      <c r="W124" s="122"/>
      <c r="X124" s="122"/>
      <c r="Y124" s="122"/>
      <c r="Z124" s="122"/>
      <c r="AA124" s="122"/>
      <c r="AB124" s="122"/>
      <c r="AC124" s="122"/>
    </row>
    <row r="125" spans="1:29" x14ac:dyDescent="0.2">
      <c r="A125" s="427" t="s">
        <v>268</v>
      </c>
      <c r="B125" s="428"/>
      <c r="C125" s="122"/>
      <c r="D125" s="129"/>
      <c r="E125" s="129"/>
      <c r="F125" s="129"/>
      <c r="G125" s="129"/>
      <c r="H125" s="129"/>
      <c r="I125" s="122"/>
      <c r="J125" s="122"/>
      <c r="K125" s="122"/>
      <c r="L125" s="122"/>
      <c r="M125" s="122"/>
      <c r="N125" s="122"/>
      <c r="O125" s="122"/>
      <c r="P125" s="122"/>
      <c r="Q125" s="122"/>
      <c r="R125" s="122"/>
      <c r="S125" s="122"/>
      <c r="T125" s="122"/>
      <c r="U125" s="122"/>
      <c r="V125" s="122"/>
      <c r="W125" s="122"/>
      <c r="X125" s="122"/>
      <c r="Y125" s="122"/>
      <c r="Z125" s="122"/>
      <c r="AA125" s="122"/>
      <c r="AB125" s="122"/>
      <c r="AC125" s="122"/>
    </row>
    <row r="126" spans="1:29" x14ac:dyDescent="0.2">
      <c r="A126" s="39" t="s">
        <v>269</v>
      </c>
      <c r="B126" s="43">
        <v>120.98</v>
      </c>
      <c r="C126" s="122"/>
      <c r="D126" s="129"/>
      <c r="E126" s="129"/>
      <c r="F126" s="129"/>
      <c r="G126" s="129"/>
      <c r="H126" s="129"/>
      <c r="I126" s="122"/>
      <c r="J126" s="122"/>
      <c r="K126" s="122"/>
      <c r="L126" s="122"/>
      <c r="M126" s="122"/>
      <c r="N126" s="122"/>
      <c r="O126" s="122"/>
      <c r="P126" s="122"/>
      <c r="Q126" s="122"/>
      <c r="R126" s="122"/>
      <c r="S126" s="122"/>
      <c r="T126" s="122"/>
      <c r="U126" s="122"/>
      <c r="V126" s="122"/>
      <c r="W126" s="122"/>
      <c r="X126" s="122"/>
      <c r="Y126" s="122"/>
      <c r="Z126" s="122"/>
      <c r="AA126" s="122"/>
      <c r="AB126" s="122"/>
      <c r="AC126" s="122"/>
    </row>
    <row r="127" spans="1:29" x14ac:dyDescent="0.2">
      <c r="A127" s="403" t="s">
        <v>270</v>
      </c>
      <c r="B127" s="404"/>
      <c r="C127" s="122"/>
      <c r="D127" s="129"/>
      <c r="E127" s="129"/>
      <c r="F127" s="129"/>
      <c r="G127" s="129"/>
      <c r="H127" s="129"/>
      <c r="I127" s="122"/>
      <c r="J127" s="122"/>
      <c r="K127" s="122"/>
      <c r="L127" s="122"/>
      <c r="M127" s="122"/>
      <c r="N127" s="122"/>
      <c r="O127" s="122"/>
      <c r="P127" s="122"/>
      <c r="Q127" s="122"/>
      <c r="R127" s="122"/>
      <c r="S127" s="122"/>
      <c r="T127" s="122"/>
      <c r="U127" s="122"/>
      <c r="V127" s="122"/>
      <c r="W127" s="122"/>
      <c r="X127" s="122"/>
      <c r="Y127" s="122"/>
      <c r="Z127" s="122"/>
      <c r="AA127" s="122"/>
      <c r="AB127" s="122"/>
      <c r="AC127" s="122"/>
    </row>
    <row r="128" spans="1:29" x14ac:dyDescent="0.2">
      <c r="A128" s="143"/>
      <c r="B128" s="121"/>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row>
    <row r="129" spans="1:29" x14ac:dyDescent="0.2">
      <c r="A129" s="380" t="s">
        <v>116</v>
      </c>
      <c r="B129" s="396"/>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row>
    <row r="130" spans="1:29" x14ac:dyDescent="0.2">
      <c r="A130" s="326">
        <v>2014</v>
      </c>
      <c r="B130" s="40">
        <f t="shared" ref="B130:B133" si="49">ROUND($B$135*(1-$B$136)^($A$135-A130),0)</f>
        <v>12021</v>
      </c>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row>
    <row r="131" spans="1:29" x14ac:dyDescent="0.2">
      <c r="A131" s="326">
        <v>2015</v>
      </c>
      <c r="B131" s="40">
        <f>ROUND($B$135*(1-$B$136)^($A$135-A131),0)</f>
        <v>12217</v>
      </c>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row>
    <row r="132" spans="1:29" x14ac:dyDescent="0.2">
      <c r="A132" s="326">
        <v>2016</v>
      </c>
      <c r="B132" s="40">
        <f t="shared" si="49"/>
        <v>12415</v>
      </c>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row>
    <row r="133" spans="1:29" x14ac:dyDescent="0.2">
      <c r="A133" s="326">
        <v>2017</v>
      </c>
      <c r="B133" s="40">
        <f t="shared" si="49"/>
        <v>12617</v>
      </c>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row>
    <row r="134" spans="1:29" x14ac:dyDescent="0.2">
      <c r="A134" s="326">
        <v>2018</v>
      </c>
      <c r="B134" s="40">
        <f>ROUND($B$135*(1-$B$136)^($A$135-A134),0)</f>
        <v>12823</v>
      </c>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row>
    <row r="135" spans="1:29" x14ac:dyDescent="0.2">
      <c r="A135" s="326">
        <v>2019</v>
      </c>
      <c r="B135" s="40">
        <f>'Travel Time'!B175</f>
        <v>13031.030303030302</v>
      </c>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row>
    <row r="136" spans="1:29" x14ac:dyDescent="0.2">
      <c r="A136" s="327" t="s">
        <v>230</v>
      </c>
      <c r="B136" s="41">
        <v>1.6E-2</v>
      </c>
      <c r="C136" s="122"/>
      <c r="D136" s="122"/>
      <c r="E136" s="122"/>
      <c r="F136" s="122"/>
      <c r="G136" s="122"/>
      <c r="H136" s="122"/>
      <c r="I136" s="122"/>
      <c r="J136" s="122"/>
      <c r="K136" s="122"/>
      <c r="L136" s="122"/>
      <c r="M136" s="122"/>
      <c r="N136" s="122"/>
      <c r="O136" s="122"/>
      <c r="P136" s="122"/>
      <c r="Q136" s="124"/>
      <c r="R136" s="122"/>
      <c r="S136" s="122"/>
      <c r="T136" s="122"/>
      <c r="U136" s="122"/>
      <c r="V136" s="122"/>
      <c r="W136" s="122"/>
      <c r="X136" s="122"/>
      <c r="Y136" s="122"/>
      <c r="Z136" s="122"/>
      <c r="AA136" s="122"/>
      <c r="AB136" s="122"/>
      <c r="AC136" s="122"/>
    </row>
    <row r="137" spans="1:29" x14ac:dyDescent="0.2">
      <c r="A137" s="327" t="s">
        <v>308</v>
      </c>
      <c r="B137" s="41">
        <v>8.9999999999999993E-3</v>
      </c>
      <c r="C137" s="122"/>
      <c r="D137" s="122"/>
      <c r="E137" s="122"/>
      <c r="F137" s="122"/>
      <c r="G137" s="122"/>
      <c r="H137" s="122"/>
      <c r="I137" s="122"/>
      <c r="J137" s="122"/>
      <c r="K137" s="122"/>
      <c r="L137" s="122"/>
      <c r="M137" s="122"/>
      <c r="N137" s="122"/>
      <c r="O137" s="122"/>
      <c r="P137" s="122"/>
      <c r="Q137" s="124"/>
      <c r="R137" s="122"/>
      <c r="S137" s="122"/>
      <c r="T137" s="122"/>
      <c r="U137" s="122"/>
      <c r="V137" s="122"/>
      <c r="W137" s="122"/>
      <c r="X137" s="122"/>
      <c r="Y137" s="122"/>
      <c r="Z137" s="122"/>
      <c r="AA137" s="122"/>
      <c r="AB137" s="122"/>
      <c r="AC137" s="122"/>
    </row>
    <row r="138" spans="1:29" x14ac:dyDescent="0.2">
      <c r="A138" s="425" t="s">
        <v>119</v>
      </c>
      <c r="B138" s="426"/>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row>
    <row r="139" spans="1:29" x14ac:dyDescent="0.2">
      <c r="A139" s="120"/>
      <c r="B139" s="121"/>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row>
    <row r="140" spans="1:29" x14ac:dyDescent="0.2">
      <c r="A140" s="122"/>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row>
    <row r="141" spans="1:29" x14ac:dyDescent="0.2">
      <c r="A141" s="122"/>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row>
    <row r="142" spans="1:29" x14ac:dyDescent="0.2">
      <c r="A142" s="122"/>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row>
    <row r="143" spans="1:29" x14ac:dyDescent="0.2">
      <c r="A143" s="122"/>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row>
    <row r="144" spans="1:29" x14ac:dyDescent="0.2">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row>
    <row r="145" spans="1:30" x14ac:dyDescent="0.2">
      <c r="A145" s="122"/>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row>
    <row r="146" spans="1:30" x14ac:dyDescent="0.2">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9"/>
    </row>
    <row r="147" spans="1:30" x14ac:dyDescent="0.2">
      <c r="A147" s="122"/>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3"/>
      <c r="Z147" s="122"/>
      <c r="AA147" s="122"/>
      <c r="AB147" s="122"/>
      <c r="AC147" s="122"/>
      <c r="AD147" s="9"/>
    </row>
    <row r="148" spans="1:30" x14ac:dyDescent="0.2">
      <c r="A148" s="122"/>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row>
    <row r="149" spans="1:30" x14ac:dyDescent="0.2">
      <c r="A149" s="122"/>
      <c r="B149" s="122"/>
      <c r="C149" s="122"/>
      <c r="D149" s="122"/>
      <c r="E149" s="122"/>
      <c r="F149" s="122"/>
      <c r="G149" s="122"/>
      <c r="H149" s="122"/>
      <c r="I149" s="122"/>
      <c r="J149" s="122"/>
      <c r="K149" s="122"/>
      <c r="L149" s="122"/>
      <c r="M149" s="122"/>
      <c r="N149" s="122"/>
      <c r="O149" s="122"/>
      <c r="P149" s="122"/>
      <c r="Q149" s="123"/>
      <c r="R149" s="122"/>
      <c r="S149" s="122"/>
      <c r="T149" s="122"/>
      <c r="U149" s="122"/>
      <c r="V149" s="122"/>
      <c r="W149" s="122"/>
      <c r="X149" s="122"/>
      <c r="Y149" s="122"/>
      <c r="Z149" s="122"/>
      <c r="AA149" s="122"/>
      <c r="AB149" s="122"/>
      <c r="AC149" s="122"/>
    </row>
    <row r="150" spans="1:30" x14ac:dyDescent="0.2">
      <c r="A150" s="122"/>
      <c r="B150" s="122"/>
      <c r="C150" s="122"/>
      <c r="D150" s="122"/>
      <c r="E150" s="122"/>
      <c r="F150" s="122"/>
      <c r="G150" s="122"/>
      <c r="H150" s="122"/>
      <c r="I150" s="122"/>
      <c r="J150" s="122"/>
      <c r="K150" s="122"/>
      <c r="L150" s="122"/>
      <c r="M150" s="122"/>
      <c r="N150" s="123"/>
      <c r="O150" s="122"/>
      <c r="P150" s="122"/>
      <c r="Q150" s="123"/>
      <c r="R150" s="122"/>
      <c r="S150" s="122"/>
      <c r="T150" s="122"/>
      <c r="U150" s="122"/>
      <c r="V150" s="122"/>
      <c r="W150" s="122"/>
      <c r="X150" s="122"/>
      <c r="Y150" s="122"/>
      <c r="Z150" s="122"/>
      <c r="AA150" s="122"/>
      <c r="AB150" s="122"/>
      <c r="AC150" s="122"/>
    </row>
    <row r="151" spans="1:30" x14ac:dyDescent="0.2">
      <c r="A151" s="122"/>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row>
    <row r="152" spans="1:30" x14ac:dyDescent="0.2">
      <c r="A152" s="122"/>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row>
    <row r="153" spans="1:30" x14ac:dyDescent="0.2">
      <c r="A153" s="122"/>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row>
    <row r="154" spans="1:30" x14ac:dyDescent="0.2">
      <c r="A154" s="122"/>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row>
    <row r="155" spans="1:30" x14ac:dyDescent="0.2">
      <c r="A155" s="122"/>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row>
    <row r="156" spans="1:30" x14ac:dyDescent="0.2">
      <c r="A156" s="122"/>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row>
    <row r="157" spans="1:30" x14ac:dyDescent="0.2">
      <c r="A157" s="122"/>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row>
    <row r="158" spans="1:30" x14ac:dyDescent="0.2">
      <c r="A158" s="122"/>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row>
    <row r="159" spans="1:30" x14ac:dyDescent="0.2">
      <c r="A159" s="122"/>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row>
    <row r="160" spans="1:30" x14ac:dyDescent="0.2">
      <c r="A160" s="122"/>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row>
    <row r="161" spans="1:29" x14ac:dyDescent="0.2">
      <c r="A161" s="122"/>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row>
    <row r="162" spans="1:29" x14ac:dyDescent="0.2">
      <c r="A162" s="122"/>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row>
    <row r="163" spans="1:29" x14ac:dyDescent="0.2">
      <c r="A163" s="122"/>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row>
    <row r="164" spans="1:29" x14ac:dyDescent="0.2">
      <c r="A164" s="122"/>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row>
    <row r="165" spans="1:29" x14ac:dyDescent="0.2">
      <c r="A165" s="12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row>
    <row r="166" spans="1:29" x14ac:dyDescent="0.2">
      <c r="A166" s="122"/>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row>
    <row r="167" spans="1:29" x14ac:dyDescent="0.2">
      <c r="A167" s="122"/>
      <c r="B167" s="122"/>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row>
  </sheetData>
  <mergeCells count="59">
    <mergeCell ref="A138:B138"/>
    <mergeCell ref="A129:B129"/>
    <mergeCell ref="B7:C7"/>
    <mergeCell ref="A121:B121"/>
    <mergeCell ref="A109:B109"/>
    <mergeCell ref="A117:B117"/>
    <mergeCell ref="A111:B111"/>
    <mergeCell ref="A115:B115"/>
    <mergeCell ref="A119:B119"/>
    <mergeCell ref="A123:B123"/>
    <mergeCell ref="A43:A45"/>
    <mergeCell ref="B43:B45"/>
    <mergeCell ref="A79:I79"/>
    <mergeCell ref="A91:A92"/>
    <mergeCell ref="A93:I93"/>
    <mergeCell ref="A125:B125"/>
    <mergeCell ref="A78:I78"/>
    <mergeCell ref="Q43:Z43"/>
    <mergeCell ref="H44:K44"/>
    <mergeCell ref="L44:L45"/>
    <mergeCell ref="R44:R45"/>
    <mergeCell ref="Q44:Q45"/>
    <mergeCell ref="P43:P45"/>
    <mergeCell ref="C44:C45"/>
    <mergeCell ref="D44:D45"/>
    <mergeCell ref="E44:E45"/>
    <mergeCell ref="F44:F45"/>
    <mergeCell ref="G44:G45"/>
    <mergeCell ref="C43:L43"/>
    <mergeCell ref="Z44:Z45"/>
    <mergeCell ref="V44:Y44"/>
    <mergeCell ref="N43:N45"/>
    <mergeCell ref="A1:D1"/>
    <mergeCell ref="C2:D2"/>
    <mergeCell ref="C3:D3"/>
    <mergeCell ref="A2:B2"/>
    <mergeCell ref="A3:B3"/>
    <mergeCell ref="A6:E6"/>
    <mergeCell ref="B8:B9"/>
    <mergeCell ref="C8:C9"/>
    <mergeCell ref="D7:D9"/>
    <mergeCell ref="E7:E9"/>
    <mergeCell ref="A7:A9"/>
    <mergeCell ref="A127:B127"/>
    <mergeCell ref="O43:O45"/>
    <mergeCell ref="N76:Y76"/>
    <mergeCell ref="S44:S45"/>
    <mergeCell ref="A76:K76"/>
    <mergeCell ref="T44:T45"/>
    <mergeCell ref="U44:U45"/>
    <mergeCell ref="A95:B95"/>
    <mergeCell ref="A98:B98"/>
    <mergeCell ref="H80:I80"/>
    <mergeCell ref="A80:B80"/>
    <mergeCell ref="A81:A82"/>
    <mergeCell ref="A83:A84"/>
    <mergeCell ref="A85:A86"/>
    <mergeCell ref="A87:A88"/>
    <mergeCell ref="A89:A90"/>
  </mergeCells>
  <hyperlinks>
    <hyperlink ref="A116" r:id="rId1" xr:uid="{DDBD3A0D-326E-4B0F-A854-66BC05DA256C}"/>
  </hyperlinks>
  <pageMargins left="0.25" right="0.25" top="0.75" bottom="0.75" header="0.3" footer="0.3"/>
  <pageSetup scale="4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AF9C1-7ACB-4B37-9664-FA0AE41C20C2}">
  <sheetPr>
    <tabColor theme="6"/>
    <pageSetUpPr fitToPage="1"/>
  </sheetPr>
  <dimension ref="A1:BZ505"/>
  <sheetViews>
    <sheetView zoomScale="70" zoomScaleNormal="70" workbookViewId="0">
      <selection activeCell="C4" sqref="C4:F4"/>
    </sheetView>
  </sheetViews>
  <sheetFormatPr defaultColWidth="8.85546875" defaultRowHeight="12.75" x14ac:dyDescent="0.2"/>
  <cols>
    <col min="1" max="1" width="34.85546875" style="80" customWidth="1"/>
    <col min="2" max="2" width="14" style="80" customWidth="1"/>
    <col min="3" max="3" width="11.5703125" style="80" bestFit="1" customWidth="1"/>
    <col min="4" max="4" width="14" style="80" customWidth="1"/>
    <col min="5" max="5" width="10.5703125" style="80" customWidth="1"/>
    <col min="6" max="6" width="13.7109375" style="80" customWidth="1"/>
    <col min="7" max="7" width="11.5703125" style="80" bestFit="1" customWidth="1"/>
    <col min="8" max="8" width="12.5703125" style="80" customWidth="1"/>
    <col min="9" max="9" width="9.7109375" style="80" bestFit="1" customWidth="1"/>
    <col min="10" max="10" width="13" style="80" customWidth="1"/>
    <col min="11" max="11" width="14.85546875" style="80" bestFit="1" customWidth="1"/>
    <col min="12" max="12" width="19.28515625" style="80" customWidth="1"/>
    <col min="13" max="13" width="18.5703125" style="80" customWidth="1"/>
    <col min="14" max="14" width="14.140625" style="80" customWidth="1"/>
    <col min="15" max="15" width="11" style="80" bestFit="1" customWidth="1"/>
    <col min="16" max="16" width="14.42578125" style="80" customWidth="1"/>
    <col min="17" max="17" width="11" style="80" bestFit="1" customWidth="1"/>
    <col min="18" max="18" width="20.7109375" style="80" bestFit="1" customWidth="1"/>
    <col min="19" max="19" width="19.28515625" style="80" customWidth="1"/>
    <col min="20" max="20" width="11.140625" style="80" customWidth="1"/>
    <col min="21" max="21" width="19" style="80" bestFit="1" customWidth="1"/>
    <col min="22" max="23" width="11.7109375" style="80" customWidth="1"/>
    <col min="24" max="25" width="18.140625" style="80" bestFit="1" customWidth="1"/>
    <col min="26" max="26" width="12.42578125" style="80" customWidth="1"/>
    <col min="27" max="27" width="10.7109375" style="80" customWidth="1"/>
    <col min="28" max="28" width="16.140625" style="80" customWidth="1"/>
    <col min="29" max="31" width="15.7109375" style="80" customWidth="1"/>
    <col min="32" max="16384" width="8.85546875" style="80"/>
  </cols>
  <sheetData>
    <row r="1" spans="1:78" ht="18" customHeight="1" x14ac:dyDescent="0.2">
      <c r="A1" s="456" t="s">
        <v>98</v>
      </c>
      <c r="B1" s="457"/>
      <c r="C1" s="457"/>
      <c r="D1" s="457"/>
      <c r="E1" s="457"/>
      <c r="F1" s="458"/>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row>
    <row r="2" spans="1:78" ht="18" customHeight="1" x14ac:dyDescent="0.2">
      <c r="A2" s="417" t="s">
        <v>95</v>
      </c>
      <c r="B2" s="417"/>
      <c r="C2" s="417" t="s">
        <v>64</v>
      </c>
      <c r="D2" s="417"/>
      <c r="E2" s="456" t="s">
        <v>100</v>
      </c>
      <c r="F2" s="458"/>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row>
    <row r="3" spans="1:78" ht="18" customHeight="1" x14ac:dyDescent="0.3">
      <c r="A3" s="422" t="s">
        <v>104</v>
      </c>
      <c r="B3" s="422"/>
      <c r="C3" s="421">
        <f>R41</f>
        <v>2101397400.0210531</v>
      </c>
      <c r="D3" s="421"/>
      <c r="E3" s="459">
        <f>L77</f>
        <v>-61819891.142699659</v>
      </c>
      <c r="F3" s="460"/>
      <c r="G3" s="170"/>
      <c r="H3" s="304"/>
      <c r="I3" s="304"/>
      <c r="J3" s="304"/>
      <c r="K3" s="304"/>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row>
    <row r="4" spans="1:78" ht="16.5" x14ac:dyDescent="0.3">
      <c r="A4" s="422" t="s">
        <v>105</v>
      </c>
      <c r="B4" s="422"/>
      <c r="C4" s="421">
        <f>S41</f>
        <v>259257785.52711612</v>
      </c>
      <c r="D4" s="421"/>
      <c r="E4" s="459">
        <f>M77</f>
        <v>-13695290.119568072</v>
      </c>
      <c r="F4" s="460"/>
      <c r="G4" s="170"/>
      <c r="H4" s="304"/>
      <c r="I4" s="304"/>
      <c r="J4" s="304"/>
      <c r="K4" s="304"/>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row>
    <row r="5" spans="1:78" x14ac:dyDescent="0.2">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row>
    <row r="6" spans="1:78" ht="18" x14ac:dyDescent="0.25">
      <c r="A6" s="251" t="s">
        <v>64</v>
      </c>
      <c r="B6" s="170"/>
      <c r="C6" s="176"/>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row>
    <row r="7" spans="1:78" x14ac:dyDescent="0.2">
      <c r="A7" s="170"/>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row>
    <row r="8" spans="1:78" ht="13.15" customHeight="1" x14ac:dyDescent="0.2">
      <c r="A8" s="461" t="s">
        <v>1</v>
      </c>
      <c r="B8" s="397" t="s">
        <v>89</v>
      </c>
      <c r="C8" s="398"/>
      <c r="D8" s="398"/>
      <c r="E8" s="398"/>
      <c r="F8" s="398"/>
      <c r="G8" s="398"/>
      <c r="H8" s="398"/>
      <c r="I8" s="398"/>
      <c r="J8" s="398"/>
      <c r="K8" s="399"/>
      <c r="L8" s="397" t="s">
        <v>42</v>
      </c>
      <c r="M8" s="398"/>
      <c r="N8" s="398"/>
      <c r="O8" s="399"/>
      <c r="P8" s="464" t="s">
        <v>90</v>
      </c>
      <c r="Q8" s="465"/>
      <c r="R8" s="468" t="s">
        <v>91</v>
      </c>
      <c r="S8" s="468" t="s">
        <v>101</v>
      </c>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row>
    <row r="9" spans="1:78" ht="26.45" customHeight="1" x14ac:dyDescent="0.2">
      <c r="A9" s="462"/>
      <c r="B9" s="471" t="s">
        <v>282</v>
      </c>
      <c r="C9" s="472"/>
      <c r="D9" s="471" t="s">
        <v>92</v>
      </c>
      <c r="E9" s="472"/>
      <c r="F9" s="473" t="s">
        <v>202</v>
      </c>
      <c r="G9" s="473"/>
      <c r="H9" s="473" t="s">
        <v>234</v>
      </c>
      <c r="I9" s="473"/>
      <c r="J9" s="464" t="s">
        <v>203</v>
      </c>
      <c r="K9" s="465"/>
      <c r="L9" s="471" t="s">
        <v>282</v>
      </c>
      <c r="M9" s="472"/>
      <c r="N9" s="471" t="s">
        <v>92</v>
      </c>
      <c r="O9" s="472"/>
      <c r="P9" s="466"/>
      <c r="Q9" s="467"/>
      <c r="R9" s="469"/>
      <c r="S9" s="469"/>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row>
    <row r="10" spans="1:78" ht="40.5" customHeight="1" thickBot="1" x14ac:dyDescent="0.25">
      <c r="A10" s="463"/>
      <c r="B10" s="81" t="s">
        <v>34</v>
      </c>
      <c r="C10" s="81" t="s">
        <v>35</v>
      </c>
      <c r="D10" s="81" t="s">
        <v>34</v>
      </c>
      <c r="E10" s="81" t="s">
        <v>35</v>
      </c>
      <c r="F10" s="81" t="s">
        <v>34</v>
      </c>
      <c r="G10" s="81" t="s">
        <v>35</v>
      </c>
      <c r="H10" s="81" t="s">
        <v>34</v>
      </c>
      <c r="I10" s="81" t="s">
        <v>35</v>
      </c>
      <c r="J10" s="81" t="s">
        <v>34</v>
      </c>
      <c r="K10" s="81" t="s">
        <v>35</v>
      </c>
      <c r="L10" s="81" t="s">
        <v>34</v>
      </c>
      <c r="M10" s="252" t="s">
        <v>35</v>
      </c>
      <c r="N10" s="81" t="s">
        <v>34</v>
      </c>
      <c r="O10" s="81" t="s">
        <v>35</v>
      </c>
      <c r="P10" s="244" t="s">
        <v>34</v>
      </c>
      <c r="Q10" s="244" t="s">
        <v>35</v>
      </c>
      <c r="R10" s="470"/>
      <c r="S10" s="4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row>
    <row r="11" spans="1:78" ht="13.5" thickTop="1" x14ac:dyDescent="0.2">
      <c r="A11" s="84">
        <v>2027</v>
      </c>
      <c r="B11" s="253">
        <f t="shared" ref="B11:B40" si="0">D183</f>
        <v>12280</v>
      </c>
      <c r="C11" s="83">
        <f t="shared" ref="C11:C40" si="1">C183</f>
        <v>2515</v>
      </c>
      <c r="D11" s="253">
        <f t="shared" ref="D11:D40" si="2">L183</f>
        <v>2865.2983333333332</v>
      </c>
      <c r="E11" s="83">
        <f t="shared" ref="E11:E40" si="3">K183</f>
        <v>586.86833333333334</v>
      </c>
      <c r="F11" s="253">
        <f t="shared" ref="F11:F40" si="4">Z92+AB92</f>
        <v>583919.26723613043</v>
      </c>
      <c r="G11" s="83">
        <f t="shared" ref="G11:G40" si="5">AA92+AC92</f>
        <v>54570.269451254222</v>
      </c>
      <c r="H11" s="253">
        <f t="shared" ref="H11:H40" si="6">P139</f>
        <v>1145.1444845096603</v>
      </c>
      <c r="I11" s="83">
        <f t="shared" ref="I11:I40" si="7">Q139</f>
        <v>214.38266054579663</v>
      </c>
      <c r="J11" s="253">
        <f t="shared" ref="J11:J40" si="8">SUM(D11,F11,H11)</f>
        <v>587929.71005397348</v>
      </c>
      <c r="K11" s="83">
        <f t="shared" ref="K11:K40" si="9">SUM(E11,G11,I11)</f>
        <v>55371.520445133348</v>
      </c>
      <c r="L11" s="253">
        <f t="shared" ref="L11:L40" si="10">H183</f>
        <v>14118</v>
      </c>
      <c r="M11" s="83">
        <f t="shared" ref="M11:M40" si="11">G183</f>
        <v>3012</v>
      </c>
      <c r="N11" s="253">
        <f t="shared" ref="N11:N40" si="12">N183</f>
        <v>2539.8423376532401</v>
      </c>
      <c r="O11" s="83">
        <f t="shared" ref="O11:O40" si="13">M183</f>
        <v>541.86181619291392</v>
      </c>
      <c r="P11" s="253">
        <f t="shared" ref="P11:P40" si="14">J11-N11</f>
        <v>585389.86771632021</v>
      </c>
      <c r="Q11" s="85">
        <f t="shared" ref="Q11:Q40" si="15">K11-O11</f>
        <v>54829.658628940437</v>
      </c>
      <c r="R11" s="353">
        <f t="shared" ref="R11:R40" si="16">(P11*$A$296)+(Q11*$A$295)</f>
        <v>11334946.733644661</v>
      </c>
      <c r="S11" s="354">
        <f>R11*NPV!C12</f>
        <v>6165459.9988233047</v>
      </c>
      <c r="T11" s="175"/>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c r="BW11" s="170"/>
      <c r="BX11" s="170"/>
      <c r="BY11" s="170"/>
      <c r="BZ11" s="170"/>
    </row>
    <row r="12" spans="1:78" x14ac:dyDescent="0.2">
      <c r="A12" s="84">
        <f t="shared" ref="A12:A32" si="17">A11+1</f>
        <v>2028</v>
      </c>
      <c r="B12" s="253">
        <f t="shared" si="0"/>
        <v>12477</v>
      </c>
      <c r="C12" s="83">
        <f t="shared" si="1"/>
        <v>2555</v>
      </c>
      <c r="D12" s="253">
        <f t="shared" si="2"/>
        <v>2911.1973333333335</v>
      </c>
      <c r="E12" s="83">
        <f t="shared" si="3"/>
        <v>596.26933333333341</v>
      </c>
      <c r="F12" s="253">
        <f t="shared" si="4"/>
        <v>613480.33467520343</v>
      </c>
      <c r="G12" s="83">
        <f t="shared" si="5"/>
        <v>55777.044164747029</v>
      </c>
      <c r="H12" s="253">
        <f t="shared" si="6"/>
        <v>1166.4403322542983</v>
      </c>
      <c r="I12" s="83">
        <f t="shared" si="7"/>
        <v>218.02088122112781</v>
      </c>
      <c r="J12" s="253">
        <f t="shared" si="8"/>
        <v>617557.97234079102</v>
      </c>
      <c r="K12" s="83">
        <f t="shared" si="9"/>
        <v>56591.334379301486</v>
      </c>
      <c r="L12" s="253">
        <f t="shared" si="10"/>
        <v>14344</v>
      </c>
      <c r="M12" s="83">
        <f t="shared" si="11"/>
        <v>3060</v>
      </c>
      <c r="N12" s="253">
        <f t="shared" si="12"/>
        <v>2580.5054563583967</v>
      </c>
      <c r="O12" s="83">
        <f t="shared" si="13"/>
        <v>550.49823594929546</v>
      </c>
      <c r="P12" s="253">
        <f t="shared" si="14"/>
        <v>614977.46688443259</v>
      </c>
      <c r="Q12" s="85">
        <f t="shared" si="15"/>
        <v>56040.836143352193</v>
      </c>
      <c r="R12" s="353">
        <f t="shared" si="16"/>
        <v>11861830.616510473</v>
      </c>
      <c r="S12" s="354">
        <f>R12*NPV!C13</f>
        <v>6029953.197325022</v>
      </c>
      <c r="T12" s="175"/>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row>
    <row r="13" spans="1:78" x14ac:dyDescent="0.2">
      <c r="A13" s="84">
        <f t="shared" si="17"/>
        <v>2029</v>
      </c>
      <c r="B13" s="253">
        <f t="shared" si="0"/>
        <v>12677</v>
      </c>
      <c r="C13" s="83">
        <f t="shared" si="1"/>
        <v>2596</v>
      </c>
      <c r="D13" s="253">
        <f t="shared" si="2"/>
        <v>2957.8710000000001</v>
      </c>
      <c r="E13" s="83">
        <f t="shared" si="3"/>
        <v>605.82900000000006</v>
      </c>
      <c r="F13" s="253">
        <f t="shared" si="4"/>
        <v>645707.93117077148</v>
      </c>
      <c r="G13" s="83">
        <f t="shared" si="5"/>
        <v>57018.12803990017</v>
      </c>
      <c r="H13" s="253">
        <f t="shared" si="6"/>
        <v>1188.1886841548094</v>
      </c>
      <c r="I13" s="83">
        <f t="shared" si="7"/>
        <v>221.7244399849647</v>
      </c>
      <c r="J13" s="253">
        <f t="shared" si="8"/>
        <v>649853.99085492629</v>
      </c>
      <c r="K13" s="83">
        <f t="shared" si="9"/>
        <v>57845.681479885134</v>
      </c>
      <c r="L13" s="253">
        <f t="shared" si="10"/>
        <v>14574</v>
      </c>
      <c r="M13" s="83">
        <f t="shared" si="11"/>
        <v>3109</v>
      </c>
      <c r="N13" s="253">
        <f t="shared" si="12"/>
        <v>2621.8874458997998</v>
      </c>
      <c r="O13" s="83">
        <f t="shared" si="13"/>
        <v>559.31440025404675</v>
      </c>
      <c r="P13" s="253">
        <f t="shared" si="14"/>
        <v>647232.10340902652</v>
      </c>
      <c r="Q13" s="85">
        <f t="shared" si="15"/>
        <v>57286.367079631083</v>
      </c>
      <c r="R13" s="353">
        <f t="shared" si="16"/>
        <v>12434000.745438958</v>
      </c>
      <c r="S13" s="354">
        <f>R13*NPV!C14</f>
        <v>5907304.184435932</v>
      </c>
      <c r="T13" s="175"/>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row>
    <row r="14" spans="1:78" x14ac:dyDescent="0.2">
      <c r="A14" s="84">
        <f t="shared" si="17"/>
        <v>2030</v>
      </c>
      <c r="B14" s="253">
        <f t="shared" si="0"/>
        <v>12879</v>
      </c>
      <c r="C14" s="83">
        <f t="shared" si="1"/>
        <v>2638</v>
      </c>
      <c r="D14" s="253">
        <f t="shared" si="2"/>
        <v>3005.1256666666668</v>
      </c>
      <c r="E14" s="83">
        <f t="shared" si="3"/>
        <v>615.50766666666664</v>
      </c>
      <c r="F14" s="253">
        <f t="shared" si="4"/>
        <v>680984.54663069709</v>
      </c>
      <c r="G14" s="83">
        <f t="shared" si="5"/>
        <v>58294.844514315031</v>
      </c>
      <c r="H14" s="253">
        <f t="shared" si="6"/>
        <v>2723.4029005349526</v>
      </c>
      <c r="I14" s="83">
        <f t="shared" si="7"/>
        <v>507.36292557101353</v>
      </c>
      <c r="J14" s="253">
        <f t="shared" si="8"/>
        <v>686713.07519789867</v>
      </c>
      <c r="K14" s="83">
        <f t="shared" si="9"/>
        <v>59417.715106552707</v>
      </c>
      <c r="L14" s="253">
        <f t="shared" si="10"/>
        <v>14807</v>
      </c>
      <c r="M14" s="83">
        <f t="shared" si="11"/>
        <v>3159</v>
      </c>
      <c r="N14" s="253">
        <f t="shared" si="12"/>
        <v>2663.7781038999592</v>
      </c>
      <c r="O14" s="83">
        <f t="shared" si="13"/>
        <v>568.30384481798956</v>
      </c>
      <c r="P14" s="253">
        <f t="shared" si="14"/>
        <v>684049.29709399876</v>
      </c>
      <c r="Q14" s="85">
        <f t="shared" si="15"/>
        <v>58849.41126173472</v>
      </c>
      <c r="R14" s="353">
        <f t="shared" si="16"/>
        <v>13091275.963981554</v>
      </c>
      <c r="S14" s="354">
        <f>R14*NPV!C15</f>
        <v>5812683.0897285948</v>
      </c>
      <c r="T14" s="175"/>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row>
    <row r="15" spans="1:78" x14ac:dyDescent="0.2">
      <c r="A15" s="84">
        <f t="shared" si="17"/>
        <v>2031</v>
      </c>
      <c r="B15" s="253">
        <f t="shared" si="0"/>
        <v>13085</v>
      </c>
      <c r="C15" s="83">
        <f t="shared" si="1"/>
        <v>2680</v>
      </c>
      <c r="D15" s="253">
        <f t="shared" si="2"/>
        <v>3053.1549999999997</v>
      </c>
      <c r="E15" s="83">
        <f t="shared" si="3"/>
        <v>625.34500000000003</v>
      </c>
      <c r="F15" s="253">
        <f t="shared" si="4"/>
        <v>719771.2882562778</v>
      </c>
      <c r="G15" s="83">
        <f t="shared" si="5"/>
        <v>59608.585157415757</v>
      </c>
      <c r="H15" s="253">
        <f t="shared" si="6"/>
        <v>2774.4531380474345</v>
      </c>
      <c r="I15" s="83">
        <f t="shared" si="7"/>
        <v>515.99877472791195</v>
      </c>
      <c r="J15" s="253">
        <f t="shared" si="8"/>
        <v>725598.8963943253</v>
      </c>
      <c r="K15" s="83">
        <f t="shared" si="9"/>
        <v>60749.928932143666</v>
      </c>
      <c r="L15" s="253">
        <f t="shared" si="10"/>
        <v>15044</v>
      </c>
      <c r="M15" s="83">
        <f t="shared" si="11"/>
        <v>3209</v>
      </c>
      <c r="N15" s="253">
        <f t="shared" si="12"/>
        <v>2706.4334511811899</v>
      </c>
      <c r="O15" s="83">
        <f t="shared" si="13"/>
        <v>577.30290779316931</v>
      </c>
      <c r="P15" s="253">
        <f t="shared" si="14"/>
        <v>722892.46294314414</v>
      </c>
      <c r="Q15" s="85">
        <f t="shared" si="15"/>
        <v>60172.626024350495</v>
      </c>
      <c r="R15" s="353">
        <f t="shared" si="16"/>
        <v>13775107.352574535</v>
      </c>
      <c r="S15" s="354">
        <f>R15*NPV!C16</f>
        <v>5716179.8171664262</v>
      </c>
      <c r="T15" s="175"/>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row>
    <row r="16" spans="1:78" x14ac:dyDescent="0.2">
      <c r="A16" s="84">
        <f t="shared" si="17"/>
        <v>2032</v>
      </c>
      <c r="B16" s="253">
        <f t="shared" si="0"/>
        <v>13295</v>
      </c>
      <c r="C16" s="83">
        <f t="shared" si="1"/>
        <v>2723</v>
      </c>
      <c r="D16" s="253">
        <f t="shared" si="2"/>
        <v>3102.1526666666668</v>
      </c>
      <c r="E16" s="83">
        <f t="shared" si="3"/>
        <v>635.38066666666668</v>
      </c>
      <c r="F16" s="253">
        <f t="shared" si="4"/>
        <v>762629.60419450072</v>
      </c>
      <c r="G16" s="83">
        <f t="shared" si="5"/>
        <v>60960.814130160266</v>
      </c>
      <c r="H16" s="253">
        <f t="shared" si="6"/>
        <v>2826.6034668146308</v>
      </c>
      <c r="I16" s="83">
        <f t="shared" si="7"/>
        <v>524.79059197060826</v>
      </c>
      <c r="J16" s="253">
        <f t="shared" si="8"/>
        <v>768558.36032798199</v>
      </c>
      <c r="K16" s="83">
        <f t="shared" si="9"/>
        <v>62120.985388797541</v>
      </c>
      <c r="L16" s="253">
        <f t="shared" si="10"/>
        <v>15284</v>
      </c>
      <c r="M16" s="83">
        <f t="shared" si="11"/>
        <v>3261</v>
      </c>
      <c r="N16" s="253">
        <f t="shared" si="12"/>
        <v>2749.627767832922</v>
      </c>
      <c r="O16" s="83">
        <f t="shared" si="13"/>
        <v>586.66161678246272</v>
      </c>
      <c r="P16" s="253">
        <f t="shared" si="14"/>
        <v>765808.73256014904</v>
      </c>
      <c r="Q16" s="85">
        <f t="shared" si="15"/>
        <v>61534.323772015079</v>
      </c>
      <c r="R16" s="353">
        <f t="shared" si="16"/>
        <v>14527687.511772919</v>
      </c>
      <c r="S16" s="354">
        <f>R16*NPV!C17</f>
        <v>5634087.6891776193</v>
      </c>
      <c r="T16" s="175"/>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row>
    <row r="17" spans="1:78" x14ac:dyDescent="0.2">
      <c r="A17" s="84">
        <f t="shared" si="17"/>
        <v>2033</v>
      </c>
      <c r="B17" s="253">
        <f t="shared" si="0"/>
        <v>13507</v>
      </c>
      <c r="C17" s="83">
        <f t="shared" si="1"/>
        <v>2767</v>
      </c>
      <c r="D17" s="253">
        <f t="shared" si="2"/>
        <v>3151.7313333333336</v>
      </c>
      <c r="E17" s="83">
        <f t="shared" si="3"/>
        <v>645.53533333333337</v>
      </c>
      <c r="F17" s="253">
        <f t="shared" si="4"/>
        <v>810250.75850675954</v>
      </c>
      <c r="G17" s="83">
        <f t="shared" si="5"/>
        <v>62353.073000874523</v>
      </c>
      <c r="H17" s="253">
        <f t="shared" si="6"/>
        <v>2879.8830477582883</v>
      </c>
      <c r="I17" s="83">
        <f t="shared" si="7"/>
        <v>533.74150315398094</v>
      </c>
      <c r="J17" s="253">
        <f t="shared" si="8"/>
        <v>816282.37288785109</v>
      </c>
      <c r="K17" s="83">
        <f t="shared" si="9"/>
        <v>63532.349837361835</v>
      </c>
      <c r="L17" s="253">
        <f t="shared" si="10"/>
        <v>15529</v>
      </c>
      <c r="M17" s="83">
        <f t="shared" si="11"/>
        <v>3313</v>
      </c>
      <c r="N17" s="253">
        <f t="shared" si="12"/>
        <v>2793.6447375367088</v>
      </c>
      <c r="O17" s="83">
        <f t="shared" si="13"/>
        <v>596.0039291299579</v>
      </c>
      <c r="P17" s="253">
        <f t="shared" si="14"/>
        <v>813488.72815031442</v>
      </c>
      <c r="Q17" s="85">
        <f t="shared" si="15"/>
        <v>62936.34590823188</v>
      </c>
      <c r="R17" s="353">
        <f t="shared" si="16"/>
        <v>15360535.091588061</v>
      </c>
      <c r="S17" s="354">
        <f>R17*NPV!C18</f>
        <v>5567364.8035228811</v>
      </c>
      <c r="T17" s="175"/>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row>
    <row r="18" spans="1:78" x14ac:dyDescent="0.2">
      <c r="A18" s="84">
        <f t="shared" si="17"/>
        <v>2034</v>
      </c>
      <c r="B18" s="253">
        <f t="shared" si="0"/>
        <v>13723</v>
      </c>
      <c r="C18" s="83">
        <f t="shared" si="1"/>
        <v>2811</v>
      </c>
      <c r="D18" s="253">
        <f t="shared" si="2"/>
        <v>3202.0846666666666</v>
      </c>
      <c r="E18" s="83">
        <f t="shared" si="3"/>
        <v>655.84866666666676</v>
      </c>
      <c r="F18" s="253">
        <f t="shared" si="4"/>
        <v>863496.53321115533</v>
      </c>
      <c r="G18" s="83">
        <f t="shared" si="5"/>
        <v>63786.98595092426</v>
      </c>
      <c r="H18" s="253">
        <f t="shared" si="6"/>
        <v>2934.3220277019782</v>
      </c>
      <c r="I18" s="83">
        <f t="shared" si="7"/>
        <v>542.85470747397346</v>
      </c>
      <c r="J18" s="253">
        <f t="shared" si="8"/>
        <v>869632.93990552402</v>
      </c>
      <c r="K18" s="83">
        <f t="shared" si="9"/>
        <v>64985.689325064901</v>
      </c>
      <c r="L18" s="253">
        <f t="shared" si="10"/>
        <v>15778</v>
      </c>
      <c r="M18" s="83">
        <f t="shared" si="11"/>
        <v>3366</v>
      </c>
      <c r="N18" s="253">
        <f t="shared" si="12"/>
        <v>2838.456697049086</v>
      </c>
      <c r="O18" s="83">
        <f t="shared" si="13"/>
        <v>605.54222602783761</v>
      </c>
      <c r="P18" s="253">
        <f t="shared" si="14"/>
        <v>866794.48320847494</v>
      </c>
      <c r="Q18" s="85">
        <f t="shared" si="15"/>
        <v>64380.147099037065</v>
      </c>
      <c r="R18" s="353">
        <f t="shared" si="16"/>
        <v>16288002.760682277</v>
      </c>
      <c r="S18" s="354">
        <f>R18*NPV!C19</f>
        <v>5517310.0640495867</v>
      </c>
      <c r="T18" s="175"/>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row>
    <row r="19" spans="1:78" x14ac:dyDescent="0.2">
      <c r="A19" s="84">
        <f t="shared" si="17"/>
        <v>2035</v>
      </c>
      <c r="B19" s="253">
        <f t="shared" si="0"/>
        <v>13943</v>
      </c>
      <c r="C19" s="83">
        <f t="shared" si="1"/>
        <v>2856</v>
      </c>
      <c r="D19" s="253">
        <f t="shared" si="2"/>
        <v>3253.4063333333334</v>
      </c>
      <c r="E19" s="83">
        <f t="shared" si="3"/>
        <v>666.36033333333341</v>
      </c>
      <c r="F19" s="253">
        <f t="shared" si="4"/>
        <v>923456.55524954782</v>
      </c>
      <c r="G19" s="83">
        <f t="shared" si="5"/>
        <v>65264.265407647094</v>
      </c>
      <c r="H19" s="253">
        <f t="shared" si="6"/>
        <v>2989.9515813250423</v>
      </c>
      <c r="I19" s="83">
        <f t="shared" si="7"/>
        <v>552.13347955690472</v>
      </c>
      <c r="J19" s="253">
        <f t="shared" si="8"/>
        <v>929699.9131642062</v>
      </c>
      <c r="K19" s="83">
        <f t="shared" si="9"/>
        <v>66482.759220537322</v>
      </c>
      <c r="L19" s="253">
        <f t="shared" si="10"/>
        <v>16029</v>
      </c>
      <c r="M19" s="83">
        <f t="shared" si="11"/>
        <v>3420</v>
      </c>
      <c r="N19" s="253">
        <f t="shared" si="12"/>
        <v>2883.6432426345827</v>
      </c>
      <c r="O19" s="83">
        <f t="shared" si="13"/>
        <v>615.2635778782377</v>
      </c>
      <c r="P19" s="253">
        <f t="shared" si="14"/>
        <v>926816.2699215716</v>
      </c>
      <c r="Q19" s="85">
        <f t="shared" si="15"/>
        <v>65867.49564265908</v>
      </c>
      <c r="R19" s="353">
        <f t="shared" si="16"/>
        <v>17328241.202156533</v>
      </c>
      <c r="S19" s="354">
        <f>R19*NPV!C20</f>
        <v>5485677.3963877838</v>
      </c>
      <c r="T19" s="175"/>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row>
    <row r="20" spans="1:78" x14ac:dyDescent="0.2">
      <c r="A20" s="84">
        <f t="shared" si="17"/>
        <v>2036</v>
      </c>
      <c r="B20" s="253">
        <f t="shared" si="0"/>
        <v>14166</v>
      </c>
      <c r="C20" s="83">
        <f t="shared" si="1"/>
        <v>2902</v>
      </c>
      <c r="D20" s="253">
        <f t="shared" si="2"/>
        <v>3305.5026666666668</v>
      </c>
      <c r="E20" s="83">
        <f t="shared" si="3"/>
        <v>677.03066666666666</v>
      </c>
      <c r="F20" s="253">
        <f t="shared" si="4"/>
        <v>991530.86231558293</v>
      </c>
      <c r="G20" s="83">
        <f t="shared" si="5"/>
        <v>66786.71814614028</v>
      </c>
      <c r="H20" s="253">
        <f t="shared" si="6"/>
        <v>3046.8039552849436</v>
      </c>
      <c r="I20" s="83">
        <f t="shared" si="7"/>
        <v>561.58117162098165</v>
      </c>
      <c r="J20" s="253">
        <f t="shared" si="8"/>
        <v>997883.16893753456</v>
      </c>
      <c r="K20" s="83">
        <f t="shared" si="9"/>
        <v>68025.329984427939</v>
      </c>
      <c r="L20" s="253">
        <f t="shared" si="10"/>
        <v>16286</v>
      </c>
      <c r="M20" s="83">
        <f t="shared" si="11"/>
        <v>3474</v>
      </c>
      <c r="N20" s="253">
        <f t="shared" si="12"/>
        <v>2929.8626428007888</v>
      </c>
      <c r="O20" s="83">
        <f t="shared" si="13"/>
        <v>624.97499822485213</v>
      </c>
      <c r="P20" s="253">
        <f t="shared" si="14"/>
        <v>994953.30629473377</v>
      </c>
      <c r="Q20" s="85">
        <f t="shared" si="15"/>
        <v>67400.354986203092</v>
      </c>
      <c r="R20" s="353">
        <f t="shared" si="16"/>
        <v>18504535.356585573</v>
      </c>
      <c r="S20" s="354">
        <f>R20*NPV!C21</f>
        <v>5474824.3003108902</v>
      </c>
      <c r="T20" s="175"/>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row>
    <row r="21" spans="1:78" x14ac:dyDescent="0.2">
      <c r="A21" s="84">
        <f t="shared" si="17"/>
        <v>2037</v>
      </c>
      <c r="B21" s="253">
        <f t="shared" si="0"/>
        <v>14393</v>
      </c>
      <c r="C21" s="83">
        <f t="shared" si="1"/>
        <v>2948</v>
      </c>
      <c r="D21" s="253">
        <f t="shared" si="2"/>
        <v>3358.3736666666668</v>
      </c>
      <c r="E21" s="83">
        <f t="shared" si="3"/>
        <v>687.85966666666673</v>
      </c>
      <c r="F21" s="253">
        <f t="shared" si="4"/>
        <v>1069551.8832040997</v>
      </c>
      <c r="G21" s="83">
        <f t="shared" si="5"/>
        <v>68356.251906207384</v>
      </c>
      <c r="H21" s="253">
        <f t="shared" si="6"/>
        <v>3104.9125146400006</v>
      </c>
      <c r="I21" s="83">
        <f t="shared" si="7"/>
        <v>571.20121571295942</v>
      </c>
      <c r="J21" s="253">
        <f t="shared" si="8"/>
        <v>1076015.1693854064</v>
      </c>
      <c r="K21" s="83">
        <f t="shared" si="9"/>
        <v>69615.31278858702</v>
      </c>
      <c r="L21" s="253">
        <f t="shared" si="10"/>
        <v>16547</v>
      </c>
      <c r="M21" s="83">
        <f t="shared" si="11"/>
        <v>3530</v>
      </c>
      <c r="N21" s="253">
        <f t="shared" si="12"/>
        <v>2976.8312150809134</v>
      </c>
      <c r="O21" s="83">
        <f t="shared" si="13"/>
        <v>635.05252850883085</v>
      </c>
      <c r="P21" s="253">
        <f t="shared" si="14"/>
        <v>1073038.3381703256</v>
      </c>
      <c r="Q21" s="85">
        <f t="shared" si="15"/>
        <v>68980.260260078183</v>
      </c>
      <c r="R21" s="353">
        <f t="shared" si="16"/>
        <v>19847354.091299716</v>
      </c>
      <c r="S21" s="354">
        <f>R21*NPV!C22</f>
        <v>5487958.7944611497</v>
      </c>
      <c r="T21" s="175"/>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c r="BW21" s="170"/>
      <c r="BX21" s="170"/>
      <c r="BY21" s="170"/>
      <c r="BZ21" s="170"/>
    </row>
    <row r="22" spans="1:78" x14ac:dyDescent="0.2">
      <c r="A22" s="84">
        <f t="shared" si="17"/>
        <v>2038</v>
      </c>
      <c r="B22" s="253">
        <f t="shared" si="0"/>
        <v>14623</v>
      </c>
      <c r="C22" s="83">
        <f t="shared" si="1"/>
        <v>2995</v>
      </c>
      <c r="D22" s="253">
        <f t="shared" si="2"/>
        <v>3412.0193333333336</v>
      </c>
      <c r="E22" s="83">
        <f t="shared" si="3"/>
        <v>698.84733333333338</v>
      </c>
      <c r="F22" s="253">
        <f t="shared" si="4"/>
        <v>1159969.9943691844</v>
      </c>
      <c r="G22" s="83">
        <f t="shared" si="5"/>
        <v>69974.882576080883</v>
      </c>
      <c r="H22" s="253">
        <f t="shared" si="6"/>
        <v>3164.3117917137729</v>
      </c>
      <c r="I22" s="83">
        <f t="shared" si="7"/>
        <v>580.99712602304078</v>
      </c>
      <c r="J22" s="253">
        <f t="shared" si="8"/>
        <v>1166546.3254942314</v>
      </c>
      <c r="K22" s="83">
        <f t="shared" si="9"/>
        <v>71254.727035437259</v>
      </c>
      <c r="L22" s="253">
        <f t="shared" si="10"/>
        <v>16811</v>
      </c>
      <c r="M22" s="83">
        <f t="shared" si="11"/>
        <v>3587</v>
      </c>
      <c r="N22" s="253">
        <f t="shared" si="12"/>
        <v>3024.3084559069393</v>
      </c>
      <c r="O22" s="83">
        <f t="shared" si="13"/>
        <v>645.30333896485581</v>
      </c>
      <c r="P22" s="253">
        <f t="shared" si="14"/>
        <v>1163522.0170383244</v>
      </c>
      <c r="Q22" s="85">
        <f t="shared" si="15"/>
        <v>70609.423696472397</v>
      </c>
      <c r="R22" s="353">
        <f t="shared" si="16"/>
        <v>21397443.481882121</v>
      </c>
      <c r="S22" s="354">
        <f>R22*NPV!C23</f>
        <v>5529506.0073540928</v>
      </c>
      <c r="T22" s="175"/>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row>
    <row r="23" spans="1:78" x14ac:dyDescent="0.2">
      <c r="A23" s="84">
        <f t="shared" si="17"/>
        <v>2039</v>
      </c>
      <c r="B23" s="253">
        <f t="shared" si="0"/>
        <v>14857</v>
      </c>
      <c r="C23" s="83">
        <f t="shared" si="1"/>
        <v>3043</v>
      </c>
      <c r="D23" s="253">
        <f t="shared" si="2"/>
        <v>3466.6333333333337</v>
      </c>
      <c r="E23" s="83">
        <f t="shared" si="3"/>
        <v>710.03333333333342</v>
      </c>
      <c r="F23" s="253">
        <f t="shared" si="4"/>
        <v>1266145.5340226805</v>
      </c>
      <c r="G23" s="83">
        <f t="shared" si="5"/>
        <v>71644.74200055316</v>
      </c>
      <c r="H23" s="253">
        <f t="shared" si="6"/>
        <v>3225.0375375523172</v>
      </c>
      <c r="I23" s="83">
        <f t="shared" si="7"/>
        <v>590.97250128124745</v>
      </c>
      <c r="J23" s="253">
        <f t="shared" si="8"/>
        <v>1272837.2048935662</v>
      </c>
      <c r="K23" s="83">
        <f t="shared" si="9"/>
        <v>72945.747835167742</v>
      </c>
      <c r="L23" s="253">
        <f t="shared" si="10"/>
        <v>17081</v>
      </c>
      <c r="M23" s="83">
        <f t="shared" si="11"/>
        <v>3644</v>
      </c>
      <c r="N23" s="253">
        <f t="shared" si="12"/>
        <v>3072.8946704401351</v>
      </c>
      <c r="O23" s="83">
        <f t="shared" si="13"/>
        <v>655.56045776499343</v>
      </c>
      <c r="P23" s="253">
        <f t="shared" si="14"/>
        <v>1269764.3102231261</v>
      </c>
      <c r="Q23" s="85">
        <f t="shared" si="15"/>
        <v>72290.187377402748</v>
      </c>
      <c r="R23" s="353">
        <f t="shared" si="16"/>
        <v>23210648.077337276</v>
      </c>
      <c r="S23" s="354">
        <f>R23*NPV!C24</f>
        <v>5605675.2624384463</v>
      </c>
      <c r="T23" s="175"/>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row>
    <row r="24" spans="1:78" x14ac:dyDescent="0.2">
      <c r="A24" s="84">
        <f t="shared" si="17"/>
        <v>2040</v>
      </c>
      <c r="B24" s="253">
        <f t="shared" si="0"/>
        <v>15094</v>
      </c>
      <c r="C24" s="83">
        <f t="shared" si="1"/>
        <v>3092</v>
      </c>
      <c r="D24" s="253">
        <f t="shared" si="2"/>
        <v>3522.0219999999995</v>
      </c>
      <c r="E24" s="83">
        <f t="shared" si="3"/>
        <v>721.37800000000004</v>
      </c>
      <c r="F24" s="253">
        <f t="shared" si="4"/>
        <v>1392827.0482053356</v>
      </c>
      <c r="G24" s="83">
        <f t="shared" si="5"/>
        <v>73368.08647796372</v>
      </c>
      <c r="H24" s="253">
        <f t="shared" si="6"/>
        <v>5843.7809353535713</v>
      </c>
      <c r="I24" s="83">
        <f t="shared" si="7"/>
        <v>1068.6773817576038</v>
      </c>
      <c r="J24" s="253">
        <f t="shared" si="8"/>
        <v>1402192.8511406893</v>
      </c>
      <c r="K24" s="83">
        <f t="shared" si="9"/>
        <v>75158.14185972132</v>
      </c>
      <c r="L24" s="253">
        <f t="shared" si="10"/>
        <v>17354</v>
      </c>
      <c r="M24" s="83">
        <f t="shared" si="11"/>
        <v>3702</v>
      </c>
      <c r="N24" s="253">
        <f t="shared" si="12"/>
        <v>3121.9895535519445</v>
      </c>
      <c r="O24" s="83">
        <f t="shared" si="13"/>
        <v>665.99085670446584</v>
      </c>
      <c r="P24" s="253">
        <f t="shared" si="14"/>
        <v>1399070.8615871374</v>
      </c>
      <c r="Q24" s="85">
        <f t="shared" si="15"/>
        <v>74492.151003016857</v>
      </c>
      <c r="R24" s="353">
        <f t="shared" si="16"/>
        <v>25422094.756935481</v>
      </c>
      <c r="S24" s="354">
        <f>R24*NPV!C25</f>
        <v>5738101.4730779519</v>
      </c>
      <c r="T24" s="175"/>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row>
    <row r="25" spans="1:78" x14ac:dyDescent="0.2">
      <c r="A25" s="84">
        <f t="shared" si="17"/>
        <v>2041</v>
      </c>
      <c r="B25" s="253">
        <f t="shared" si="0"/>
        <v>15230</v>
      </c>
      <c r="C25" s="83">
        <f t="shared" si="1"/>
        <v>3120</v>
      </c>
      <c r="D25" s="253">
        <f t="shared" si="2"/>
        <v>3553.7833333333338</v>
      </c>
      <c r="E25" s="83">
        <f t="shared" si="3"/>
        <v>727.88333333333344</v>
      </c>
      <c r="F25" s="253">
        <f t="shared" si="4"/>
        <v>1475885.4291250445</v>
      </c>
      <c r="G25" s="83">
        <f t="shared" si="5"/>
        <v>74365.342928177095</v>
      </c>
      <c r="H25" s="253">
        <f t="shared" si="6"/>
        <v>5907.1815162019384</v>
      </c>
      <c r="I25" s="83">
        <f t="shared" si="7"/>
        <v>1079.0174462815903</v>
      </c>
      <c r="J25" s="253">
        <f t="shared" si="8"/>
        <v>1485346.3939745799</v>
      </c>
      <c r="K25" s="83">
        <f t="shared" si="9"/>
        <v>76172.243707792019</v>
      </c>
      <c r="L25" s="253">
        <f t="shared" si="10"/>
        <v>17632</v>
      </c>
      <c r="M25" s="83">
        <f t="shared" si="11"/>
        <v>3761</v>
      </c>
      <c r="N25" s="253">
        <f t="shared" si="12"/>
        <v>3172.0135100218499</v>
      </c>
      <c r="O25" s="83">
        <f t="shared" si="13"/>
        <v>676.60746433712438</v>
      </c>
      <c r="P25" s="253">
        <f t="shared" si="14"/>
        <v>1482174.380464558</v>
      </c>
      <c r="Q25" s="85">
        <f t="shared" si="15"/>
        <v>75495.636243454894</v>
      </c>
      <c r="R25" s="353">
        <f t="shared" si="16"/>
        <v>26831215.984893583</v>
      </c>
      <c r="S25" s="354">
        <f>R25*NPV!C26</f>
        <v>5659961.3883755375</v>
      </c>
      <c r="T25" s="175"/>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row>
    <row r="26" spans="1:78" x14ac:dyDescent="0.2">
      <c r="A26" s="84">
        <f t="shared" si="17"/>
        <v>2042</v>
      </c>
      <c r="B26" s="253">
        <f t="shared" si="0"/>
        <v>15367</v>
      </c>
      <c r="C26" s="83">
        <f t="shared" si="1"/>
        <v>3148</v>
      </c>
      <c r="D26" s="253">
        <f t="shared" si="2"/>
        <v>3585.7383333333337</v>
      </c>
      <c r="E26" s="83">
        <f t="shared" si="3"/>
        <v>734.4283333333334</v>
      </c>
      <c r="F26" s="253">
        <f t="shared" si="4"/>
        <v>1569333.9341776401</v>
      </c>
      <c r="G26" s="83">
        <f t="shared" si="5"/>
        <v>75380.848619086726</v>
      </c>
      <c r="H26" s="253">
        <f t="shared" si="6"/>
        <v>5971.3886796004927</v>
      </c>
      <c r="I26" s="83">
        <f t="shared" si="7"/>
        <v>1089.4646146504674</v>
      </c>
      <c r="J26" s="253">
        <f t="shared" si="8"/>
        <v>1578891.061190574</v>
      </c>
      <c r="K26" s="83">
        <f t="shared" si="9"/>
        <v>77204.741567070523</v>
      </c>
      <c r="L26" s="253">
        <f t="shared" si="10"/>
        <v>17790</v>
      </c>
      <c r="M26" s="83">
        <f t="shared" si="11"/>
        <v>3795</v>
      </c>
      <c r="N26" s="253">
        <f t="shared" si="12"/>
        <v>3200.4706095044639</v>
      </c>
      <c r="O26" s="83">
        <f t="shared" si="13"/>
        <v>682.73108280322879</v>
      </c>
      <c r="P26" s="253">
        <f t="shared" si="14"/>
        <v>1575690.5905810695</v>
      </c>
      <c r="Q26" s="85">
        <f t="shared" si="15"/>
        <v>76522.010484267288</v>
      </c>
      <c r="R26" s="353">
        <f t="shared" si="16"/>
        <v>28413863.112931643</v>
      </c>
      <c r="S26" s="354">
        <f>R26*NPV!C27</f>
        <v>5601697.0724022584</v>
      </c>
      <c r="T26" s="175"/>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row>
    <row r="27" spans="1:78" x14ac:dyDescent="0.2">
      <c r="A27" s="84">
        <f t="shared" si="17"/>
        <v>2043</v>
      </c>
      <c r="B27" s="253">
        <f t="shared" si="0"/>
        <v>15505</v>
      </c>
      <c r="C27" s="83">
        <f t="shared" si="1"/>
        <v>3176</v>
      </c>
      <c r="D27" s="253">
        <f t="shared" si="2"/>
        <v>3617.8869999999997</v>
      </c>
      <c r="E27" s="83">
        <f t="shared" si="3"/>
        <v>741.01300000000003</v>
      </c>
      <c r="F27" s="253">
        <f t="shared" si="4"/>
        <v>1675370.7718776949</v>
      </c>
      <c r="G27" s="83">
        <f t="shared" si="5"/>
        <v>76415.068473370688</v>
      </c>
      <c r="H27" s="253">
        <f t="shared" si="6"/>
        <v>6036.415289310431</v>
      </c>
      <c r="I27" s="83">
        <f t="shared" si="7"/>
        <v>1100.0201337315639</v>
      </c>
      <c r="J27" s="253">
        <f t="shared" si="8"/>
        <v>1685025.0741670055</v>
      </c>
      <c r="K27" s="83">
        <f t="shared" si="9"/>
        <v>78256.10160710226</v>
      </c>
      <c r="L27" s="253">
        <f t="shared" si="10"/>
        <v>17950</v>
      </c>
      <c r="M27" s="83">
        <f t="shared" si="11"/>
        <v>3830</v>
      </c>
      <c r="N27" s="253">
        <f t="shared" si="12"/>
        <v>3229.2261743307195</v>
      </c>
      <c r="O27" s="83">
        <f t="shared" si="13"/>
        <v>689.02151797697252</v>
      </c>
      <c r="P27" s="253">
        <f t="shared" si="14"/>
        <v>1681795.8479926747</v>
      </c>
      <c r="Q27" s="85">
        <f t="shared" si="15"/>
        <v>77567.080089125287</v>
      </c>
      <c r="R27" s="353">
        <f t="shared" si="16"/>
        <v>30206039.9393076</v>
      </c>
      <c r="S27" s="354">
        <f>R27*NPV!C28</f>
        <v>5565438.0150213446</v>
      </c>
      <c r="T27" s="175"/>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row>
    <row r="28" spans="1:78" x14ac:dyDescent="0.2">
      <c r="A28" s="84">
        <f t="shared" si="17"/>
        <v>2044</v>
      </c>
      <c r="B28" s="253">
        <f t="shared" si="0"/>
        <v>15645</v>
      </c>
      <c r="C28" s="83">
        <f t="shared" si="1"/>
        <v>3205</v>
      </c>
      <c r="D28" s="253">
        <f t="shared" si="2"/>
        <v>3650.6166666666663</v>
      </c>
      <c r="E28" s="83">
        <f t="shared" si="3"/>
        <v>747.7166666666667</v>
      </c>
      <c r="F28" s="253">
        <f t="shared" si="4"/>
        <v>1796885.3778171754</v>
      </c>
      <c r="G28" s="83">
        <f t="shared" si="5"/>
        <v>77468.483271661011</v>
      </c>
      <c r="H28" s="253">
        <f t="shared" si="6"/>
        <v>6102.2744729180713</v>
      </c>
      <c r="I28" s="83">
        <f t="shared" si="7"/>
        <v>1110.6852676013143</v>
      </c>
      <c r="J28" s="253">
        <f t="shared" si="8"/>
        <v>1806638.2689567602</v>
      </c>
      <c r="K28" s="83">
        <f t="shared" si="9"/>
        <v>79326.885205928978</v>
      </c>
      <c r="L28" s="253">
        <f t="shared" si="10"/>
        <v>18112</v>
      </c>
      <c r="M28" s="83">
        <f t="shared" si="11"/>
        <v>3864</v>
      </c>
      <c r="N28" s="253">
        <f t="shared" si="12"/>
        <v>3258.3718429988894</v>
      </c>
      <c r="O28" s="83">
        <f t="shared" si="13"/>
        <v>695.13851597546977</v>
      </c>
      <c r="P28" s="253">
        <f t="shared" si="14"/>
        <v>1803379.8971137614</v>
      </c>
      <c r="Q28" s="85">
        <f t="shared" si="15"/>
        <v>78631.746689953507</v>
      </c>
      <c r="R28" s="353">
        <f t="shared" si="16"/>
        <v>32255742.819442071</v>
      </c>
      <c r="S28" s="354">
        <f>R28*NPV!C29</f>
        <v>5554293.537244007</v>
      </c>
      <c r="T28" s="175"/>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row>
    <row r="29" spans="1:78" x14ac:dyDescent="0.2">
      <c r="A29" s="84">
        <f t="shared" si="17"/>
        <v>2045</v>
      </c>
      <c r="B29" s="253">
        <f t="shared" si="0"/>
        <v>15786</v>
      </c>
      <c r="C29" s="83">
        <f t="shared" si="1"/>
        <v>3233</v>
      </c>
      <c r="D29" s="253">
        <f t="shared" si="2"/>
        <v>3683.346333333333</v>
      </c>
      <c r="E29" s="83">
        <f t="shared" si="3"/>
        <v>754.42033333333336</v>
      </c>
      <c r="F29" s="253">
        <f t="shared" si="4"/>
        <v>1937759.1245141865</v>
      </c>
      <c r="G29" s="83">
        <f t="shared" si="5"/>
        <v>78541.59033758947</v>
      </c>
      <c r="H29" s="253">
        <f t="shared" si="6"/>
        <v>6168.9796286336623</v>
      </c>
      <c r="I29" s="83">
        <f t="shared" si="7"/>
        <v>1121.461297835393</v>
      </c>
      <c r="J29" s="253">
        <f t="shared" si="8"/>
        <v>1947611.4504761535</v>
      </c>
      <c r="K29" s="83">
        <f t="shared" si="9"/>
        <v>80417.471968758196</v>
      </c>
      <c r="L29" s="253">
        <f t="shared" si="10"/>
        <v>18274</v>
      </c>
      <c r="M29" s="83">
        <f t="shared" si="11"/>
        <v>3899</v>
      </c>
      <c r="N29" s="253">
        <f t="shared" si="12"/>
        <v>3287.5478120791399</v>
      </c>
      <c r="O29" s="83">
        <f t="shared" si="13"/>
        <v>701.44188022855235</v>
      </c>
      <c r="P29" s="253">
        <f t="shared" si="14"/>
        <v>1944323.9026640744</v>
      </c>
      <c r="Q29" s="85">
        <f t="shared" si="15"/>
        <v>79716.030088529646</v>
      </c>
      <c r="R29" s="353">
        <f t="shared" si="16"/>
        <v>34627399.671835266</v>
      </c>
      <c r="S29" s="354">
        <f>R29*NPV!C30</f>
        <v>5572600.1478465507</v>
      </c>
      <c r="T29" s="175"/>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row>
    <row r="30" spans="1:78" x14ac:dyDescent="0.2">
      <c r="A30" s="84">
        <f t="shared" si="17"/>
        <v>2046</v>
      </c>
      <c r="B30" s="253">
        <f t="shared" si="0"/>
        <v>15928</v>
      </c>
      <c r="C30" s="83">
        <f t="shared" si="1"/>
        <v>3262</v>
      </c>
      <c r="D30" s="253">
        <f t="shared" si="2"/>
        <v>3716.4633333333336</v>
      </c>
      <c r="E30" s="83">
        <f t="shared" si="3"/>
        <v>761.20333333333349</v>
      </c>
      <c r="F30" s="253">
        <f t="shared" si="4"/>
        <v>2103339.7107580369</v>
      </c>
      <c r="G30" s="83">
        <f t="shared" si="5"/>
        <v>79634.904258789204</v>
      </c>
      <c r="H30" s="253">
        <f t="shared" si="6"/>
        <v>6236.5444323021075</v>
      </c>
      <c r="I30" s="83">
        <f t="shared" si="7"/>
        <v>1132.349523804764</v>
      </c>
      <c r="J30" s="253">
        <f t="shared" si="8"/>
        <v>2113292.7185236723</v>
      </c>
      <c r="K30" s="83">
        <f t="shared" si="9"/>
        <v>81528.457115927304</v>
      </c>
      <c r="L30" s="253">
        <f t="shared" si="10"/>
        <v>18439</v>
      </c>
      <c r="M30" s="83">
        <f t="shared" si="11"/>
        <v>3934</v>
      </c>
      <c r="N30" s="253">
        <f t="shared" si="12"/>
        <v>3317.2021498922122</v>
      </c>
      <c r="O30" s="83">
        <f t="shared" si="13"/>
        <v>707.73215780009559</v>
      </c>
      <c r="P30" s="253">
        <f t="shared" si="14"/>
        <v>2109975.5163737801</v>
      </c>
      <c r="Q30" s="85">
        <f t="shared" si="15"/>
        <v>80820.724958127204</v>
      </c>
      <c r="R30" s="353">
        <f t="shared" si="16"/>
        <v>37409804.958069503</v>
      </c>
      <c r="S30" s="354">
        <f>R30*NPV!C31</f>
        <v>5626517.4322792804</v>
      </c>
      <c r="T30" s="175"/>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row>
    <row r="31" spans="1:78" x14ac:dyDescent="0.2">
      <c r="A31" s="84">
        <f t="shared" si="17"/>
        <v>2047</v>
      </c>
      <c r="B31" s="253">
        <f t="shared" si="0"/>
        <v>16071</v>
      </c>
      <c r="C31" s="83">
        <f t="shared" si="1"/>
        <v>3292</v>
      </c>
      <c r="D31" s="253">
        <f t="shared" si="2"/>
        <v>3749.9676666666669</v>
      </c>
      <c r="E31" s="83">
        <f t="shared" si="3"/>
        <v>768.06566666666674</v>
      </c>
      <c r="F31" s="253">
        <f t="shared" si="4"/>
        <v>2301219.3534215549</v>
      </c>
      <c r="G31" s="83">
        <f t="shared" si="5"/>
        <v>80748.957646080395</v>
      </c>
      <c r="H31" s="253">
        <f t="shared" si="6"/>
        <v>6304.9828446333031</v>
      </c>
      <c r="I31" s="83">
        <f t="shared" si="7"/>
        <v>1143.3512629778045</v>
      </c>
      <c r="J31" s="253">
        <f t="shared" si="8"/>
        <v>2311274.3039328549</v>
      </c>
      <c r="K31" s="83">
        <f t="shared" si="9"/>
        <v>82660.374575724854</v>
      </c>
      <c r="L31" s="253">
        <f t="shared" si="10"/>
        <v>18606</v>
      </c>
      <c r="M31" s="83">
        <f t="shared" si="11"/>
        <v>3969</v>
      </c>
      <c r="N31" s="253">
        <f t="shared" si="12"/>
        <v>3347.276892259988</v>
      </c>
      <c r="O31" s="83">
        <f t="shared" si="13"/>
        <v>714.03536415026826</v>
      </c>
      <c r="P31" s="253">
        <f t="shared" si="14"/>
        <v>2307927.0270405947</v>
      </c>
      <c r="Q31" s="85">
        <f t="shared" si="15"/>
        <v>81946.339211574581</v>
      </c>
      <c r="R31" s="353">
        <f t="shared" si="16"/>
        <v>40729005.655615322</v>
      </c>
      <c r="S31" s="354">
        <f>R31*NPV!C32</f>
        <v>5724983.7015797505</v>
      </c>
      <c r="T31" s="175"/>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row>
    <row r="32" spans="1:78" x14ac:dyDescent="0.2">
      <c r="A32" s="84">
        <f t="shared" si="17"/>
        <v>2048</v>
      </c>
      <c r="B32" s="253">
        <f t="shared" si="0"/>
        <v>16216</v>
      </c>
      <c r="C32" s="83">
        <f t="shared" si="1"/>
        <v>3321</v>
      </c>
      <c r="D32" s="253">
        <f t="shared" si="2"/>
        <v>3783.6656666666668</v>
      </c>
      <c r="E32" s="83">
        <f t="shared" si="3"/>
        <v>774.96766666666667</v>
      </c>
      <c r="F32" s="253">
        <f t="shared" si="4"/>
        <v>2542571.9508994641</v>
      </c>
      <c r="G32" s="83">
        <f t="shared" si="5"/>
        <v>81884.30193322897</v>
      </c>
      <c r="H32" s="253">
        <f t="shared" si="6"/>
        <v>6374.3091186602032</v>
      </c>
      <c r="I32" s="83">
        <f t="shared" si="7"/>
        <v>1154.4678512286412</v>
      </c>
      <c r="J32" s="253">
        <f t="shared" si="8"/>
        <v>2552729.9256847911</v>
      </c>
      <c r="K32" s="83">
        <f t="shared" si="9"/>
        <v>83813.737451124282</v>
      </c>
      <c r="L32" s="253">
        <f t="shared" si="10"/>
        <v>18773</v>
      </c>
      <c r="M32" s="83">
        <f t="shared" si="11"/>
        <v>4005</v>
      </c>
      <c r="N32" s="253">
        <f t="shared" si="12"/>
        <v>3377.3058147852962</v>
      </c>
      <c r="O32" s="83">
        <f t="shared" si="13"/>
        <v>720.50869803521607</v>
      </c>
      <c r="P32" s="253">
        <f t="shared" si="14"/>
        <v>2549352.6198700056</v>
      </c>
      <c r="Q32" s="85">
        <f t="shared" si="15"/>
        <v>83093.228753089061</v>
      </c>
      <c r="R32" s="353">
        <f t="shared" si="16"/>
        <v>44770503.738058224</v>
      </c>
      <c r="S32" s="354">
        <f>R32*NPV!C33</f>
        <v>5881372.0096274959</v>
      </c>
      <c r="T32" s="175"/>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row>
    <row r="33" spans="1:78" x14ac:dyDescent="0.2">
      <c r="A33" s="84">
        <f>A32+1</f>
        <v>2049</v>
      </c>
      <c r="B33" s="253">
        <f t="shared" si="0"/>
        <v>16362</v>
      </c>
      <c r="C33" s="83">
        <f t="shared" si="1"/>
        <v>3351</v>
      </c>
      <c r="D33" s="253">
        <f t="shared" si="2"/>
        <v>3817.7509999999997</v>
      </c>
      <c r="E33" s="83">
        <f t="shared" si="3"/>
        <v>781.94900000000007</v>
      </c>
      <c r="F33" s="253">
        <f t="shared" si="4"/>
        <v>2844583.2232756964</v>
      </c>
      <c r="G33" s="83">
        <f t="shared" si="5"/>
        <v>83041.508219839146</v>
      </c>
      <c r="H33" s="253">
        <f t="shared" si="6"/>
        <v>6444.5378074330056</v>
      </c>
      <c r="I33" s="83">
        <f t="shared" si="7"/>
        <v>1165.700643151848</v>
      </c>
      <c r="J33" s="253">
        <f t="shared" si="8"/>
        <v>2854845.5120831295</v>
      </c>
      <c r="K33" s="83">
        <f t="shared" si="9"/>
        <v>84989.157862990993</v>
      </c>
      <c r="L33" s="253">
        <f t="shared" si="10"/>
        <v>18942</v>
      </c>
      <c r="M33" s="83">
        <f t="shared" si="11"/>
        <v>4041</v>
      </c>
      <c r="N33" s="253">
        <f t="shared" si="12"/>
        <v>3407.6790227157862</v>
      </c>
      <c r="O33" s="83">
        <f t="shared" si="13"/>
        <v>726.97872087395695</v>
      </c>
      <c r="P33" s="253">
        <f t="shared" si="14"/>
        <v>2851437.8330604136</v>
      </c>
      <c r="Q33" s="85">
        <f t="shared" si="15"/>
        <v>84262.179142117035</v>
      </c>
      <c r="R33" s="353">
        <f t="shared" si="16"/>
        <v>49819602.313495323</v>
      </c>
      <c r="S33" s="354">
        <f>R33*NPV!C34</f>
        <v>6116502.367955151</v>
      </c>
      <c r="T33" s="175"/>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170"/>
      <c r="BU33" s="170"/>
      <c r="BV33" s="170"/>
      <c r="BW33" s="170"/>
      <c r="BX33" s="170"/>
      <c r="BY33" s="170"/>
      <c r="BZ33" s="170"/>
    </row>
    <row r="34" spans="1:78" x14ac:dyDescent="0.2">
      <c r="A34" s="84">
        <f t="shared" ref="A34:A36" si="18">A33+1</f>
        <v>2050</v>
      </c>
      <c r="B34" s="253">
        <f t="shared" si="0"/>
        <v>16510</v>
      </c>
      <c r="C34" s="83">
        <f t="shared" si="1"/>
        <v>3381</v>
      </c>
      <c r="D34" s="253">
        <f t="shared" si="2"/>
        <v>3852.2236666666668</v>
      </c>
      <c r="E34" s="83">
        <f t="shared" si="3"/>
        <v>789.00966666666682</v>
      </c>
      <c r="F34" s="253">
        <f t="shared" si="4"/>
        <v>3235183.9720621984</v>
      </c>
      <c r="G34" s="83">
        <f t="shared" si="5"/>
        <v>84221.16816012864</v>
      </c>
      <c r="H34" s="253">
        <f t="shared" si="6"/>
        <v>10180.755893684729</v>
      </c>
      <c r="I34" s="83">
        <f t="shared" si="7"/>
        <v>1839.1422068494749</v>
      </c>
      <c r="J34" s="253">
        <f t="shared" si="8"/>
        <v>3249216.9516225499</v>
      </c>
      <c r="K34" s="83">
        <f t="shared" si="9"/>
        <v>86849.320033644777</v>
      </c>
      <c r="L34" s="253">
        <f t="shared" si="10"/>
        <v>19113</v>
      </c>
      <c r="M34" s="83">
        <f t="shared" si="11"/>
        <v>4077</v>
      </c>
      <c r="N34" s="253">
        <f t="shared" si="12"/>
        <v>3438.4726357448503</v>
      </c>
      <c r="O34" s="83">
        <f t="shared" si="13"/>
        <v>733.46167194745749</v>
      </c>
      <c r="P34" s="253">
        <f t="shared" si="14"/>
        <v>3245778.4789868048</v>
      </c>
      <c r="Q34" s="85">
        <f t="shared" si="15"/>
        <v>86115.858361697319</v>
      </c>
      <c r="R34" s="353">
        <f t="shared" si="16"/>
        <v>56420340.572851032</v>
      </c>
      <c r="S34" s="354">
        <f>R34*NPV!C35</f>
        <v>6473733.505053347</v>
      </c>
      <c r="T34" s="175"/>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c r="BX34" s="170"/>
      <c r="BY34" s="170"/>
      <c r="BZ34" s="170"/>
    </row>
    <row r="35" spans="1:78" x14ac:dyDescent="0.2">
      <c r="A35" s="84">
        <f t="shared" si="18"/>
        <v>2051</v>
      </c>
      <c r="B35" s="253">
        <f t="shared" si="0"/>
        <v>16658</v>
      </c>
      <c r="C35" s="83">
        <f t="shared" si="1"/>
        <v>3412</v>
      </c>
      <c r="D35" s="253">
        <f t="shared" si="2"/>
        <v>3886.89</v>
      </c>
      <c r="E35" s="83">
        <f t="shared" si="3"/>
        <v>796.11</v>
      </c>
      <c r="F35" s="253">
        <f t="shared" si="4"/>
        <v>3763117.5549315908</v>
      </c>
      <c r="G35" s="83">
        <f t="shared" si="5"/>
        <v>85423.894900537387</v>
      </c>
      <c r="H35" s="253">
        <f t="shared" si="6"/>
        <v>10293.378420924731</v>
      </c>
      <c r="I35" s="83">
        <f t="shared" si="7"/>
        <v>1857.063049890452</v>
      </c>
      <c r="J35" s="253">
        <f t="shared" si="8"/>
        <v>3777297.8233525157</v>
      </c>
      <c r="K35" s="83">
        <f t="shared" si="9"/>
        <v>88077.067950427838</v>
      </c>
      <c r="L35" s="253">
        <f t="shared" si="10"/>
        <v>19284</v>
      </c>
      <c r="M35" s="83">
        <f t="shared" si="11"/>
        <v>4114</v>
      </c>
      <c r="N35" s="253">
        <f t="shared" si="12"/>
        <v>3469.2204291491057</v>
      </c>
      <c r="O35" s="83">
        <f t="shared" si="13"/>
        <v>740.11475033807403</v>
      </c>
      <c r="P35" s="253">
        <f t="shared" si="14"/>
        <v>3773828.6029233667</v>
      </c>
      <c r="Q35" s="85">
        <f t="shared" si="15"/>
        <v>87336.95320008976</v>
      </c>
      <c r="R35" s="353">
        <f t="shared" si="16"/>
        <v>65221994.927930541</v>
      </c>
      <c r="S35" s="354">
        <f>R35*NPV!C36</f>
        <v>6994060.9829642819</v>
      </c>
      <c r="T35" s="175"/>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row>
    <row r="36" spans="1:78" x14ac:dyDescent="0.2">
      <c r="A36" s="84">
        <f t="shared" si="18"/>
        <v>2052</v>
      </c>
      <c r="B36" s="253">
        <f t="shared" si="0"/>
        <v>16807</v>
      </c>
      <c r="C36" s="83">
        <f t="shared" si="1"/>
        <v>3443</v>
      </c>
      <c r="D36" s="253">
        <f t="shared" si="2"/>
        <v>3921.75</v>
      </c>
      <c r="E36" s="83">
        <f t="shared" si="3"/>
        <v>803.25000000000011</v>
      </c>
      <c r="F36" s="253">
        <f t="shared" si="4"/>
        <v>4521991.7310391432</v>
      </c>
      <c r="G36" s="83">
        <f t="shared" si="5"/>
        <v>86650.324069340335</v>
      </c>
      <c r="H36" s="253">
        <f t="shared" si="6"/>
        <v>10407.482127337391</v>
      </c>
      <c r="I36" s="83">
        <f t="shared" si="7"/>
        <v>1875.1719914072228</v>
      </c>
      <c r="J36" s="253">
        <f t="shared" si="8"/>
        <v>4536320.9631664809</v>
      </c>
      <c r="K36" s="83">
        <f t="shared" si="9"/>
        <v>89328.746060747551</v>
      </c>
      <c r="L36" s="253">
        <f t="shared" si="10"/>
        <v>19458</v>
      </c>
      <c r="M36" s="83">
        <f t="shared" si="11"/>
        <v>4151</v>
      </c>
      <c r="N36" s="253">
        <f t="shared" si="12"/>
        <v>3500.5227101920063</v>
      </c>
      <c r="O36" s="83">
        <f t="shared" si="13"/>
        <v>746.77098211568602</v>
      </c>
      <c r="P36" s="253">
        <f t="shared" si="14"/>
        <v>4532820.4404562889</v>
      </c>
      <c r="Q36" s="85">
        <f t="shared" si="15"/>
        <v>88581.975078631862</v>
      </c>
      <c r="R36" s="353">
        <f t="shared" si="16"/>
        <v>77857987.576394036</v>
      </c>
      <c r="S36" s="354">
        <f>R36*NPV!C37</f>
        <v>7802876.4943896597</v>
      </c>
      <c r="T36" s="175"/>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c r="BX36" s="170"/>
      <c r="BY36" s="170"/>
      <c r="BZ36" s="170"/>
    </row>
    <row r="37" spans="1:78" x14ac:dyDescent="0.2">
      <c r="A37" s="84">
        <f t="shared" ref="A37:A40" si="19">A36+1</f>
        <v>2053</v>
      </c>
      <c r="B37" s="253">
        <f t="shared" si="0"/>
        <v>16959</v>
      </c>
      <c r="C37" s="83">
        <f t="shared" si="1"/>
        <v>3474</v>
      </c>
      <c r="D37" s="253">
        <f t="shared" si="2"/>
        <v>3957.1909999999998</v>
      </c>
      <c r="E37" s="83">
        <f t="shared" si="3"/>
        <v>810.50900000000001</v>
      </c>
      <c r="F37" s="253">
        <f t="shared" si="4"/>
        <v>5717841.090061171</v>
      </c>
      <c r="G37" s="83">
        <f t="shared" si="5"/>
        <v>87901.114821674157</v>
      </c>
      <c r="H37" s="253">
        <f t="shared" si="6"/>
        <v>10523.091755264106</v>
      </c>
      <c r="I37" s="83">
        <f t="shared" si="7"/>
        <v>1893.4712700812588</v>
      </c>
      <c r="J37" s="253">
        <f t="shared" si="8"/>
        <v>5732321.3728164351</v>
      </c>
      <c r="K37" s="83">
        <f t="shared" si="9"/>
        <v>90605.095091755415</v>
      </c>
      <c r="L37" s="253">
        <f t="shared" si="10"/>
        <v>19633</v>
      </c>
      <c r="M37" s="83">
        <f t="shared" si="11"/>
        <v>4188</v>
      </c>
      <c r="N37" s="253">
        <f t="shared" si="12"/>
        <v>3532.035194154264</v>
      </c>
      <c r="O37" s="83">
        <f t="shared" si="13"/>
        <v>753.43367764060804</v>
      </c>
      <c r="P37" s="253">
        <f t="shared" si="14"/>
        <v>5728789.3376222812</v>
      </c>
      <c r="Q37" s="85">
        <f t="shared" si="15"/>
        <v>89851.661414114802</v>
      </c>
      <c r="R37" s="353">
        <f t="shared" si="16"/>
        <v>97748527.016246259</v>
      </c>
      <c r="S37" s="354">
        <f>R37*NPV!C38</f>
        <v>9155414.3203138877</v>
      </c>
      <c r="T37" s="175"/>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70"/>
      <c r="BU37" s="170"/>
      <c r="BV37" s="170"/>
      <c r="BW37" s="170"/>
      <c r="BX37" s="170"/>
      <c r="BY37" s="170"/>
      <c r="BZ37" s="170"/>
    </row>
    <row r="38" spans="1:78" x14ac:dyDescent="0.2">
      <c r="A38" s="84">
        <f t="shared" si="19"/>
        <v>2054</v>
      </c>
      <c r="B38" s="253">
        <f t="shared" si="0"/>
        <v>17111</v>
      </c>
      <c r="C38" s="83">
        <f t="shared" si="1"/>
        <v>3505</v>
      </c>
      <c r="D38" s="253">
        <f t="shared" si="2"/>
        <v>3992.6319999999996</v>
      </c>
      <c r="E38" s="83">
        <f t="shared" si="3"/>
        <v>817.76800000000003</v>
      </c>
      <c r="F38" s="253">
        <f t="shared" si="4"/>
        <v>7911778.8035603892</v>
      </c>
      <c r="G38" s="83">
        <f t="shared" si="5"/>
        <v>89176.950943644508</v>
      </c>
      <c r="H38" s="253">
        <f t="shared" si="6"/>
        <v>10640.232581968961</v>
      </c>
      <c r="I38" s="83">
        <f t="shared" si="7"/>
        <v>1911.9631564611734</v>
      </c>
      <c r="J38" s="253">
        <f t="shared" si="8"/>
        <v>7926411.6681423588</v>
      </c>
      <c r="K38" s="83">
        <f t="shared" si="9"/>
        <v>91906.682100105681</v>
      </c>
      <c r="L38" s="253">
        <f t="shared" si="10"/>
        <v>19810</v>
      </c>
      <c r="M38" s="83">
        <f t="shared" si="11"/>
        <v>4226</v>
      </c>
      <c r="N38" s="253">
        <f t="shared" si="12"/>
        <v>3563.8461430077109</v>
      </c>
      <c r="O38" s="83">
        <f t="shared" si="13"/>
        <v>760.26319032562276</v>
      </c>
      <c r="P38" s="253">
        <f t="shared" si="14"/>
        <v>7922847.8219993515</v>
      </c>
      <c r="Q38" s="85">
        <f t="shared" si="15"/>
        <v>91146.418909780055</v>
      </c>
      <c r="R38" s="353">
        <f t="shared" si="16"/>
        <v>134208093.20302776</v>
      </c>
      <c r="S38" s="354">
        <f>R38*NPV!C39</f>
        <v>11747966.769096302</v>
      </c>
      <c r="T38" s="175"/>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0"/>
      <c r="BR38" s="170"/>
      <c r="BS38" s="170"/>
      <c r="BT38" s="170"/>
      <c r="BU38" s="170"/>
      <c r="BV38" s="170"/>
      <c r="BW38" s="170"/>
      <c r="BX38" s="170"/>
      <c r="BY38" s="170"/>
      <c r="BZ38" s="170"/>
    </row>
    <row r="39" spans="1:78" x14ac:dyDescent="0.2">
      <c r="A39" s="84">
        <f t="shared" si="19"/>
        <v>2055</v>
      </c>
      <c r="B39" s="253">
        <f t="shared" si="0"/>
        <v>17266</v>
      </c>
      <c r="C39" s="83">
        <f t="shared" si="1"/>
        <v>3536</v>
      </c>
      <c r="D39" s="253">
        <f t="shared" si="2"/>
        <v>4028.654</v>
      </c>
      <c r="E39" s="83">
        <f t="shared" si="3"/>
        <v>825.14600000000007</v>
      </c>
      <c r="F39" s="253">
        <f t="shared" si="4"/>
        <v>13370105.727112945</v>
      </c>
      <c r="G39" s="83">
        <f t="shared" si="5"/>
        <v>90478.542019463828</v>
      </c>
      <c r="H39" s="253">
        <f t="shared" si="6"/>
        <v>10758.930434183865</v>
      </c>
      <c r="I39" s="83">
        <f t="shared" si="7"/>
        <v>1930.6499535194221</v>
      </c>
      <c r="J39" s="253">
        <f t="shared" si="8"/>
        <v>13384893.311547128</v>
      </c>
      <c r="K39" s="83">
        <f t="shared" si="9"/>
        <v>93234.337972983238</v>
      </c>
      <c r="L39" s="253">
        <f t="shared" si="10"/>
        <v>19988.153875042677</v>
      </c>
      <c r="M39" s="83">
        <f t="shared" si="11"/>
        <v>4264</v>
      </c>
      <c r="N39" s="253">
        <f t="shared" si="12"/>
        <v>3595.9120752462186</v>
      </c>
      <c r="O39" s="83">
        <f t="shared" si="13"/>
        <v>767.10281423211916</v>
      </c>
      <c r="P39" s="253">
        <f t="shared" si="14"/>
        <v>13381297.399471883</v>
      </c>
      <c r="Q39" s="85">
        <f t="shared" si="15"/>
        <v>92467.235158751122</v>
      </c>
      <c r="R39" s="353">
        <f t="shared" si="16"/>
        <v>224857320.26841643</v>
      </c>
      <c r="S39" s="354">
        <f>R39*NPV!C40</f>
        <v>18395316.154442493</v>
      </c>
      <c r="T39" s="175"/>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c r="BX39" s="170"/>
      <c r="BY39" s="170"/>
      <c r="BZ39" s="170"/>
    </row>
    <row r="40" spans="1:78" ht="13.5" thickBot="1" x14ac:dyDescent="0.25">
      <c r="A40" s="86">
        <f t="shared" si="19"/>
        <v>2056</v>
      </c>
      <c r="B40" s="254">
        <f t="shared" si="0"/>
        <v>17421</v>
      </c>
      <c r="C40" s="87">
        <f t="shared" si="1"/>
        <v>3568</v>
      </c>
      <c r="D40" s="254">
        <f t="shared" si="2"/>
        <v>4064.8696666666665</v>
      </c>
      <c r="E40" s="87">
        <f t="shared" si="3"/>
        <v>832.56366666666679</v>
      </c>
      <c r="F40" s="254">
        <f t="shared" si="4"/>
        <v>53173547.055052608</v>
      </c>
      <c r="G40" s="87">
        <f t="shared" si="5"/>
        <v>91806.62466587378</v>
      </c>
      <c r="H40" s="254">
        <f t="shared" si="6"/>
        <v>10879.211703131885</v>
      </c>
      <c r="I40" s="87">
        <f t="shared" si="7"/>
        <v>1949.5339972207817</v>
      </c>
      <c r="J40" s="254">
        <f t="shared" si="8"/>
        <v>53188491.136422403</v>
      </c>
      <c r="K40" s="87">
        <f t="shared" si="9"/>
        <v>94588.722329761236</v>
      </c>
      <c r="L40" s="254">
        <f t="shared" si="10"/>
        <v>20168</v>
      </c>
      <c r="M40" s="87">
        <f t="shared" si="11"/>
        <v>4303</v>
      </c>
      <c r="N40" s="254">
        <f t="shared" si="12"/>
        <v>3628.2630322485329</v>
      </c>
      <c r="O40" s="87">
        <f t="shared" si="13"/>
        <v>774.11819852069789</v>
      </c>
      <c r="P40" s="254">
        <f t="shared" si="14"/>
        <v>53184862.873390153</v>
      </c>
      <c r="Q40" s="87">
        <f t="shared" si="15"/>
        <v>93814.604131240543</v>
      </c>
      <c r="R40" s="355">
        <f t="shared" si="16"/>
        <v>885636254.52014828</v>
      </c>
      <c r="S40" s="356">
        <f>R40*NPV!C41</f>
        <v>67712965.550265104</v>
      </c>
      <c r="T40" s="175"/>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c r="BX40" s="170"/>
      <c r="BY40" s="170"/>
      <c r="BZ40" s="170"/>
    </row>
    <row r="41" spans="1:78" ht="13.5" thickTop="1" x14ac:dyDescent="0.2">
      <c r="A41" s="170"/>
      <c r="B41" s="170"/>
      <c r="C41" s="170"/>
      <c r="D41" s="170"/>
      <c r="E41" s="170"/>
      <c r="F41" s="170"/>
      <c r="G41" s="170"/>
      <c r="H41" s="255"/>
      <c r="I41" s="255"/>
      <c r="J41" s="255"/>
      <c r="K41" s="256"/>
      <c r="L41" s="255"/>
      <c r="M41" s="256"/>
      <c r="N41" s="256"/>
      <c r="O41" s="175"/>
      <c r="P41" s="474" t="s">
        <v>0</v>
      </c>
      <c r="Q41" s="475"/>
      <c r="R41" s="357">
        <f>SUM(R11:R40)</f>
        <v>2101397400.0210531</v>
      </c>
      <c r="S41" s="358">
        <f>SUM(S11:S40)</f>
        <v>259257785.52711612</v>
      </c>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c r="BZ41" s="170"/>
    </row>
    <row r="42" spans="1:78" ht="18" x14ac:dyDescent="0.25">
      <c r="A42" s="251" t="s">
        <v>100</v>
      </c>
      <c r="B42" s="170"/>
      <c r="C42" s="170"/>
      <c r="D42" s="170"/>
      <c r="E42" s="170"/>
      <c r="F42" s="257"/>
      <c r="G42" s="257"/>
      <c r="H42" s="170"/>
      <c r="I42" s="170"/>
      <c r="J42" s="170"/>
      <c r="K42" s="170"/>
      <c r="L42" s="170"/>
      <c r="M42" s="170"/>
      <c r="N42" s="175"/>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row>
    <row r="43" spans="1:78" x14ac:dyDescent="0.2">
      <c r="A43" s="170"/>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c r="BX43" s="170"/>
      <c r="BY43" s="170"/>
      <c r="BZ43" s="170"/>
    </row>
    <row r="44" spans="1:78" ht="13.15" customHeight="1" x14ac:dyDescent="0.2">
      <c r="A44" s="476" t="s">
        <v>1</v>
      </c>
      <c r="B44" s="397" t="s">
        <v>89</v>
      </c>
      <c r="C44" s="398"/>
      <c r="D44" s="398"/>
      <c r="E44" s="399"/>
      <c r="F44" s="397" t="s">
        <v>42</v>
      </c>
      <c r="G44" s="398"/>
      <c r="H44" s="398"/>
      <c r="I44" s="399"/>
      <c r="J44" s="464" t="s">
        <v>93</v>
      </c>
      <c r="K44" s="465"/>
      <c r="L44" s="468" t="s">
        <v>102</v>
      </c>
      <c r="M44" s="468" t="s">
        <v>103</v>
      </c>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row>
    <row r="45" spans="1:78" ht="26.45" customHeight="1" x14ac:dyDescent="0.2">
      <c r="A45" s="476"/>
      <c r="B45" s="471" t="s">
        <v>282</v>
      </c>
      <c r="C45" s="472"/>
      <c r="D45" s="471" t="s">
        <v>94</v>
      </c>
      <c r="E45" s="472"/>
      <c r="F45" s="471" t="s">
        <v>282</v>
      </c>
      <c r="G45" s="472"/>
      <c r="H45" s="471" t="s">
        <v>94</v>
      </c>
      <c r="I45" s="472"/>
      <c r="J45" s="466"/>
      <c r="K45" s="467"/>
      <c r="L45" s="469"/>
      <c r="M45" s="469"/>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c r="BX45" s="170"/>
      <c r="BY45" s="170"/>
      <c r="BZ45" s="170"/>
    </row>
    <row r="46" spans="1:78" ht="26.25" thickBot="1" x14ac:dyDescent="0.25">
      <c r="A46" s="476"/>
      <c r="B46" s="241" t="s">
        <v>34</v>
      </c>
      <c r="C46" s="241" t="s">
        <v>35</v>
      </c>
      <c r="D46" s="241" t="s">
        <v>34</v>
      </c>
      <c r="E46" s="241" t="s">
        <v>35</v>
      </c>
      <c r="F46" s="241" t="s">
        <v>34</v>
      </c>
      <c r="G46" s="243" t="s">
        <v>35</v>
      </c>
      <c r="H46" s="241" t="s">
        <v>34</v>
      </c>
      <c r="I46" s="241" t="s">
        <v>35</v>
      </c>
      <c r="J46" s="241" t="s">
        <v>34</v>
      </c>
      <c r="K46" s="241" t="s">
        <v>35</v>
      </c>
      <c r="L46" s="470"/>
      <c r="M46" s="4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c r="BX46" s="170"/>
      <c r="BY46" s="170"/>
      <c r="BZ46" s="170"/>
    </row>
    <row r="47" spans="1:78" ht="13.5" thickTop="1" x14ac:dyDescent="0.2">
      <c r="A47" s="84">
        <v>2027</v>
      </c>
      <c r="B47" s="253">
        <f t="shared" ref="B47:C76" si="20">B11</f>
        <v>12280</v>
      </c>
      <c r="C47" s="83">
        <f t="shared" si="20"/>
        <v>2515</v>
      </c>
      <c r="D47" s="253">
        <f t="shared" ref="D47:D76" si="21">S183</f>
        <v>36977698.3125</v>
      </c>
      <c r="E47" s="83">
        <f t="shared" ref="E47:E76" si="22">R183</f>
        <v>7573745.4375000009</v>
      </c>
      <c r="F47" s="253">
        <f t="shared" ref="F47:F76" si="23">H183</f>
        <v>14118</v>
      </c>
      <c r="G47" s="83">
        <f t="shared" ref="G47:G76" si="24">G183</f>
        <v>3012</v>
      </c>
      <c r="H47" s="253">
        <f t="shared" ref="H47:H76" si="25">U183</f>
        <v>39062337.24278459</v>
      </c>
      <c r="I47" s="83">
        <f t="shared" ref="I47:I76" si="26">T183</f>
        <v>8333741.3072154103</v>
      </c>
      <c r="J47" s="253">
        <f t="shared" ref="J47:K60" si="27">D47-H47</f>
        <v>-2084638.9302845895</v>
      </c>
      <c r="K47" s="85">
        <f t="shared" si="27"/>
        <v>-759995.86971540935</v>
      </c>
      <c r="L47" s="353">
        <f t="shared" ref="L47:L76" si="28">(J47*$A$299)+(K47*$A$298)</f>
        <v>-1584297.9963434746</v>
      </c>
      <c r="M47" s="354">
        <f>L47*NPV!C12</f>
        <v>-861753.13851967303</v>
      </c>
      <c r="N47" s="175"/>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c r="BX47" s="170"/>
      <c r="BY47" s="170"/>
      <c r="BZ47" s="170"/>
    </row>
    <row r="48" spans="1:78" x14ac:dyDescent="0.2">
      <c r="A48" s="84">
        <f t="shared" ref="A48:A76" si="29">A47+1</f>
        <v>2028</v>
      </c>
      <c r="B48" s="253">
        <f t="shared" si="20"/>
        <v>12477</v>
      </c>
      <c r="C48" s="83">
        <f t="shared" si="20"/>
        <v>2555</v>
      </c>
      <c r="D48" s="253">
        <f t="shared" si="21"/>
        <v>37570041.299999997</v>
      </c>
      <c r="E48" s="83">
        <f t="shared" si="22"/>
        <v>7695068.7000000002</v>
      </c>
      <c r="F48" s="253">
        <f t="shared" si="23"/>
        <v>14344</v>
      </c>
      <c r="G48" s="83">
        <f t="shared" si="24"/>
        <v>3060</v>
      </c>
      <c r="H48" s="253">
        <f t="shared" si="25"/>
        <v>39687626.509675935</v>
      </c>
      <c r="I48" s="83">
        <f t="shared" si="26"/>
        <v>8466546.0903240629</v>
      </c>
      <c r="J48" s="253">
        <f t="shared" si="27"/>
        <v>-2117585.2096759379</v>
      </c>
      <c r="K48" s="85">
        <f t="shared" si="27"/>
        <v>-771477.39032406267</v>
      </c>
      <c r="L48" s="353">
        <f t="shared" si="28"/>
        <v>-1608828.2306782347</v>
      </c>
      <c r="M48" s="354">
        <f>L48*NPV!C13</f>
        <v>-817846.69223163114</v>
      </c>
      <c r="N48" s="175"/>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s="170"/>
      <c r="BX48" s="170"/>
      <c r="BY48" s="170"/>
      <c r="BZ48" s="170"/>
    </row>
    <row r="49" spans="1:78" x14ac:dyDescent="0.2">
      <c r="A49" s="84">
        <f t="shared" si="29"/>
        <v>2029</v>
      </c>
      <c r="B49" s="253">
        <f t="shared" si="20"/>
        <v>12677</v>
      </c>
      <c r="C49" s="83">
        <f t="shared" si="20"/>
        <v>2596</v>
      </c>
      <c r="D49" s="253">
        <f t="shared" si="21"/>
        <v>38172381.637500003</v>
      </c>
      <c r="E49" s="83">
        <f t="shared" si="22"/>
        <v>7818439.6125000007</v>
      </c>
      <c r="F49" s="253">
        <f t="shared" si="23"/>
        <v>14574</v>
      </c>
      <c r="G49" s="83">
        <f t="shared" si="24"/>
        <v>3109</v>
      </c>
      <c r="H49" s="253">
        <f t="shared" si="25"/>
        <v>40323985.566996545</v>
      </c>
      <c r="I49" s="83">
        <f t="shared" si="26"/>
        <v>8602118.2330034487</v>
      </c>
      <c r="J49" s="253">
        <f t="shared" si="27"/>
        <v>-2151603.9294965416</v>
      </c>
      <c r="K49" s="85">
        <f t="shared" si="27"/>
        <v>-783678.62050344795</v>
      </c>
      <c r="L49" s="353">
        <f t="shared" si="28"/>
        <v>-1634489.086776892</v>
      </c>
      <c r="M49" s="354">
        <f>L49*NPV!C14</f>
        <v>-776533.99090182642</v>
      </c>
      <c r="N49" s="175"/>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s="170"/>
      <c r="BX49" s="170"/>
      <c r="BY49" s="170"/>
      <c r="BZ49" s="170"/>
    </row>
    <row r="50" spans="1:78" x14ac:dyDescent="0.2">
      <c r="A50" s="84">
        <f t="shared" si="29"/>
        <v>2030</v>
      </c>
      <c r="B50" s="253">
        <f t="shared" si="20"/>
        <v>12879</v>
      </c>
      <c r="C50" s="83">
        <f t="shared" si="20"/>
        <v>2638</v>
      </c>
      <c r="D50" s="253">
        <f t="shared" si="21"/>
        <v>38782219.987499997</v>
      </c>
      <c r="E50" s="83">
        <f t="shared" si="22"/>
        <v>7943346.2625000002</v>
      </c>
      <c r="F50" s="253">
        <f t="shared" si="23"/>
        <v>14807</v>
      </c>
      <c r="G50" s="83">
        <f t="shared" si="24"/>
        <v>3159</v>
      </c>
      <c r="H50" s="253">
        <f t="shared" si="25"/>
        <v>40968746.960998558</v>
      </c>
      <c r="I50" s="83">
        <f t="shared" si="26"/>
        <v>8740478.9390014485</v>
      </c>
      <c r="J50" s="253">
        <f t="shared" si="27"/>
        <v>-2186526.9734985605</v>
      </c>
      <c r="K50" s="85">
        <f t="shared" si="27"/>
        <v>-797132.67650144827</v>
      </c>
      <c r="L50" s="353">
        <f t="shared" si="28"/>
        <v>-1661723.4285758</v>
      </c>
      <c r="M50" s="354">
        <f>L50*NPV!C15</f>
        <v>-737825.07523817301</v>
      </c>
      <c r="N50" s="175"/>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70"/>
      <c r="BU50" s="170"/>
      <c r="BV50" s="170"/>
      <c r="BW50" s="170"/>
      <c r="BX50" s="170"/>
      <c r="BY50" s="170"/>
      <c r="BZ50" s="170"/>
    </row>
    <row r="51" spans="1:78" x14ac:dyDescent="0.2">
      <c r="A51" s="84">
        <f t="shared" si="29"/>
        <v>2031</v>
      </c>
      <c r="B51" s="253">
        <f t="shared" si="20"/>
        <v>13085</v>
      </c>
      <c r="C51" s="83">
        <f t="shared" si="20"/>
        <v>2680</v>
      </c>
      <c r="D51" s="253">
        <f t="shared" si="21"/>
        <v>39402055.6875</v>
      </c>
      <c r="E51" s="83">
        <f t="shared" si="22"/>
        <v>8070300.5625000009</v>
      </c>
      <c r="F51" s="253">
        <f t="shared" si="23"/>
        <v>15044</v>
      </c>
      <c r="G51" s="83">
        <f t="shared" si="24"/>
        <v>3209</v>
      </c>
      <c r="H51" s="253">
        <f t="shared" si="25"/>
        <v>41624427.854697861</v>
      </c>
      <c r="I51" s="83">
        <f t="shared" si="26"/>
        <v>8878808.0953021422</v>
      </c>
      <c r="J51" s="253">
        <f t="shared" si="27"/>
        <v>-2222372.1671978608</v>
      </c>
      <c r="K51" s="85">
        <f t="shared" si="27"/>
        <v>-808507.53280214127</v>
      </c>
      <c r="L51" s="353">
        <f t="shared" si="28"/>
        <v>-1687339.8200411783</v>
      </c>
      <c r="M51" s="354">
        <f>L51*NPV!C16</f>
        <v>-700186.03682373196</v>
      </c>
      <c r="N51" s="175"/>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c r="BU51" s="170"/>
      <c r="BV51" s="170"/>
      <c r="BW51" s="170"/>
      <c r="BX51" s="170"/>
      <c r="BY51" s="170"/>
      <c r="BZ51" s="170"/>
    </row>
    <row r="52" spans="1:78" x14ac:dyDescent="0.2">
      <c r="A52" s="84">
        <f t="shared" si="29"/>
        <v>2032</v>
      </c>
      <c r="B52" s="253">
        <f t="shared" si="20"/>
        <v>13295</v>
      </c>
      <c r="C52" s="83">
        <f t="shared" si="20"/>
        <v>2723</v>
      </c>
      <c r="D52" s="253">
        <f t="shared" si="21"/>
        <v>40034388.075000003</v>
      </c>
      <c r="E52" s="83">
        <f t="shared" si="22"/>
        <v>8199814.4250000007</v>
      </c>
      <c r="F52" s="253">
        <f t="shared" si="23"/>
        <v>15284</v>
      </c>
      <c r="G52" s="83">
        <f t="shared" si="24"/>
        <v>3261</v>
      </c>
      <c r="H52" s="253">
        <f t="shared" si="25"/>
        <v>42288411.693966031</v>
      </c>
      <c r="I52" s="83">
        <f t="shared" si="26"/>
        <v>9022671.4560339712</v>
      </c>
      <c r="J52" s="253">
        <f t="shared" si="27"/>
        <v>-2254023.6189660281</v>
      </c>
      <c r="K52" s="85">
        <f t="shared" si="27"/>
        <v>-822857.03103397042</v>
      </c>
      <c r="L52" s="353">
        <f t="shared" si="28"/>
        <v>-1714092.433568683</v>
      </c>
      <c r="M52" s="354">
        <f>L52*NPV!C17</f>
        <v>-664754.59843527887</v>
      </c>
      <c r="N52" s="175"/>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s="170"/>
      <c r="BX52" s="170"/>
      <c r="BY52" s="170"/>
      <c r="BZ52" s="170"/>
    </row>
    <row r="53" spans="1:78" x14ac:dyDescent="0.2">
      <c r="A53" s="84">
        <f t="shared" si="29"/>
        <v>2033</v>
      </c>
      <c r="B53" s="253">
        <f t="shared" si="20"/>
        <v>13507</v>
      </c>
      <c r="C53" s="83">
        <f t="shared" si="20"/>
        <v>2767</v>
      </c>
      <c r="D53" s="253">
        <f t="shared" si="21"/>
        <v>40674218.475000001</v>
      </c>
      <c r="E53" s="83">
        <f t="shared" si="22"/>
        <v>8330864.0250000004</v>
      </c>
      <c r="F53" s="253">
        <f t="shared" si="23"/>
        <v>15529</v>
      </c>
      <c r="G53" s="83">
        <f t="shared" si="24"/>
        <v>3313</v>
      </c>
      <c r="H53" s="253">
        <f t="shared" si="25"/>
        <v>42966481.850018576</v>
      </c>
      <c r="I53" s="83">
        <f t="shared" si="26"/>
        <v>9166588.5999814253</v>
      </c>
      <c r="J53" s="253">
        <f t="shared" si="27"/>
        <v>-2292263.3750185743</v>
      </c>
      <c r="K53" s="85">
        <f t="shared" si="27"/>
        <v>-835724.57498142496</v>
      </c>
      <c r="L53" s="353">
        <f t="shared" si="28"/>
        <v>-1742123.5757397832</v>
      </c>
      <c r="M53" s="354">
        <f>L53*NPV!C18</f>
        <v>-631425.75575199933</v>
      </c>
      <c r="N53" s="175"/>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0"/>
      <c r="BW53" s="170"/>
      <c r="BX53" s="170"/>
      <c r="BY53" s="170"/>
      <c r="BZ53" s="170"/>
    </row>
    <row r="54" spans="1:78" x14ac:dyDescent="0.2">
      <c r="A54" s="84">
        <f t="shared" si="29"/>
        <v>2034</v>
      </c>
      <c r="B54" s="253">
        <f t="shared" si="20"/>
        <v>13723</v>
      </c>
      <c r="C54" s="83">
        <f t="shared" si="20"/>
        <v>2811</v>
      </c>
      <c r="D54" s="253">
        <f t="shared" si="21"/>
        <v>41324046.225000001</v>
      </c>
      <c r="E54" s="83">
        <f t="shared" si="22"/>
        <v>8463961.2750000004</v>
      </c>
      <c r="F54" s="253">
        <f t="shared" si="23"/>
        <v>15778</v>
      </c>
      <c r="G54" s="83">
        <f t="shared" si="24"/>
        <v>3366</v>
      </c>
      <c r="H54" s="253">
        <f t="shared" si="25"/>
        <v>43655372.115916215</v>
      </c>
      <c r="I54" s="83">
        <f t="shared" si="26"/>
        <v>9313219.8340837862</v>
      </c>
      <c r="J54" s="253">
        <f t="shared" si="27"/>
        <v>-2331325.8909162134</v>
      </c>
      <c r="K54" s="85">
        <f t="shared" si="27"/>
        <v>-849258.55908378586</v>
      </c>
      <c r="L54" s="353">
        <f t="shared" si="28"/>
        <v>-1771131.8319960819</v>
      </c>
      <c r="M54" s="354">
        <f>L54*NPV!C19</f>
        <v>-599943.62875594432</v>
      </c>
      <c r="N54" s="175"/>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0"/>
      <c r="BR54" s="170"/>
      <c r="BS54" s="170"/>
      <c r="BT54" s="170"/>
      <c r="BU54" s="170"/>
      <c r="BV54" s="170"/>
      <c r="BW54" s="170"/>
      <c r="BX54" s="170"/>
      <c r="BY54" s="170"/>
      <c r="BZ54" s="170"/>
    </row>
    <row r="55" spans="1:78" x14ac:dyDescent="0.2">
      <c r="A55" s="84">
        <f t="shared" si="29"/>
        <v>2035</v>
      </c>
      <c r="B55" s="253">
        <f t="shared" si="20"/>
        <v>13943</v>
      </c>
      <c r="C55" s="83">
        <f t="shared" si="20"/>
        <v>2856</v>
      </c>
      <c r="D55" s="253">
        <f t="shared" si="21"/>
        <v>41986370.662500001</v>
      </c>
      <c r="E55" s="83">
        <f t="shared" si="22"/>
        <v>8599618.0875000004</v>
      </c>
      <c r="F55" s="253">
        <f t="shared" si="23"/>
        <v>16029</v>
      </c>
      <c r="G55" s="83">
        <f t="shared" si="24"/>
        <v>3420</v>
      </c>
      <c r="H55" s="253">
        <f t="shared" si="25"/>
        <v>44349747.580819063</v>
      </c>
      <c r="I55" s="83">
        <f t="shared" si="26"/>
        <v>9462607.5691809338</v>
      </c>
      <c r="J55" s="253">
        <f t="shared" si="27"/>
        <v>-2363376.9183190614</v>
      </c>
      <c r="K55" s="85">
        <f t="shared" si="27"/>
        <v>-862989.48168093339</v>
      </c>
      <c r="L55" s="353">
        <f t="shared" si="28"/>
        <v>-1797454.4389245112</v>
      </c>
      <c r="M55" s="354">
        <f>L55*NPV!C20</f>
        <v>-569028.04338953632</v>
      </c>
      <c r="N55" s="175"/>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c r="BX55" s="170"/>
      <c r="BY55" s="170"/>
      <c r="BZ55" s="170"/>
    </row>
    <row r="56" spans="1:78" x14ac:dyDescent="0.2">
      <c r="A56" s="84">
        <f t="shared" si="29"/>
        <v>2036</v>
      </c>
      <c r="B56" s="253">
        <f t="shared" si="20"/>
        <v>14166</v>
      </c>
      <c r="C56" s="83">
        <f t="shared" si="20"/>
        <v>2902</v>
      </c>
      <c r="D56" s="253">
        <f t="shared" si="21"/>
        <v>42658692.450000003</v>
      </c>
      <c r="E56" s="83">
        <f t="shared" si="22"/>
        <v>8737322.5500000007</v>
      </c>
      <c r="F56" s="253">
        <f t="shared" si="23"/>
        <v>16286</v>
      </c>
      <c r="G56" s="83">
        <f t="shared" si="24"/>
        <v>3474</v>
      </c>
      <c r="H56" s="253">
        <f t="shared" si="25"/>
        <v>45060876.819038466</v>
      </c>
      <c r="I56" s="83">
        <f t="shared" si="26"/>
        <v>9612027.8809615392</v>
      </c>
      <c r="J56" s="253">
        <f t="shared" si="27"/>
        <v>-2402184.3690384626</v>
      </c>
      <c r="K56" s="85">
        <f t="shared" si="27"/>
        <v>-874705.33096153848</v>
      </c>
      <c r="L56" s="353">
        <f t="shared" si="28"/>
        <v>-1824612.7090288466</v>
      </c>
      <c r="M56" s="354">
        <f>L56*NPV!C21</f>
        <v>-539837.06186343532</v>
      </c>
      <c r="N56" s="175"/>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0"/>
      <c r="BS56" s="170"/>
      <c r="BT56" s="170"/>
      <c r="BU56" s="170"/>
      <c r="BV56" s="170"/>
      <c r="BW56" s="170"/>
      <c r="BX56" s="170"/>
      <c r="BY56" s="170"/>
      <c r="BZ56" s="170"/>
    </row>
    <row r="57" spans="1:78" x14ac:dyDescent="0.2">
      <c r="A57" s="84">
        <f t="shared" si="29"/>
        <v>2037</v>
      </c>
      <c r="B57" s="253">
        <f t="shared" si="20"/>
        <v>14393</v>
      </c>
      <c r="C57" s="83">
        <f t="shared" si="20"/>
        <v>2948</v>
      </c>
      <c r="D57" s="253">
        <f t="shared" si="21"/>
        <v>43341011.587499999</v>
      </c>
      <c r="E57" s="83">
        <f t="shared" si="22"/>
        <v>8877074.6625000015</v>
      </c>
      <c r="F57" s="253">
        <f t="shared" si="23"/>
        <v>16547</v>
      </c>
      <c r="G57" s="83">
        <f t="shared" si="24"/>
        <v>3530</v>
      </c>
      <c r="H57" s="253">
        <f t="shared" si="25"/>
        <v>45782976.455374308</v>
      </c>
      <c r="I57" s="83">
        <f t="shared" si="26"/>
        <v>9766961.1946256906</v>
      </c>
      <c r="J57" s="253">
        <f t="shared" si="27"/>
        <v>-2441964.8678743094</v>
      </c>
      <c r="K57" s="85">
        <f t="shared" si="27"/>
        <v>-889886.53212568909</v>
      </c>
      <c r="L57" s="353">
        <f t="shared" si="28"/>
        <v>-1855496.6666691285</v>
      </c>
      <c r="M57" s="354">
        <f>L57*NPV!C22</f>
        <v>-513060.29020784999</v>
      </c>
      <c r="N57" s="175"/>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c r="BX57" s="170"/>
      <c r="BY57" s="170"/>
      <c r="BZ57" s="170"/>
    </row>
    <row r="58" spans="1:78" x14ac:dyDescent="0.2">
      <c r="A58" s="84">
        <f t="shared" si="29"/>
        <v>2038</v>
      </c>
      <c r="B58" s="253">
        <f t="shared" si="20"/>
        <v>14623</v>
      </c>
      <c r="C58" s="83">
        <f t="shared" si="20"/>
        <v>2995</v>
      </c>
      <c r="D58" s="253">
        <f t="shared" si="21"/>
        <v>44033328.075000003</v>
      </c>
      <c r="E58" s="83">
        <f t="shared" si="22"/>
        <v>9018874.4250000007</v>
      </c>
      <c r="F58" s="253">
        <f t="shared" si="23"/>
        <v>16811</v>
      </c>
      <c r="G58" s="83">
        <f t="shared" si="24"/>
        <v>3587</v>
      </c>
      <c r="H58" s="253">
        <f t="shared" si="25"/>
        <v>46513478.428105697</v>
      </c>
      <c r="I58" s="83">
        <f t="shared" si="26"/>
        <v>9924683.071894303</v>
      </c>
      <c r="J58" s="253">
        <f t="shared" si="27"/>
        <v>-2480150.3531056941</v>
      </c>
      <c r="K58" s="85">
        <f t="shared" si="27"/>
        <v>-905808.64689430222</v>
      </c>
      <c r="L58" s="353">
        <f t="shared" si="28"/>
        <v>-1886437.9457918648</v>
      </c>
      <c r="M58" s="354">
        <f>L58*NPV!C23</f>
        <v>-487491.41282177658</v>
      </c>
      <c r="N58" s="175"/>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c r="BX58" s="170"/>
      <c r="BY58" s="170"/>
      <c r="BZ58" s="170"/>
    </row>
    <row r="59" spans="1:78" x14ac:dyDescent="0.2">
      <c r="A59" s="84">
        <f t="shared" si="29"/>
        <v>2039</v>
      </c>
      <c r="B59" s="253">
        <f t="shared" si="20"/>
        <v>14857</v>
      </c>
      <c r="C59" s="83">
        <f t="shared" si="20"/>
        <v>3043</v>
      </c>
      <c r="D59" s="253">
        <f t="shared" si="21"/>
        <v>44738141.25</v>
      </c>
      <c r="E59" s="83">
        <f t="shared" si="22"/>
        <v>9163233.75</v>
      </c>
      <c r="F59" s="253">
        <f t="shared" si="23"/>
        <v>17081</v>
      </c>
      <c r="G59" s="83">
        <f t="shared" si="24"/>
        <v>3644</v>
      </c>
      <c r="H59" s="253">
        <f t="shared" si="25"/>
        <v>47260484.493063934</v>
      </c>
      <c r="I59" s="83">
        <f t="shared" si="26"/>
        <v>10082384.256936068</v>
      </c>
      <c r="J59" s="253">
        <f t="shared" si="27"/>
        <v>-2522343.2430639341</v>
      </c>
      <c r="K59" s="85">
        <f t="shared" si="27"/>
        <v>-919150.50693606772</v>
      </c>
      <c r="L59" s="353">
        <f t="shared" si="28"/>
        <v>-1916545.2163148378</v>
      </c>
      <c r="M59" s="354">
        <f>L59*NPV!C24</f>
        <v>-462870.75107268285</v>
      </c>
      <c r="N59" s="175"/>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c r="BX59" s="170"/>
      <c r="BY59" s="170"/>
      <c r="BZ59" s="170"/>
    </row>
    <row r="60" spans="1:78" x14ac:dyDescent="0.2">
      <c r="A60" s="84">
        <f t="shared" si="29"/>
        <v>2040</v>
      </c>
      <c r="B60" s="253">
        <f t="shared" si="20"/>
        <v>15094</v>
      </c>
      <c r="C60" s="83">
        <f t="shared" si="20"/>
        <v>3092</v>
      </c>
      <c r="D60" s="253">
        <f t="shared" si="21"/>
        <v>45452951.774999999</v>
      </c>
      <c r="E60" s="83">
        <f t="shared" si="22"/>
        <v>9309640.7250000015</v>
      </c>
      <c r="F60" s="253">
        <f t="shared" si="23"/>
        <v>17354</v>
      </c>
      <c r="G60" s="83">
        <f t="shared" si="24"/>
        <v>3702</v>
      </c>
      <c r="H60" s="253">
        <f t="shared" si="25"/>
        <v>48015892.894310407</v>
      </c>
      <c r="I60" s="83">
        <f t="shared" si="26"/>
        <v>10242874.005689589</v>
      </c>
      <c r="J60" s="253">
        <f t="shared" si="27"/>
        <v>-2562941.1193104088</v>
      </c>
      <c r="K60" s="85">
        <f t="shared" si="27"/>
        <v>-933233.28068958782</v>
      </c>
      <c r="L60" s="353">
        <f t="shared" si="28"/>
        <v>-1946709.8083792718</v>
      </c>
      <c r="M60" s="354">
        <f>L60*NPV!C25</f>
        <v>-439398.03253502387</v>
      </c>
      <c r="N60" s="175"/>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row>
    <row r="61" spans="1:78" x14ac:dyDescent="0.2">
      <c r="A61" s="84">
        <f t="shared" si="29"/>
        <v>2041</v>
      </c>
      <c r="B61" s="253">
        <f t="shared" si="20"/>
        <v>15230</v>
      </c>
      <c r="C61" s="83">
        <f t="shared" si="20"/>
        <v>3120</v>
      </c>
      <c r="D61" s="253">
        <f t="shared" si="21"/>
        <v>45862843.125</v>
      </c>
      <c r="E61" s="83">
        <f t="shared" si="22"/>
        <v>9393594.375</v>
      </c>
      <c r="F61" s="253">
        <f t="shared" si="23"/>
        <v>17632</v>
      </c>
      <c r="G61" s="83">
        <f t="shared" si="24"/>
        <v>3761</v>
      </c>
      <c r="H61" s="253">
        <f t="shared" si="25"/>
        <v>48785038.539260507</v>
      </c>
      <c r="I61" s="83">
        <f t="shared" si="26"/>
        <v>10406109.910739494</v>
      </c>
      <c r="J61" s="253">
        <f t="shared" ref="J61:K76" si="30">D61-H61</f>
        <v>-2922195.4142605066</v>
      </c>
      <c r="K61" s="85">
        <f t="shared" si="30"/>
        <v>-1012515.5357394945</v>
      </c>
      <c r="L61" s="353">
        <f t="shared" si="28"/>
        <v>-2170115.034156722</v>
      </c>
      <c r="M61" s="354">
        <f>L61*NPV!C26</f>
        <v>-457779.00295594905</v>
      </c>
      <c r="N61" s="175"/>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c r="BX61" s="170"/>
      <c r="BY61" s="170"/>
      <c r="BZ61" s="170"/>
    </row>
    <row r="62" spans="1:78" x14ac:dyDescent="0.2">
      <c r="A62" s="84">
        <f t="shared" si="29"/>
        <v>2042</v>
      </c>
      <c r="B62" s="253">
        <f t="shared" si="20"/>
        <v>15367</v>
      </c>
      <c r="C62" s="83">
        <f t="shared" si="20"/>
        <v>3148</v>
      </c>
      <c r="D62" s="253">
        <f t="shared" si="21"/>
        <v>46275233.8125</v>
      </c>
      <c r="E62" s="83">
        <f t="shared" si="22"/>
        <v>9478059.9375</v>
      </c>
      <c r="F62" s="253">
        <f t="shared" si="23"/>
        <v>17790</v>
      </c>
      <c r="G62" s="83">
        <f t="shared" si="24"/>
        <v>3795</v>
      </c>
      <c r="H62" s="253">
        <f t="shared" si="25"/>
        <v>49222092.872063935</v>
      </c>
      <c r="I62" s="83">
        <f t="shared" si="26"/>
        <v>10500159.777936066</v>
      </c>
      <c r="J62" s="253">
        <f t="shared" si="30"/>
        <v>-2946859.0595639348</v>
      </c>
      <c r="K62" s="85">
        <f t="shared" si="30"/>
        <v>-1022099.8404360656</v>
      </c>
      <c r="L62" s="353">
        <f t="shared" si="28"/>
        <v>-2189428.0612398358</v>
      </c>
      <c r="M62" s="354">
        <f>L62*NPV!C27</f>
        <v>-431638.34189447999</v>
      </c>
      <c r="N62" s="175"/>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row>
    <row r="63" spans="1:78" x14ac:dyDescent="0.2">
      <c r="A63" s="84">
        <f t="shared" si="29"/>
        <v>2043</v>
      </c>
      <c r="B63" s="253">
        <f t="shared" si="20"/>
        <v>15505</v>
      </c>
      <c r="C63" s="83">
        <f t="shared" si="20"/>
        <v>3176</v>
      </c>
      <c r="D63" s="253">
        <f t="shared" si="21"/>
        <v>46690123.837499999</v>
      </c>
      <c r="E63" s="83">
        <f t="shared" si="22"/>
        <v>9563037.4125000015</v>
      </c>
      <c r="F63" s="253">
        <f t="shared" si="23"/>
        <v>17950</v>
      </c>
      <c r="G63" s="83">
        <f t="shared" si="24"/>
        <v>3830</v>
      </c>
      <c r="H63" s="253">
        <f t="shared" si="25"/>
        <v>49664882.090220384</v>
      </c>
      <c r="I63" s="83">
        <f t="shared" si="26"/>
        <v>10597019.409779616</v>
      </c>
      <c r="J63" s="253">
        <f t="shared" si="30"/>
        <v>-2974758.2527203858</v>
      </c>
      <c r="K63" s="85">
        <f t="shared" si="30"/>
        <v>-1033981.9972796142</v>
      </c>
      <c r="L63" s="353">
        <f t="shared" si="28"/>
        <v>-2212273.6010037875</v>
      </c>
      <c r="M63" s="354">
        <f>L63*NPV!C28</f>
        <v>-407609.59143911104</v>
      </c>
      <c r="N63" s="175"/>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70"/>
      <c r="BU63" s="170"/>
      <c r="BV63" s="170"/>
      <c r="BW63" s="170"/>
      <c r="BX63" s="170"/>
      <c r="BY63" s="170"/>
      <c r="BZ63" s="170"/>
    </row>
    <row r="64" spans="1:78" x14ac:dyDescent="0.2">
      <c r="A64" s="84">
        <f t="shared" si="29"/>
        <v>2044</v>
      </c>
      <c r="B64" s="253">
        <f t="shared" si="20"/>
        <v>15645</v>
      </c>
      <c r="C64" s="83">
        <f t="shared" si="20"/>
        <v>3205</v>
      </c>
      <c r="D64" s="253">
        <f t="shared" si="21"/>
        <v>47112511.875</v>
      </c>
      <c r="E64" s="83">
        <f t="shared" si="22"/>
        <v>9649550.625</v>
      </c>
      <c r="F64" s="253">
        <f t="shared" si="23"/>
        <v>18112</v>
      </c>
      <c r="G64" s="83">
        <f t="shared" si="24"/>
        <v>3864</v>
      </c>
      <c r="H64" s="253">
        <f t="shared" si="25"/>
        <v>50113105.606989436</v>
      </c>
      <c r="I64" s="83">
        <f t="shared" si="26"/>
        <v>10691090.993010556</v>
      </c>
      <c r="J64" s="253">
        <f t="shared" si="30"/>
        <v>-3000593.7319894359</v>
      </c>
      <c r="K64" s="85">
        <f t="shared" si="30"/>
        <v>-1041540.3680105563</v>
      </c>
      <c r="L64" s="353">
        <f t="shared" si="28"/>
        <v>-2230122.1834058026</v>
      </c>
      <c r="M64" s="354">
        <f>L64*NPV!C29</f>
        <v>-384016.98884730868</v>
      </c>
      <c r="N64" s="175"/>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c r="BU64" s="170"/>
      <c r="BV64" s="170"/>
      <c r="BW64" s="170"/>
      <c r="BX64" s="170"/>
      <c r="BY64" s="170"/>
      <c r="BZ64" s="170"/>
    </row>
    <row r="65" spans="1:78" x14ac:dyDescent="0.2">
      <c r="A65" s="84">
        <f t="shared" si="29"/>
        <v>2045</v>
      </c>
      <c r="B65" s="253">
        <f t="shared" si="20"/>
        <v>15786</v>
      </c>
      <c r="C65" s="83">
        <f t="shared" si="20"/>
        <v>3233</v>
      </c>
      <c r="D65" s="253">
        <f t="shared" si="21"/>
        <v>47534899.912500001</v>
      </c>
      <c r="E65" s="83">
        <f t="shared" si="22"/>
        <v>9736063.8375000004</v>
      </c>
      <c r="F65" s="253">
        <f t="shared" si="23"/>
        <v>18274</v>
      </c>
      <c r="G65" s="83">
        <f t="shared" si="24"/>
        <v>3899</v>
      </c>
      <c r="H65" s="253">
        <f t="shared" si="25"/>
        <v>50561229.734284945</v>
      </c>
      <c r="I65" s="83">
        <f t="shared" si="26"/>
        <v>10787908.21571506</v>
      </c>
      <c r="J65" s="253">
        <f t="shared" si="30"/>
        <v>-3026329.8217849433</v>
      </c>
      <c r="K65" s="85">
        <f t="shared" si="30"/>
        <v>-1051844.3782150596</v>
      </c>
      <c r="L65" s="353">
        <f t="shared" si="28"/>
        <v>-2250565.8300182838</v>
      </c>
      <c r="M65" s="354">
        <f>L65*NPV!C30</f>
        <v>-362184.38565859478</v>
      </c>
      <c r="N65" s="175"/>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c r="BU65" s="170"/>
      <c r="BV65" s="170"/>
      <c r="BW65" s="170"/>
      <c r="BX65" s="170"/>
      <c r="BY65" s="170"/>
      <c r="BZ65" s="170"/>
    </row>
    <row r="66" spans="1:78" x14ac:dyDescent="0.2">
      <c r="A66" s="84">
        <f t="shared" si="29"/>
        <v>2046</v>
      </c>
      <c r="B66" s="253">
        <f t="shared" si="20"/>
        <v>15928</v>
      </c>
      <c r="C66" s="83">
        <f t="shared" si="20"/>
        <v>3262</v>
      </c>
      <c r="D66" s="253">
        <f t="shared" si="21"/>
        <v>47962286.625</v>
      </c>
      <c r="E66" s="83">
        <f t="shared" si="22"/>
        <v>9823600.875</v>
      </c>
      <c r="F66" s="253">
        <f t="shared" si="23"/>
        <v>18439</v>
      </c>
      <c r="G66" s="83">
        <f t="shared" si="24"/>
        <v>3934</v>
      </c>
      <c r="H66" s="253">
        <f t="shared" si="25"/>
        <v>51017855.585484743</v>
      </c>
      <c r="I66" s="83">
        <f t="shared" si="26"/>
        <v>10884768.364515264</v>
      </c>
      <c r="J66" s="253">
        <f t="shared" si="30"/>
        <v>-3055568.9604847431</v>
      </c>
      <c r="K66" s="85">
        <f t="shared" si="30"/>
        <v>-1061167.4895152636</v>
      </c>
      <c r="L66" s="353">
        <f t="shared" si="28"/>
        <v>-2271504.0637333975</v>
      </c>
      <c r="M66" s="354">
        <f>L66*NPV!C31</f>
        <v>-341639.23672989715</v>
      </c>
      <c r="N66" s="175"/>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c r="BX66" s="170"/>
      <c r="BY66" s="170"/>
      <c r="BZ66" s="170"/>
    </row>
    <row r="67" spans="1:78" x14ac:dyDescent="0.2">
      <c r="A67" s="84">
        <f t="shared" si="29"/>
        <v>2047</v>
      </c>
      <c r="B67" s="253">
        <f t="shared" si="20"/>
        <v>16071</v>
      </c>
      <c r="C67" s="83">
        <f t="shared" si="20"/>
        <v>3292</v>
      </c>
      <c r="D67" s="253">
        <f t="shared" si="21"/>
        <v>48394672.012500003</v>
      </c>
      <c r="E67" s="83">
        <f t="shared" si="22"/>
        <v>9912161.7375000007</v>
      </c>
      <c r="F67" s="253">
        <f t="shared" si="23"/>
        <v>18606</v>
      </c>
      <c r="G67" s="83">
        <f t="shared" si="24"/>
        <v>3969</v>
      </c>
      <c r="H67" s="253">
        <f t="shared" si="25"/>
        <v>51479816.344837211</v>
      </c>
      <c r="I67" s="83">
        <f t="shared" si="26"/>
        <v>10981586.10516279</v>
      </c>
      <c r="J67" s="253">
        <f t="shared" si="30"/>
        <v>-3085144.3323372081</v>
      </c>
      <c r="K67" s="85">
        <f t="shared" si="30"/>
        <v>-1069424.3676627893</v>
      </c>
      <c r="L67" s="353">
        <f t="shared" si="28"/>
        <v>-2291556.5692145331</v>
      </c>
      <c r="M67" s="354">
        <f>L67*NPV!C32</f>
        <v>-322107.64291498176</v>
      </c>
      <c r="N67" s="175"/>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c r="BX67" s="170"/>
      <c r="BY67" s="170"/>
      <c r="BZ67" s="170"/>
    </row>
    <row r="68" spans="1:78" x14ac:dyDescent="0.2">
      <c r="A68" s="84">
        <f t="shared" si="29"/>
        <v>2048</v>
      </c>
      <c r="B68" s="253">
        <f t="shared" si="20"/>
        <v>16216</v>
      </c>
      <c r="C68" s="83">
        <f t="shared" si="20"/>
        <v>3321</v>
      </c>
      <c r="D68" s="253">
        <f t="shared" si="21"/>
        <v>48829556.737499997</v>
      </c>
      <c r="E68" s="83">
        <f t="shared" si="22"/>
        <v>10001234.512500001</v>
      </c>
      <c r="F68" s="253">
        <f t="shared" si="23"/>
        <v>18773</v>
      </c>
      <c r="G68" s="83">
        <f t="shared" si="24"/>
        <v>4005</v>
      </c>
      <c r="H68" s="253">
        <f t="shared" si="25"/>
        <v>51941927.3995061</v>
      </c>
      <c r="I68" s="83">
        <f t="shared" si="26"/>
        <v>11081202.750493897</v>
      </c>
      <c r="J68" s="253">
        <f t="shared" si="30"/>
        <v>-3112370.6620061025</v>
      </c>
      <c r="K68" s="85">
        <f t="shared" si="30"/>
        <v>-1079968.237993896</v>
      </c>
      <c r="L68" s="353">
        <f t="shared" si="28"/>
        <v>-2312841.4798966418</v>
      </c>
      <c r="M68" s="354">
        <f>L68*NPV!C33</f>
        <v>-303831.31764957705</v>
      </c>
      <c r="N68" s="175"/>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row>
    <row r="69" spans="1:78" x14ac:dyDescent="0.2">
      <c r="A69" s="84">
        <f t="shared" si="29"/>
        <v>2049</v>
      </c>
      <c r="B69" s="253">
        <f t="shared" si="20"/>
        <v>16362</v>
      </c>
      <c r="C69" s="83">
        <f t="shared" si="20"/>
        <v>3351</v>
      </c>
      <c r="D69" s="253">
        <f t="shared" si="21"/>
        <v>49269440.137500003</v>
      </c>
      <c r="E69" s="83">
        <f t="shared" si="22"/>
        <v>10091331.112500001</v>
      </c>
      <c r="F69" s="253">
        <f t="shared" si="23"/>
        <v>18942</v>
      </c>
      <c r="G69" s="83">
        <f t="shared" si="24"/>
        <v>4041</v>
      </c>
      <c r="H69" s="253">
        <f t="shared" si="25"/>
        <v>52409623.043493018</v>
      </c>
      <c r="I69" s="83">
        <f t="shared" si="26"/>
        <v>11180830.256506983</v>
      </c>
      <c r="J69" s="253">
        <f t="shared" si="30"/>
        <v>-3140182.9059930146</v>
      </c>
      <c r="K69" s="85">
        <f t="shared" si="30"/>
        <v>-1089499.1440069824</v>
      </c>
      <c r="L69" s="353">
        <f t="shared" si="28"/>
        <v>-2333394.1697038389</v>
      </c>
      <c r="M69" s="354">
        <f>L69*NPV!C34</f>
        <v>-286477.81799936539</v>
      </c>
      <c r="N69" s="175"/>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c r="BX69" s="170"/>
      <c r="BY69" s="170"/>
      <c r="BZ69" s="170"/>
    </row>
    <row r="70" spans="1:78" x14ac:dyDescent="0.2">
      <c r="A70" s="84">
        <f t="shared" si="29"/>
        <v>2050</v>
      </c>
      <c r="B70" s="253">
        <f t="shared" si="20"/>
        <v>16510</v>
      </c>
      <c r="C70" s="83">
        <f t="shared" si="20"/>
        <v>3381</v>
      </c>
      <c r="D70" s="253">
        <f t="shared" si="21"/>
        <v>49714322.212499999</v>
      </c>
      <c r="E70" s="83">
        <f t="shared" si="22"/>
        <v>10182451.537500001</v>
      </c>
      <c r="F70" s="253">
        <f t="shared" si="23"/>
        <v>19113</v>
      </c>
      <c r="G70" s="83">
        <f t="shared" si="24"/>
        <v>4077</v>
      </c>
      <c r="H70" s="253">
        <f t="shared" si="25"/>
        <v>52882653.593848646</v>
      </c>
      <c r="I70" s="83">
        <f t="shared" si="26"/>
        <v>11280415.356151359</v>
      </c>
      <c r="J70" s="253">
        <f t="shared" si="30"/>
        <v>-3168331.3813486472</v>
      </c>
      <c r="K70" s="85">
        <f t="shared" si="30"/>
        <v>-1097963.8186513577</v>
      </c>
      <c r="L70" s="353">
        <f t="shared" si="28"/>
        <v>-2353061.1322582485</v>
      </c>
      <c r="M70" s="354">
        <f>L70*NPV!C35</f>
        <v>-269992.88796688011</v>
      </c>
      <c r="N70" s="175"/>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c r="BX70" s="170"/>
      <c r="BY70" s="170"/>
      <c r="BZ70" s="170"/>
    </row>
    <row r="71" spans="1:78" x14ac:dyDescent="0.2">
      <c r="A71" s="84">
        <f t="shared" si="29"/>
        <v>2051</v>
      </c>
      <c r="B71" s="253">
        <f t="shared" si="20"/>
        <v>16658</v>
      </c>
      <c r="C71" s="83">
        <f t="shared" si="20"/>
        <v>3412</v>
      </c>
      <c r="D71" s="253">
        <f t="shared" si="21"/>
        <v>50161703.625</v>
      </c>
      <c r="E71" s="83">
        <f t="shared" si="22"/>
        <v>10274083.875</v>
      </c>
      <c r="F71" s="253">
        <f t="shared" si="23"/>
        <v>19284</v>
      </c>
      <c r="G71" s="83">
        <f t="shared" si="24"/>
        <v>4114</v>
      </c>
      <c r="H71" s="253">
        <f t="shared" si="25"/>
        <v>53355834.438806735</v>
      </c>
      <c r="I71" s="83">
        <f t="shared" si="26"/>
        <v>11382799.361193264</v>
      </c>
      <c r="J71" s="253">
        <f t="shared" si="30"/>
        <v>-3194130.813806735</v>
      </c>
      <c r="K71" s="85">
        <f t="shared" si="30"/>
        <v>-1108715.4861932639</v>
      </c>
      <c r="L71" s="353">
        <f t="shared" si="28"/>
        <v>-2373960.5004062946</v>
      </c>
      <c r="M71" s="354">
        <f>L71*NPV!C36</f>
        <v>-254570.93928722691</v>
      </c>
      <c r="N71" s="175"/>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c r="BX71" s="170"/>
      <c r="BY71" s="170"/>
      <c r="BZ71" s="170"/>
    </row>
    <row r="72" spans="1:78" x14ac:dyDescent="0.2">
      <c r="A72" s="84">
        <f t="shared" si="29"/>
        <v>2052</v>
      </c>
      <c r="B72" s="253">
        <f t="shared" si="20"/>
        <v>16807</v>
      </c>
      <c r="C72" s="83">
        <f t="shared" si="20"/>
        <v>3443</v>
      </c>
      <c r="D72" s="253">
        <f t="shared" si="21"/>
        <v>50611584.375</v>
      </c>
      <c r="E72" s="83">
        <f t="shared" si="22"/>
        <v>10366228.125</v>
      </c>
      <c r="F72" s="253">
        <f t="shared" si="23"/>
        <v>19458</v>
      </c>
      <c r="G72" s="83">
        <f t="shared" si="24"/>
        <v>4151</v>
      </c>
      <c r="H72" s="253">
        <f t="shared" si="25"/>
        <v>53837267.327303141</v>
      </c>
      <c r="I72" s="83">
        <f t="shared" si="26"/>
        <v>11485173.022696853</v>
      </c>
      <c r="J72" s="253">
        <f t="shared" si="30"/>
        <v>-3225682.9523031414</v>
      </c>
      <c r="K72" s="85">
        <f t="shared" si="30"/>
        <v>-1118944.8976968527</v>
      </c>
      <c r="L72" s="353">
        <f t="shared" si="28"/>
        <v>-2396717.1122332662</v>
      </c>
      <c r="M72" s="354">
        <f>L72*NPV!C37</f>
        <v>-240197.41841383668</v>
      </c>
      <c r="N72" s="175"/>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row>
    <row r="73" spans="1:78" x14ac:dyDescent="0.2">
      <c r="A73" s="84">
        <f t="shared" si="29"/>
        <v>2053</v>
      </c>
      <c r="B73" s="253">
        <f t="shared" si="20"/>
        <v>16959</v>
      </c>
      <c r="C73" s="83">
        <f t="shared" si="20"/>
        <v>3474</v>
      </c>
      <c r="D73" s="253">
        <f t="shared" si="21"/>
        <v>51068963.137500003</v>
      </c>
      <c r="E73" s="83">
        <f t="shared" si="22"/>
        <v>10459908.112500001</v>
      </c>
      <c r="F73" s="253">
        <f t="shared" si="23"/>
        <v>19633</v>
      </c>
      <c r="G73" s="83">
        <f t="shared" si="24"/>
        <v>4188</v>
      </c>
      <c r="H73" s="253">
        <f t="shared" si="25"/>
        <v>54321367.667770036</v>
      </c>
      <c r="I73" s="83">
        <f t="shared" si="26"/>
        <v>11587525.482229965</v>
      </c>
      <c r="J73" s="253">
        <f t="shared" si="30"/>
        <v>-3252404.5302700326</v>
      </c>
      <c r="K73" s="85">
        <f t="shared" si="30"/>
        <v>-1127617.3697299641</v>
      </c>
      <c r="L73" s="353">
        <f t="shared" si="28"/>
        <v>-2415998.5323514789</v>
      </c>
      <c r="M73" s="354">
        <f>L73*NPV!C38</f>
        <v>-226289.52308684617</v>
      </c>
      <c r="N73" s="175"/>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0"/>
      <c r="BR73" s="170"/>
      <c r="BS73" s="170"/>
      <c r="BT73" s="170"/>
      <c r="BU73" s="170"/>
      <c r="BV73" s="170"/>
      <c r="BW73" s="170"/>
      <c r="BX73" s="170"/>
      <c r="BY73" s="170"/>
      <c r="BZ73" s="170"/>
    </row>
    <row r="74" spans="1:78" x14ac:dyDescent="0.2">
      <c r="A74" s="84">
        <f t="shared" si="29"/>
        <v>2054</v>
      </c>
      <c r="B74" s="253">
        <f t="shared" si="20"/>
        <v>17111</v>
      </c>
      <c r="C74" s="83">
        <f t="shared" si="20"/>
        <v>3505</v>
      </c>
      <c r="D74" s="253">
        <f t="shared" si="21"/>
        <v>51526341.899999999</v>
      </c>
      <c r="E74" s="83">
        <f t="shared" si="22"/>
        <v>10553588.100000001</v>
      </c>
      <c r="F74" s="253">
        <f t="shared" si="23"/>
        <v>19810</v>
      </c>
      <c r="G74" s="83">
        <f t="shared" si="24"/>
        <v>4226</v>
      </c>
      <c r="H74" s="253">
        <f t="shared" si="25"/>
        <v>54811202.895074055</v>
      </c>
      <c r="I74" s="83">
        <f t="shared" si="26"/>
        <v>11692687.704925945</v>
      </c>
      <c r="J74" s="253">
        <f t="shared" si="30"/>
        <v>-3284860.9950740561</v>
      </c>
      <c r="K74" s="85">
        <f t="shared" si="30"/>
        <v>-1139099.6049259435</v>
      </c>
      <c r="L74" s="353">
        <f t="shared" si="28"/>
        <v>-2440328.6287092688</v>
      </c>
      <c r="M74" s="354">
        <f>L74*NPV!C39</f>
        <v>-213615.28169825798</v>
      </c>
      <c r="N74" s="175"/>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0"/>
      <c r="BD74" s="170"/>
      <c r="BE74" s="170"/>
      <c r="BF74" s="170"/>
      <c r="BG74" s="170"/>
      <c r="BH74" s="170"/>
      <c r="BI74" s="170"/>
      <c r="BJ74" s="170"/>
      <c r="BK74" s="170"/>
      <c r="BL74" s="170"/>
      <c r="BM74" s="170"/>
      <c r="BN74" s="170"/>
      <c r="BO74" s="170"/>
      <c r="BP74" s="170"/>
      <c r="BQ74" s="170"/>
      <c r="BR74" s="170"/>
      <c r="BS74" s="170"/>
      <c r="BT74" s="170"/>
      <c r="BU74" s="170"/>
      <c r="BV74" s="170"/>
      <c r="BW74" s="170"/>
      <c r="BX74" s="170"/>
      <c r="BY74" s="170"/>
      <c r="BZ74" s="170"/>
    </row>
    <row r="75" spans="1:78" x14ac:dyDescent="0.2">
      <c r="A75" s="84">
        <f t="shared" si="29"/>
        <v>2055</v>
      </c>
      <c r="B75" s="253">
        <f t="shared" si="20"/>
        <v>17266</v>
      </c>
      <c r="C75" s="83">
        <f t="shared" si="20"/>
        <v>3536</v>
      </c>
      <c r="D75" s="253">
        <f t="shared" si="21"/>
        <v>51991218.674999997</v>
      </c>
      <c r="E75" s="83">
        <f t="shared" si="22"/>
        <v>10648803.825000001</v>
      </c>
      <c r="F75" s="253">
        <f t="shared" si="23"/>
        <v>19988.153875042677</v>
      </c>
      <c r="G75" s="83">
        <f t="shared" si="24"/>
        <v>4264</v>
      </c>
      <c r="H75" s="253">
        <f t="shared" si="25"/>
        <v>55304075.238560021</v>
      </c>
      <c r="I75" s="83">
        <f t="shared" si="26"/>
        <v>11797816.761439977</v>
      </c>
      <c r="J75" s="253">
        <f t="shared" si="30"/>
        <v>-3312856.5635600239</v>
      </c>
      <c r="K75" s="85">
        <f t="shared" si="30"/>
        <v>-1149012.9364399761</v>
      </c>
      <c r="L75" s="353">
        <f t="shared" si="28"/>
        <v>-2461323.6100419867</v>
      </c>
      <c r="M75" s="354">
        <f>L75*NPV!C40</f>
        <v>-201358.0252182507</v>
      </c>
      <c r="N75" s="175"/>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170"/>
      <c r="BA75" s="170"/>
      <c r="BB75" s="170"/>
      <c r="BC75" s="170"/>
      <c r="BD75" s="170"/>
      <c r="BE75" s="170"/>
      <c r="BF75" s="170"/>
      <c r="BG75" s="170"/>
      <c r="BH75" s="170"/>
      <c r="BI75" s="170"/>
      <c r="BJ75" s="170"/>
      <c r="BK75" s="170"/>
      <c r="BL75" s="170"/>
      <c r="BM75" s="170"/>
      <c r="BN75" s="170"/>
      <c r="BO75" s="170"/>
      <c r="BP75" s="170"/>
      <c r="BQ75" s="170"/>
      <c r="BR75" s="170"/>
      <c r="BS75" s="170"/>
      <c r="BT75" s="170"/>
      <c r="BU75" s="170"/>
      <c r="BV75" s="170"/>
      <c r="BW75" s="170"/>
      <c r="BX75" s="170"/>
      <c r="BY75" s="170"/>
      <c r="BZ75" s="170"/>
    </row>
    <row r="76" spans="1:78" ht="13.5" thickBot="1" x14ac:dyDescent="0.25">
      <c r="A76" s="86">
        <f t="shared" si="29"/>
        <v>2056</v>
      </c>
      <c r="B76" s="254">
        <f t="shared" si="20"/>
        <v>17421</v>
      </c>
      <c r="C76" s="87">
        <f t="shared" si="20"/>
        <v>3568</v>
      </c>
      <c r="D76" s="254">
        <f t="shared" si="21"/>
        <v>52458594.787500001</v>
      </c>
      <c r="E76" s="87">
        <f t="shared" si="22"/>
        <v>10744531.4625</v>
      </c>
      <c r="F76" s="254">
        <f t="shared" si="23"/>
        <v>20168</v>
      </c>
      <c r="G76" s="87">
        <f t="shared" si="24"/>
        <v>4303</v>
      </c>
      <c r="H76" s="254">
        <f t="shared" si="25"/>
        <v>55801693.453867845</v>
      </c>
      <c r="I76" s="87">
        <f t="shared" si="26"/>
        <v>11905726.246132158</v>
      </c>
      <c r="J76" s="254">
        <f t="shared" si="30"/>
        <v>-3343098.6663678437</v>
      </c>
      <c r="K76" s="342">
        <f t="shared" si="30"/>
        <v>-1161194.7836321574</v>
      </c>
      <c r="L76" s="355">
        <f t="shared" si="28"/>
        <v>-2485417.445497687</v>
      </c>
      <c r="M76" s="356">
        <f>L76*NPV!C41</f>
        <v>-190027.20925894985</v>
      </c>
      <c r="N76" s="175"/>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0"/>
      <c r="AX76" s="170"/>
      <c r="AY76" s="170"/>
      <c r="AZ76" s="170"/>
      <c r="BA76" s="170"/>
      <c r="BB76" s="170"/>
      <c r="BC76" s="170"/>
      <c r="BD76" s="170"/>
      <c r="BE76" s="170"/>
      <c r="BF76" s="170"/>
      <c r="BG76" s="170"/>
      <c r="BH76" s="170"/>
      <c r="BI76" s="170"/>
      <c r="BJ76" s="170"/>
      <c r="BK76" s="170"/>
      <c r="BL76" s="170"/>
      <c r="BM76" s="170"/>
      <c r="BN76" s="170"/>
      <c r="BO76" s="170"/>
      <c r="BP76" s="170"/>
      <c r="BQ76" s="170"/>
      <c r="BR76" s="170"/>
      <c r="BS76" s="170"/>
      <c r="BT76" s="170"/>
      <c r="BU76" s="170"/>
      <c r="BV76" s="170"/>
      <c r="BW76" s="170"/>
      <c r="BX76" s="170"/>
      <c r="BY76" s="170"/>
      <c r="BZ76" s="170"/>
    </row>
    <row r="77" spans="1:78" ht="13.5" thickTop="1" x14ac:dyDescent="0.2">
      <c r="A77" s="170"/>
      <c r="B77" s="170"/>
      <c r="C77" s="170"/>
      <c r="D77" s="170"/>
      <c r="E77" s="170"/>
      <c r="F77" s="170"/>
      <c r="G77" s="170"/>
      <c r="H77" s="170"/>
      <c r="I77" s="258"/>
      <c r="J77" s="474" t="s">
        <v>0</v>
      </c>
      <c r="K77" s="475"/>
      <c r="L77" s="357">
        <f>SUM(L47:L76)</f>
        <v>-61819891.142699659</v>
      </c>
      <c r="M77" s="358">
        <f>SUM(M47:M76)</f>
        <v>-13695290.119568072</v>
      </c>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170"/>
      <c r="BX77" s="170"/>
      <c r="BY77" s="170"/>
      <c r="BZ77" s="170"/>
    </row>
    <row r="78" spans="1:78" x14ac:dyDescent="0.2">
      <c r="A78" s="170"/>
      <c r="B78" s="170"/>
      <c r="C78" s="170"/>
      <c r="D78" s="170"/>
      <c r="E78" s="170"/>
      <c r="F78" s="170"/>
      <c r="G78" s="170"/>
      <c r="H78" s="170"/>
      <c r="I78" s="258"/>
      <c r="J78" s="259"/>
      <c r="K78" s="259"/>
      <c r="L78" s="256"/>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170"/>
      <c r="BX78" s="170"/>
      <c r="BY78" s="170"/>
      <c r="BZ78" s="170"/>
    </row>
    <row r="79" spans="1:78" x14ac:dyDescent="0.2">
      <c r="A79" s="170"/>
      <c r="B79" s="170"/>
      <c r="C79" s="170"/>
      <c r="D79" s="170"/>
      <c r="E79" s="170"/>
      <c r="F79" s="170"/>
      <c r="G79" s="170"/>
      <c r="H79" s="170"/>
      <c r="I79" s="258"/>
      <c r="J79" s="259"/>
      <c r="K79" s="259"/>
      <c r="L79" s="256"/>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0"/>
      <c r="BR79" s="170"/>
      <c r="BS79" s="170"/>
      <c r="BT79" s="170"/>
      <c r="BU79" s="170"/>
      <c r="BV79" s="170"/>
      <c r="BW79" s="170"/>
      <c r="BX79" s="170"/>
      <c r="BY79" s="170"/>
      <c r="BZ79" s="170"/>
    </row>
    <row r="80" spans="1:78" x14ac:dyDescent="0.2">
      <c r="A80" s="397" t="s">
        <v>142</v>
      </c>
      <c r="B80" s="398"/>
      <c r="C80" s="398"/>
      <c r="D80" s="398"/>
      <c r="E80" s="398"/>
      <c r="F80" s="398"/>
      <c r="G80" s="398"/>
      <c r="H80" s="398"/>
      <c r="I80" s="398"/>
      <c r="J80" s="398"/>
      <c r="K80" s="398"/>
      <c r="L80" s="398"/>
      <c r="M80" s="398"/>
      <c r="N80" s="398"/>
      <c r="O80" s="398"/>
      <c r="P80" s="398"/>
      <c r="Q80" s="398"/>
      <c r="R80" s="398"/>
      <c r="S80" s="398"/>
      <c r="T80" s="398"/>
      <c r="U80" s="398"/>
      <c r="V80" s="398"/>
      <c r="W80" s="398"/>
      <c r="X80" s="398"/>
      <c r="Y80" s="398"/>
      <c r="Z80" s="398"/>
      <c r="AA80" s="398"/>
      <c r="AB80" s="398"/>
      <c r="AC80" s="399"/>
      <c r="AD80" s="170"/>
      <c r="AE80" s="170"/>
      <c r="AF80" s="170"/>
      <c r="AG80" s="170"/>
      <c r="AH80" s="170"/>
      <c r="AI80" s="170"/>
      <c r="AJ80" s="170"/>
      <c r="AK80" s="170"/>
      <c r="AL80" s="170"/>
      <c r="AM80" s="170"/>
      <c r="AN80" s="170"/>
      <c r="AO80" s="170"/>
      <c r="AP80" s="170"/>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70"/>
      <c r="BN80" s="170"/>
      <c r="BO80" s="170"/>
      <c r="BP80" s="170"/>
      <c r="BQ80" s="170"/>
      <c r="BR80" s="170"/>
      <c r="BS80" s="170"/>
      <c r="BT80" s="170"/>
      <c r="BU80" s="170"/>
      <c r="BV80" s="170"/>
      <c r="BW80" s="170"/>
      <c r="BX80" s="170"/>
      <c r="BY80" s="170"/>
      <c r="BZ80" s="170"/>
    </row>
    <row r="81" spans="1:78" x14ac:dyDescent="0.2">
      <c r="A81" s="476" t="s">
        <v>1</v>
      </c>
      <c r="B81" s="477" t="s">
        <v>298</v>
      </c>
      <c r="C81" s="477"/>
      <c r="D81" s="477"/>
      <c r="E81" s="477"/>
      <c r="F81" s="477"/>
      <c r="G81" s="477"/>
      <c r="H81" s="477"/>
      <c r="I81" s="477"/>
      <c r="J81" s="477"/>
      <c r="K81" s="477"/>
      <c r="L81" s="477"/>
      <c r="M81" s="477"/>
      <c r="N81" s="477" t="s">
        <v>299</v>
      </c>
      <c r="O81" s="477"/>
      <c r="P81" s="477"/>
      <c r="Q81" s="477"/>
      <c r="R81" s="477"/>
      <c r="S81" s="477"/>
      <c r="T81" s="477"/>
      <c r="U81" s="477"/>
      <c r="V81" s="477"/>
      <c r="W81" s="477"/>
      <c r="X81" s="477"/>
      <c r="Y81" s="477"/>
      <c r="Z81" s="397" t="s">
        <v>173</v>
      </c>
      <c r="AA81" s="398"/>
      <c r="AB81" s="398"/>
      <c r="AC81" s="399"/>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0"/>
      <c r="BR81" s="170"/>
      <c r="BS81" s="170"/>
      <c r="BT81" s="170"/>
      <c r="BU81" s="170"/>
      <c r="BV81" s="170"/>
      <c r="BW81" s="170"/>
      <c r="BX81" s="170"/>
      <c r="BY81" s="170"/>
      <c r="BZ81" s="170"/>
    </row>
    <row r="82" spans="1:78" ht="13.9" customHeight="1" x14ac:dyDescent="0.2">
      <c r="A82" s="476"/>
      <c r="B82" s="473" t="s">
        <v>143</v>
      </c>
      <c r="C82" s="473"/>
      <c r="D82" s="473" t="s">
        <v>144</v>
      </c>
      <c r="E82" s="473"/>
      <c r="F82" s="473" t="s">
        <v>145</v>
      </c>
      <c r="G82" s="473"/>
      <c r="H82" s="477" t="s">
        <v>146</v>
      </c>
      <c r="I82" s="477"/>
      <c r="J82" s="477" t="s">
        <v>147</v>
      </c>
      <c r="K82" s="477"/>
      <c r="L82" s="477" t="s">
        <v>148</v>
      </c>
      <c r="M82" s="477"/>
      <c r="N82" s="473" t="s">
        <v>143</v>
      </c>
      <c r="O82" s="473"/>
      <c r="P82" s="473" t="s">
        <v>144</v>
      </c>
      <c r="Q82" s="473"/>
      <c r="R82" s="473" t="s">
        <v>145</v>
      </c>
      <c r="S82" s="473"/>
      <c r="T82" s="477" t="s">
        <v>146</v>
      </c>
      <c r="U82" s="477"/>
      <c r="V82" s="477" t="s">
        <v>147</v>
      </c>
      <c r="W82" s="477"/>
      <c r="X82" s="477" t="s">
        <v>148</v>
      </c>
      <c r="Y82" s="477"/>
      <c r="Z82" s="397" t="s">
        <v>171</v>
      </c>
      <c r="AA82" s="398"/>
      <c r="AB82" s="398" t="s">
        <v>172</v>
      </c>
      <c r="AC82" s="399"/>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70"/>
      <c r="AZ82" s="170"/>
      <c r="BA82" s="170"/>
      <c r="BB82" s="170"/>
      <c r="BC82" s="170"/>
      <c r="BD82" s="170"/>
      <c r="BE82" s="170"/>
      <c r="BF82" s="170"/>
      <c r="BG82" s="170"/>
      <c r="BH82" s="170"/>
      <c r="BI82" s="170"/>
      <c r="BJ82" s="170"/>
      <c r="BK82" s="170"/>
      <c r="BL82" s="170"/>
      <c r="BM82" s="170"/>
      <c r="BN82" s="170"/>
      <c r="BO82" s="170"/>
      <c r="BP82" s="170"/>
      <c r="BQ82" s="170"/>
      <c r="BR82" s="170"/>
      <c r="BS82" s="170"/>
      <c r="BT82" s="170"/>
      <c r="BU82" s="170"/>
      <c r="BV82" s="170"/>
      <c r="BW82" s="170"/>
      <c r="BX82" s="170"/>
      <c r="BY82" s="170"/>
      <c r="BZ82" s="170"/>
    </row>
    <row r="83" spans="1:78" ht="25.5" x14ac:dyDescent="0.2">
      <c r="A83" s="476"/>
      <c r="B83" s="241" t="s">
        <v>150</v>
      </c>
      <c r="C83" s="241" t="s">
        <v>151</v>
      </c>
      <c r="D83" s="241" t="s">
        <v>152</v>
      </c>
      <c r="E83" s="241" t="s">
        <v>153</v>
      </c>
      <c r="F83" s="241" t="s">
        <v>154</v>
      </c>
      <c r="G83" s="243" t="s">
        <v>155</v>
      </c>
      <c r="H83" s="241" t="s">
        <v>156</v>
      </c>
      <c r="I83" s="241" t="s">
        <v>157</v>
      </c>
      <c r="J83" s="241" t="s">
        <v>158</v>
      </c>
      <c r="K83" s="241" t="s">
        <v>159</v>
      </c>
      <c r="L83" s="241" t="s">
        <v>149</v>
      </c>
      <c r="M83" s="241" t="s">
        <v>88</v>
      </c>
      <c r="N83" s="241" t="s">
        <v>150</v>
      </c>
      <c r="O83" s="241" t="s">
        <v>151</v>
      </c>
      <c r="P83" s="241" t="s">
        <v>152</v>
      </c>
      <c r="Q83" s="241" t="s">
        <v>153</v>
      </c>
      <c r="R83" s="241" t="s">
        <v>154</v>
      </c>
      <c r="S83" s="243" t="s">
        <v>155</v>
      </c>
      <c r="T83" s="241" t="s">
        <v>156</v>
      </c>
      <c r="U83" s="241" t="s">
        <v>157</v>
      </c>
      <c r="V83" s="241" t="s">
        <v>158</v>
      </c>
      <c r="W83" s="241" t="s">
        <v>159</v>
      </c>
      <c r="X83" s="241" t="s">
        <v>149</v>
      </c>
      <c r="Y83" s="241" t="s">
        <v>88</v>
      </c>
      <c r="Z83" s="241" t="s">
        <v>149</v>
      </c>
      <c r="AA83" s="241" t="s">
        <v>88</v>
      </c>
      <c r="AB83" s="241" t="s">
        <v>149</v>
      </c>
      <c r="AC83" s="241" t="s">
        <v>88</v>
      </c>
      <c r="AD83" s="170"/>
      <c r="AE83" s="170"/>
      <c r="AF83" s="170"/>
      <c r="AG83" s="170"/>
      <c r="AH83" s="170"/>
      <c r="AI83" s="170"/>
      <c r="AJ83" s="170"/>
      <c r="AK83" s="170"/>
      <c r="AL83" s="170"/>
      <c r="AM83" s="170"/>
      <c r="AN83" s="170"/>
      <c r="AO83" s="170"/>
      <c r="AP83" s="170"/>
      <c r="AQ83" s="170"/>
      <c r="AR83" s="170"/>
      <c r="AS83" s="170"/>
      <c r="AT83" s="170"/>
      <c r="AU83" s="170"/>
      <c r="AV83" s="170"/>
      <c r="AW83" s="170"/>
      <c r="AX83" s="170"/>
      <c r="AY83" s="170"/>
      <c r="AZ83" s="170"/>
      <c r="BA83" s="170"/>
      <c r="BB83" s="170"/>
      <c r="BC83" s="170"/>
      <c r="BD83" s="170"/>
      <c r="BE83" s="170"/>
      <c r="BF83" s="170"/>
      <c r="BG83" s="170"/>
      <c r="BH83" s="170"/>
      <c r="BI83" s="170"/>
      <c r="BJ83" s="170"/>
      <c r="BK83" s="170"/>
      <c r="BL83" s="170"/>
      <c r="BM83" s="170"/>
      <c r="BN83" s="170"/>
      <c r="BO83" s="170"/>
      <c r="BP83" s="170"/>
      <c r="BQ83" s="170"/>
      <c r="BR83" s="170"/>
      <c r="BS83" s="170"/>
      <c r="BT83" s="170"/>
      <c r="BU83" s="170"/>
      <c r="BV83" s="170"/>
      <c r="BW83" s="170"/>
      <c r="BX83" s="170"/>
      <c r="BY83" s="170"/>
      <c r="BZ83" s="170"/>
    </row>
    <row r="84" spans="1:78" x14ac:dyDescent="0.2">
      <c r="A84" s="82">
        <v>2019</v>
      </c>
      <c r="B84" s="310">
        <f>H218/24</f>
        <v>501.45833333333331</v>
      </c>
      <c r="C84" s="83">
        <f>H219/24</f>
        <v>102.70833333333333</v>
      </c>
      <c r="D84" s="253">
        <f>1800*0.45</f>
        <v>810</v>
      </c>
      <c r="E84" s="83">
        <f>900*0.45</f>
        <v>405</v>
      </c>
      <c r="F84" s="253">
        <f t="shared" ref="F84:G103" si="31">$E$284/60</f>
        <v>0.99776500638569621</v>
      </c>
      <c r="G84" s="83">
        <f t="shared" si="31"/>
        <v>0.99776500638569621</v>
      </c>
      <c r="H84" s="253">
        <f>F84*B84</f>
        <v>500.33757716049388</v>
      </c>
      <c r="I84" s="83">
        <f>G84*C84</f>
        <v>102.47878086419755</v>
      </c>
      <c r="J84" s="260">
        <f>H84/(D84-B84)</f>
        <v>1.6216207767524446</v>
      </c>
      <c r="K84" s="100">
        <f>I84/(E84-C84)</f>
        <v>0.33900630471960591</v>
      </c>
      <c r="L84" s="253">
        <f>0.5*F84*B84*(F84+J84)</f>
        <v>655.28856819199007</v>
      </c>
      <c r="M84" s="83">
        <f>0.5*G84*C84*(G84+K84)</f>
        <v>68.495347128153156</v>
      </c>
      <c r="N84" s="310">
        <f>I218/24</f>
        <v>439.20833333333331</v>
      </c>
      <c r="O84" s="83">
        <f>I219/24</f>
        <v>89.958333333333329</v>
      </c>
      <c r="P84" s="253">
        <f>1800*0.45</f>
        <v>810</v>
      </c>
      <c r="Q84" s="83">
        <f>900*0.45</f>
        <v>405</v>
      </c>
      <c r="R84" s="253">
        <f t="shared" ref="R84:S103" si="32">$E$284/60</f>
        <v>0.99776500638569621</v>
      </c>
      <c r="S84" s="83">
        <f t="shared" si="32"/>
        <v>0.99776500638569621</v>
      </c>
      <c r="T84" s="253">
        <f>R84*N84</f>
        <v>438.22670551298432</v>
      </c>
      <c r="U84" s="83">
        <f>S84*O84</f>
        <v>89.757277032779911</v>
      </c>
      <c r="V84" s="260">
        <f>T84/(P84-N84)</f>
        <v>1.1818677303417939</v>
      </c>
      <c r="W84" s="100">
        <f>U84/(Q84-O84)</f>
        <v>0.28490605062646712</v>
      </c>
      <c r="X84" s="253">
        <f>0.5*R84*N84*(R84+V84)</f>
        <v>477.58663672216903</v>
      </c>
      <c r="Y84" s="83">
        <f>0.5*S84*O84*(S84+W84)</f>
        <v>57.564530703084692</v>
      </c>
      <c r="Z84" s="253">
        <f>L84*365</f>
        <v>239180.32739007636</v>
      </c>
      <c r="AA84" s="83">
        <f>M84*365</f>
        <v>25000.801701775901</v>
      </c>
      <c r="AB84" s="253">
        <f>X84*365</f>
        <v>174319.1224035917</v>
      </c>
      <c r="AC84" s="83">
        <f>Y84*365</f>
        <v>21011.053706625913</v>
      </c>
      <c r="AD84" s="170"/>
      <c r="AE84" s="170"/>
      <c r="AF84" s="170"/>
      <c r="AG84" s="170"/>
      <c r="AH84" s="170"/>
      <c r="AI84" s="170"/>
      <c r="AJ84" s="170"/>
      <c r="AK84" s="170"/>
      <c r="AL84" s="170"/>
      <c r="AM84" s="170"/>
      <c r="AN84" s="170"/>
      <c r="AO84" s="170"/>
      <c r="AP84" s="170"/>
      <c r="AQ84" s="170"/>
      <c r="AR84" s="170"/>
      <c r="AS84" s="170"/>
      <c r="AT84" s="170"/>
      <c r="AU84" s="170"/>
      <c r="AV84" s="170"/>
      <c r="AW84" s="170"/>
      <c r="AX84" s="170"/>
      <c r="AY84" s="170"/>
      <c r="AZ84" s="170"/>
      <c r="BA84" s="170"/>
      <c r="BB84" s="170"/>
      <c r="BC84" s="170"/>
      <c r="BD84" s="170"/>
      <c r="BE84" s="170"/>
      <c r="BF84" s="170"/>
      <c r="BG84" s="170"/>
      <c r="BH84" s="170"/>
      <c r="BI84" s="170"/>
      <c r="BJ84" s="170"/>
      <c r="BK84" s="170"/>
      <c r="BL84" s="170"/>
      <c r="BM84" s="170"/>
      <c r="BN84" s="170"/>
      <c r="BO84" s="170"/>
      <c r="BP84" s="170"/>
      <c r="BQ84" s="170"/>
      <c r="BR84" s="170"/>
      <c r="BS84" s="170"/>
      <c r="BT84" s="170"/>
      <c r="BU84" s="170"/>
      <c r="BV84" s="170"/>
      <c r="BW84" s="170"/>
      <c r="BX84" s="170"/>
      <c r="BY84" s="170"/>
      <c r="BZ84" s="170"/>
    </row>
    <row r="85" spans="1:78" x14ac:dyDescent="0.2">
      <c r="A85" s="84">
        <f t="shared" ref="A85:A121" si="33">A84+1</f>
        <v>2020</v>
      </c>
      <c r="B85" s="261">
        <f t="shared" ref="B85:B105" si="34">($B84*(1+$B$243))</f>
        <v>509.48166666666663</v>
      </c>
      <c r="C85" s="98">
        <f t="shared" ref="C85:C105" si="35">($C84*(1+$B$243))</f>
        <v>104.35166666666666</v>
      </c>
      <c r="D85" s="261">
        <f t="shared" ref="D85:D121" si="36">1800*0.45</f>
        <v>810</v>
      </c>
      <c r="E85" s="98">
        <f t="shared" ref="E85:E121" si="37">900*0.45</f>
        <v>405</v>
      </c>
      <c r="F85" s="253">
        <f t="shared" si="31"/>
        <v>0.99776500638569621</v>
      </c>
      <c r="G85" s="83">
        <f t="shared" si="31"/>
        <v>0.99776500638569621</v>
      </c>
      <c r="H85" s="253">
        <f t="shared" ref="H85:I118" si="38">F85*B85</f>
        <v>508.34297839506178</v>
      </c>
      <c r="I85" s="83">
        <f t="shared" si="38"/>
        <v>104.1184413580247</v>
      </c>
      <c r="J85" s="260">
        <f t="shared" ref="J85:K119" si="39">H85/(D85-B85)</f>
        <v>1.6915539652990501</v>
      </c>
      <c r="K85" s="100">
        <f t="shared" si="39"/>
        <v>0.34631305021267828</v>
      </c>
      <c r="L85" s="253">
        <f t="shared" ref="L85:M118" si="40">0.5*F85*B85*(F85+J85)</f>
        <v>683.54820796028434</v>
      </c>
      <c r="M85" s="83">
        <f t="shared" si="40"/>
        <v>69.971656158272836</v>
      </c>
      <c r="N85" s="253">
        <f t="shared" ref="N85:N105" si="41">($N84*(1+$B$243))</f>
        <v>446.23566666666665</v>
      </c>
      <c r="O85" s="83">
        <f t="shared" ref="O85:O105" si="42">($O84*(1+$B$243))</f>
        <v>91.397666666666666</v>
      </c>
      <c r="P85" s="261">
        <f t="shared" ref="P85:P121" si="43">1800*0.45</f>
        <v>810</v>
      </c>
      <c r="Q85" s="98">
        <f t="shared" ref="Q85:Q121" si="44">900*0.45</f>
        <v>405</v>
      </c>
      <c r="R85" s="253">
        <f t="shared" si="32"/>
        <v>0.99776500638569621</v>
      </c>
      <c r="S85" s="83">
        <f t="shared" si="32"/>
        <v>0.99776500638569621</v>
      </c>
      <c r="T85" s="253">
        <f t="shared" ref="T85:U118" si="45">R85*N85</f>
        <v>445.23833280119203</v>
      </c>
      <c r="U85" s="83">
        <f t="shared" si="45"/>
        <v>91.193393465304396</v>
      </c>
      <c r="V85" s="260">
        <f t="shared" ref="V85:W118" si="46">T85/(P85-N85)</f>
        <v>1.2239746781144716</v>
      </c>
      <c r="W85" s="100">
        <f t="shared" si="46"/>
        <v>0.29079309613545945</v>
      </c>
      <c r="X85" s="253">
        <f t="shared" ref="X85:Y118" si="47">0.5*R85*N85*(R85+V85)</f>
        <v>494.60183652255057</v>
      </c>
      <c r="Y85" s="83">
        <f t="shared" si="47"/>
        <v>58.753993023058896</v>
      </c>
      <c r="Z85" s="253">
        <f t="shared" ref="Z85:AA118" si="48">L85*365</f>
        <v>249495.09590550378</v>
      </c>
      <c r="AA85" s="83">
        <f t="shared" si="48"/>
        <v>25539.654497769585</v>
      </c>
      <c r="AB85" s="253">
        <f t="shared" ref="AB85:AC118" si="49">X85*365</f>
        <v>180529.67033073097</v>
      </c>
      <c r="AC85" s="83">
        <f t="shared" si="49"/>
        <v>21445.207453416497</v>
      </c>
      <c r="AD85" s="170"/>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row>
    <row r="86" spans="1:78" x14ac:dyDescent="0.2">
      <c r="A86" s="84">
        <f t="shared" si="33"/>
        <v>2021</v>
      </c>
      <c r="B86" s="261">
        <f t="shared" si="34"/>
        <v>517.63337333333334</v>
      </c>
      <c r="C86" s="98">
        <f t="shared" si="35"/>
        <v>106.02129333333333</v>
      </c>
      <c r="D86" s="261">
        <f t="shared" si="36"/>
        <v>810</v>
      </c>
      <c r="E86" s="98">
        <f t="shared" si="37"/>
        <v>405</v>
      </c>
      <c r="F86" s="253">
        <f t="shared" si="31"/>
        <v>0.99776500638569621</v>
      </c>
      <c r="G86" s="83">
        <f t="shared" si="31"/>
        <v>0.99776500638569621</v>
      </c>
      <c r="H86" s="253">
        <f t="shared" si="38"/>
        <v>516.47646604938279</v>
      </c>
      <c r="I86" s="83">
        <f t="shared" si="38"/>
        <v>105.7843364197531</v>
      </c>
      <c r="J86" s="260">
        <f t="shared" si="39"/>
        <v>1.7665370084740502</v>
      </c>
      <c r="K86" s="100">
        <f t="shared" si="39"/>
        <v>0.35381896456490047</v>
      </c>
      <c r="L86" s="253">
        <f t="shared" si="40"/>
        <v>713.84846786397509</v>
      </c>
      <c r="M86" s="83">
        <f t="shared" si="40"/>
        <v>71.488206741291862</v>
      </c>
      <c r="N86" s="253">
        <f t="shared" si="41"/>
        <v>453.37543733333331</v>
      </c>
      <c r="O86" s="83">
        <f t="shared" si="42"/>
        <v>92.86002933333333</v>
      </c>
      <c r="P86" s="261">
        <f t="shared" si="43"/>
        <v>810</v>
      </c>
      <c r="Q86" s="98">
        <f t="shared" si="44"/>
        <v>405</v>
      </c>
      <c r="R86" s="253">
        <f t="shared" si="32"/>
        <v>0.99776500638569621</v>
      </c>
      <c r="S86" s="83">
        <f t="shared" si="32"/>
        <v>0.99776500638569621</v>
      </c>
      <c r="T86" s="253">
        <f t="shared" si="45"/>
        <v>452.36214612601111</v>
      </c>
      <c r="U86" s="83">
        <f t="shared" si="45"/>
        <v>92.652487760749267</v>
      </c>
      <c r="V86" s="260">
        <f t="shared" si="46"/>
        <v>1.2684548219098115</v>
      </c>
      <c r="W86" s="100">
        <f t="shared" si="46"/>
        <v>0.29682993678400954</v>
      </c>
      <c r="X86" s="253">
        <f t="shared" si="47"/>
        <v>512.57603256053812</v>
      </c>
      <c r="Y86" s="83">
        <f t="shared" si="47"/>
        <v>59.973721063579525</v>
      </c>
      <c r="Z86" s="253">
        <f t="shared" si="48"/>
        <v>260554.69077035092</v>
      </c>
      <c r="AA86" s="83">
        <f t="shared" si="48"/>
        <v>26093.195460571529</v>
      </c>
      <c r="AB86" s="253">
        <f t="shared" si="49"/>
        <v>187090.25188459642</v>
      </c>
      <c r="AC86" s="83">
        <f t="shared" si="49"/>
        <v>21890.408188206526</v>
      </c>
      <c r="AD86" s="170"/>
      <c r="AE86" s="170"/>
      <c r="AF86" s="170"/>
      <c r="AG86" s="170"/>
      <c r="AH86" s="170"/>
      <c r="AI86" s="170"/>
      <c r="AJ86" s="170"/>
      <c r="AK86" s="170"/>
      <c r="AL86" s="170"/>
      <c r="AM86" s="170"/>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row>
    <row r="87" spans="1:78" x14ac:dyDescent="0.2">
      <c r="A87" s="84">
        <f t="shared" si="33"/>
        <v>2022</v>
      </c>
      <c r="B87" s="261">
        <f t="shared" si="34"/>
        <v>525.91550730666665</v>
      </c>
      <c r="C87" s="98">
        <f t="shared" si="35"/>
        <v>107.71763402666667</v>
      </c>
      <c r="D87" s="261">
        <f t="shared" si="36"/>
        <v>810</v>
      </c>
      <c r="E87" s="98">
        <f t="shared" si="37"/>
        <v>405</v>
      </c>
      <c r="F87" s="253">
        <f t="shared" si="31"/>
        <v>0.99776500638569621</v>
      </c>
      <c r="G87" s="83">
        <f t="shared" si="31"/>
        <v>0.99776500638569621</v>
      </c>
      <c r="H87" s="253">
        <f t="shared" si="38"/>
        <v>524.74008950617292</v>
      </c>
      <c r="I87" s="83">
        <f t="shared" si="38"/>
        <v>107.47688580246916</v>
      </c>
      <c r="J87" s="260">
        <f t="shared" si="39"/>
        <v>1.8471268337502151</v>
      </c>
      <c r="K87" s="100">
        <f t="shared" si="39"/>
        <v>0.36153131871975885</v>
      </c>
      <c r="L87" s="253">
        <f t="shared" si="40"/>
        <v>746.41439941414956</v>
      </c>
      <c r="M87" s="83">
        <f t="shared" si="40"/>
        <v>73.046467952537483</v>
      </c>
      <c r="N87" s="253">
        <f t="shared" si="41"/>
        <v>460.62944433066667</v>
      </c>
      <c r="O87" s="83">
        <f t="shared" si="42"/>
        <v>94.345789802666658</v>
      </c>
      <c r="P87" s="261">
        <f t="shared" si="43"/>
        <v>810</v>
      </c>
      <c r="Q87" s="98">
        <f t="shared" si="44"/>
        <v>405</v>
      </c>
      <c r="R87" s="253">
        <f t="shared" si="32"/>
        <v>0.99776500638569621</v>
      </c>
      <c r="S87" s="83">
        <f t="shared" si="32"/>
        <v>0.99776500638569621</v>
      </c>
      <c r="T87" s="253">
        <f t="shared" si="45"/>
        <v>459.59994046402733</v>
      </c>
      <c r="U87" s="83">
        <f t="shared" si="45"/>
        <v>94.134927564921256</v>
      </c>
      <c r="V87" s="260">
        <f t="shared" si="46"/>
        <v>1.3155085138285727</v>
      </c>
      <c r="W87" s="100">
        <f t="shared" si="46"/>
        <v>0.30302157342443548</v>
      </c>
      <c r="X87" s="253">
        <f t="shared" si="47"/>
        <v>531.59018608374436</v>
      </c>
      <c r="Y87" s="83">
        <f t="shared" si="47"/>
        <v>61.224725233924204</v>
      </c>
      <c r="Z87" s="253">
        <f t="shared" si="48"/>
        <v>272441.25578616461</v>
      </c>
      <c r="AA87" s="83">
        <f t="shared" si="48"/>
        <v>26661.960802676182</v>
      </c>
      <c r="AB87" s="253">
        <f t="shared" si="49"/>
        <v>194030.41792056669</v>
      </c>
      <c r="AC87" s="83">
        <f t="shared" si="49"/>
        <v>22347.024710382335</v>
      </c>
      <c r="AD87" s="170"/>
      <c r="AE87" s="170"/>
      <c r="AF87" s="170"/>
      <c r="AG87" s="170"/>
      <c r="AH87" s="170"/>
      <c r="AI87" s="170"/>
      <c r="AJ87" s="170"/>
      <c r="AK87" s="170"/>
      <c r="AL87" s="170"/>
      <c r="AM87" s="170"/>
      <c r="AN87" s="170"/>
      <c r="AO87" s="170"/>
      <c r="AP87" s="170"/>
      <c r="AQ87" s="170"/>
      <c r="AR87" s="170"/>
      <c r="AS87" s="170"/>
      <c r="AT87" s="170"/>
      <c r="AU87" s="170"/>
      <c r="AV87" s="170"/>
      <c r="AW87" s="170"/>
      <c r="AX87" s="170"/>
      <c r="AY87" s="170"/>
      <c r="AZ87" s="170"/>
      <c r="BA87" s="170"/>
      <c r="BB87" s="170"/>
      <c r="BC87" s="170"/>
      <c r="BD87" s="170"/>
      <c r="BE87" s="170"/>
      <c r="BF87" s="170"/>
      <c r="BG87" s="170"/>
      <c r="BH87" s="170"/>
      <c r="BI87" s="170"/>
      <c r="BJ87" s="170"/>
      <c r="BK87" s="170"/>
      <c r="BL87" s="170"/>
      <c r="BM87" s="170"/>
      <c r="BN87" s="170"/>
      <c r="BO87" s="170"/>
      <c r="BP87" s="170"/>
      <c r="BQ87" s="170"/>
      <c r="BR87" s="170"/>
      <c r="BS87" s="170"/>
      <c r="BT87" s="170"/>
      <c r="BU87" s="170"/>
      <c r="BV87" s="170"/>
      <c r="BW87" s="170"/>
      <c r="BX87" s="170"/>
      <c r="BY87" s="170"/>
      <c r="BZ87" s="170"/>
    </row>
    <row r="88" spans="1:78" x14ac:dyDescent="0.2">
      <c r="A88" s="84">
        <f t="shared" si="33"/>
        <v>2023</v>
      </c>
      <c r="B88" s="261">
        <f t="shared" si="34"/>
        <v>534.33015542357327</v>
      </c>
      <c r="C88" s="98">
        <f t="shared" si="35"/>
        <v>109.44111617109334</v>
      </c>
      <c r="D88" s="261">
        <f t="shared" si="36"/>
        <v>810</v>
      </c>
      <c r="E88" s="98">
        <f t="shared" si="37"/>
        <v>405</v>
      </c>
      <c r="F88" s="253">
        <f t="shared" si="31"/>
        <v>0.99776500638569621</v>
      </c>
      <c r="G88" s="83">
        <f t="shared" si="31"/>
        <v>0.99776500638569621</v>
      </c>
      <c r="H88" s="253">
        <f t="shared" si="38"/>
        <v>533.1359309382716</v>
      </c>
      <c r="I88" s="83">
        <f t="shared" si="38"/>
        <v>109.19651597530867</v>
      </c>
      <c r="J88" s="260">
        <f t="shared" si="39"/>
        <v>1.9339653626512818</v>
      </c>
      <c r="K88" s="100">
        <f t="shared" si="39"/>
        <v>0.36945773566569706</v>
      </c>
      <c r="L88" s="253">
        <f t="shared" si="40"/>
        <v>781.50539977826588</v>
      </c>
      <c r="M88" s="83">
        <f t="shared" si="40"/>
        <v>74.647979997110141</v>
      </c>
      <c r="N88" s="253">
        <f t="shared" si="41"/>
        <v>467.99951543995735</v>
      </c>
      <c r="O88" s="83">
        <f t="shared" si="42"/>
        <v>95.855322439509322</v>
      </c>
      <c r="P88" s="261">
        <f t="shared" si="43"/>
        <v>810</v>
      </c>
      <c r="Q88" s="98">
        <f t="shared" si="44"/>
        <v>405</v>
      </c>
      <c r="R88" s="253">
        <f t="shared" si="32"/>
        <v>0.99776500638569621</v>
      </c>
      <c r="S88" s="83">
        <f t="shared" si="32"/>
        <v>0.99776500638569621</v>
      </c>
      <c r="T88" s="253">
        <f t="shared" si="45"/>
        <v>466.95353951145177</v>
      </c>
      <c r="U88" s="83">
        <f t="shared" si="45"/>
        <v>95.641086405959982</v>
      </c>
      <c r="V88" s="260">
        <f t="shared" si="46"/>
        <v>1.3653592921429676</v>
      </c>
      <c r="W88" s="100">
        <f t="shared" si="46"/>
        <v>0.30937322667392775</v>
      </c>
      <c r="X88" s="253">
        <f t="shared" si="47"/>
        <v>551.73462775173812</v>
      </c>
      <c r="Y88" s="83">
        <f t="shared" si="47"/>
        <v>62.508060346294677</v>
      </c>
      <c r="Z88" s="253">
        <f t="shared" si="48"/>
        <v>285249.47091906704</v>
      </c>
      <c r="AA88" s="83">
        <f t="shared" si="48"/>
        <v>27246.5126989452</v>
      </c>
      <c r="AB88" s="253">
        <f t="shared" si="49"/>
        <v>201383.13912938442</v>
      </c>
      <c r="AC88" s="83">
        <f t="shared" si="49"/>
        <v>22815.442026397555</v>
      </c>
      <c r="AD88" s="170"/>
      <c r="AE88" s="170"/>
      <c r="AF88" s="170"/>
      <c r="AG88" s="170"/>
      <c r="AH88" s="170"/>
      <c r="AI88" s="170"/>
      <c r="AJ88" s="170"/>
      <c r="AK88" s="170"/>
      <c r="AL88" s="170"/>
      <c r="AM88" s="170"/>
      <c r="AN88" s="170"/>
      <c r="AO88" s="170"/>
      <c r="AP88" s="170"/>
      <c r="AQ88" s="170"/>
      <c r="AR88" s="170"/>
      <c r="AS88" s="170"/>
      <c r="AT88" s="170"/>
      <c r="AU88" s="170"/>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0"/>
      <c r="BR88" s="170"/>
      <c r="BS88" s="170"/>
      <c r="BT88" s="170"/>
      <c r="BU88" s="170"/>
      <c r="BV88" s="170"/>
      <c r="BW88" s="170"/>
      <c r="BX88" s="170"/>
      <c r="BY88" s="170"/>
      <c r="BZ88" s="170"/>
    </row>
    <row r="89" spans="1:78" x14ac:dyDescent="0.2">
      <c r="A89" s="84">
        <f t="shared" si="33"/>
        <v>2024</v>
      </c>
      <c r="B89" s="261">
        <f t="shared" si="34"/>
        <v>542.87943791035048</v>
      </c>
      <c r="C89" s="98">
        <f t="shared" si="35"/>
        <v>111.19217402983084</v>
      </c>
      <c r="D89" s="261">
        <f t="shared" si="36"/>
        <v>810</v>
      </c>
      <c r="E89" s="98">
        <f t="shared" si="37"/>
        <v>405</v>
      </c>
      <c r="F89" s="253">
        <f t="shared" si="31"/>
        <v>0.99776500638569621</v>
      </c>
      <c r="G89" s="83">
        <f t="shared" si="31"/>
        <v>0.99776500638569621</v>
      </c>
      <c r="H89" s="253">
        <f t="shared" si="38"/>
        <v>541.66610583328406</v>
      </c>
      <c r="I89" s="83">
        <f t="shared" si="38"/>
        <v>110.94366023091361</v>
      </c>
      <c r="J89" s="260">
        <f t="shared" si="39"/>
        <v>2.0277963687853169</v>
      </c>
      <c r="K89" s="100">
        <f t="shared" si="39"/>
        <v>0.37760621203527067</v>
      </c>
      <c r="L89" s="253">
        <f t="shared" si="40"/>
        <v>819.42202402423925</v>
      </c>
      <c r="M89" s="83">
        <f t="shared" si="40"/>
        <v>76.294358573936719</v>
      </c>
      <c r="N89" s="253">
        <f t="shared" si="41"/>
        <v>475.48750768699665</v>
      </c>
      <c r="O89" s="83">
        <f t="shared" si="42"/>
        <v>97.389007598541468</v>
      </c>
      <c r="P89" s="261">
        <f t="shared" si="43"/>
        <v>810</v>
      </c>
      <c r="Q89" s="98">
        <f t="shared" si="44"/>
        <v>405</v>
      </c>
      <c r="R89" s="253">
        <f t="shared" si="32"/>
        <v>0.99776500638569621</v>
      </c>
      <c r="S89" s="83">
        <f t="shared" si="32"/>
        <v>0.99776500638569621</v>
      </c>
      <c r="T89" s="253">
        <f t="shared" si="45"/>
        <v>474.42479614363498</v>
      </c>
      <c r="U89" s="83">
        <f t="shared" si="45"/>
        <v>97.171343788455346</v>
      </c>
      <c r="V89" s="260">
        <f t="shared" si="46"/>
        <v>1.4182573358118886</v>
      </c>
      <c r="W89" s="100">
        <f t="shared" si="46"/>
        <v>0.31589034913823388</v>
      </c>
      <c r="X89" s="253">
        <f t="shared" si="47"/>
        <v>573.11045358777835</v>
      </c>
      <c r="Y89" s="83">
        <f t="shared" si="47"/>
        <v>63.82482808558067</v>
      </c>
      <c r="Z89" s="253">
        <f t="shared" si="48"/>
        <v>299089.0387688473</v>
      </c>
      <c r="AA89" s="83">
        <f t="shared" si="48"/>
        <v>27847.440879486901</v>
      </c>
      <c r="AB89" s="253">
        <f t="shared" si="49"/>
        <v>209185.3155595391</v>
      </c>
      <c r="AC89" s="83">
        <f t="shared" si="49"/>
        <v>23296.062251236945</v>
      </c>
      <c r="AD89" s="170"/>
      <c r="AE89" s="170"/>
      <c r="AF89" s="170"/>
      <c r="AG89" s="170"/>
      <c r="AH89" s="170"/>
      <c r="AI89" s="170"/>
      <c r="AJ89" s="170"/>
      <c r="AK89" s="170"/>
      <c r="AL89" s="170"/>
      <c r="AM89" s="170"/>
      <c r="AN89" s="170"/>
      <c r="AO89" s="170"/>
      <c r="AP89" s="170"/>
      <c r="AQ89" s="170"/>
      <c r="AR89" s="170"/>
      <c r="AS89" s="170"/>
      <c r="AT89" s="170"/>
      <c r="AU89" s="170"/>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0"/>
      <c r="BR89" s="170"/>
      <c r="BS89" s="170"/>
      <c r="BT89" s="170"/>
      <c r="BU89" s="170"/>
      <c r="BV89" s="170"/>
      <c r="BW89" s="170"/>
      <c r="BX89" s="170"/>
      <c r="BY89" s="170"/>
      <c r="BZ89" s="170"/>
    </row>
    <row r="90" spans="1:78" x14ac:dyDescent="0.2">
      <c r="A90" s="84">
        <f t="shared" si="33"/>
        <v>2025</v>
      </c>
      <c r="B90" s="261">
        <f t="shared" si="34"/>
        <v>551.56550891691609</v>
      </c>
      <c r="C90" s="98">
        <f t="shared" si="35"/>
        <v>112.97124881430813</v>
      </c>
      <c r="D90" s="261">
        <f t="shared" si="36"/>
        <v>810</v>
      </c>
      <c r="E90" s="98">
        <f t="shared" si="37"/>
        <v>405</v>
      </c>
      <c r="F90" s="253">
        <f t="shared" si="31"/>
        <v>0.99776500638569621</v>
      </c>
      <c r="G90" s="83">
        <f t="shared" si="31"/>
        <v>0.99776500638569621</v>
      </c>
      <c r="H90" s="253">
        <f t="shared" si="38"/>
        <v>550.33276352661653</v>
      </c>
      <c r="I90" s="83">
        <f t="shared" si="38"/>
        <v>112.71875879460822</v>
      </c>
      <c r="J90" s="260">
        <f t="shared" si="39"/>
        <v>2.1294865140492818</v>
      </c>
      <c r="K90" s="100">
        <f t="shared" si="39"/>
        <v>0.38598514131553407</v>
      </c>
      <c r="L90" s="253">
        <f t="shared" si="40"/>
        <v>860.51448574189737</v>
      </c>
      <c r="M90" s="83">
        <f t="shared" si="40"/>
        <v>77.987299565369241</v>
      </c>
      <c r="N90" s="253">
        <f t="shared" si="41"/>
        <v>483.09530780998858</v>
      </c>
      <c r="O90" s="83">
        <f t="shared" si="42"/>
        <v>98.94723172011814</v>
      </c>
      <c r="P90" s="261">
        <f t="shared" si="43"/>
        <v>810</v>
      </c>
      <c r="Q90" s="98">
        <f t="shared" si="44"/>
        <v>405</v>
      </c>
      <c r="R90" s="253">
        <f t="shared" si="32"/>
        <v>0.99776500638569621</v>
      </c>
      <c r="S90" s="83">
        <f t="shared" si="32"/>
        <v>0.99776500638569621</v>
      </c>
      <c r="T90" s="253">
        <f t="shared" si="45"/>
        <v>482.01559288193312</v>
      </c>
      <c r="U90" s="83">
        <f t="shared" si="45"/>
        <v>98.726085289070639</v>
      </c>
      <c r="V90" s="260">
        <f t="shared" si="46"/>
        <v>1.4744835555978022</v>
      </c>
      <c r="W90" s="100">
        <f t="shared" si="46"/>
        <v>0.32257863846141305</v>
      </c>
      <c r="X90" s="253">
        <f t="shared" si="47"/>
        <v>595.83117817799132</v>
      </c>
      <c r="Y90" s="83">
        <f t="shared" si="47"/>
        <v>65.176179646029055</v>
      </c>
      <c r="Z90" s="253">
        <f t="shared" si="48"/>
        <v>314087.78729579254</v>
      </c>
      <c r="AA90" s="83">
        <f t="shared" si="48"/>
        <v>28465.364341359775</v>
      </c>
      <c r="AB90" s="253">
        <f t="shared" si="49"/>
        <v>217478.38003496683</v>
      </c>
      <c r="AC90" s="83">
        <f t="shared" si="49"/>
        <v>23789.305570800607</v>
      </c>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70"/>
      <c r="AZ90" s="170"/>
      <c r="BA90" s="170"/>
      <c r="BB90" s="170"/>
      <c r="BC90" s="170"/>
      <c r="BD90" s="170"/>
      <c r="BE90" s="170"/>
      <c r="BF90" s="170"/>
      <c r="BG90" s="170"/>
      <c r="BH90" s="170"/>
      <c r="BI90" s="170"/>
      <c r="BJ90" s="170"/>
      <c r="BK90" s="170"/>
      <c r="BL90" s="170"/>
      <c r="BM90" s="170"/>
      <c r="BN90" s="170"/>
      <c r="BO90" s="170"/>
      <c r="BP90" s="170"/>
      <c r="BQ90" s="170"/>
      <c r="BR90" s="170"/>
      <c r="BS90" s="170"/>
      <c r="BT90" s="170"/>
      <c r="BU90" s="170"/>
      <c r="BV90" s="170"/>
      <c r="BW90" s="170"/>
      <c r="BX90" s="170"/>
      <c r="BY90" s="170"/>
      <c r="BZ90" s="170"/>
    </row>
    <row r="91" spans="1:78" x14ac:dyDescent="0.2">
      <c r="A91" s="84">
        <f t="shared" si="33"/>
        <v>2026</v>
      </c>
      <c r="B91" s="261">
        <f t="shared" si="34"/>
        <v>560.39055705958674</v>
      </c>
      <c r="C91" s="98">
        <f t="shared" si="35"/>
        <v>114.77878879533706</v>
      </c>
      <c r="D91" s="261">
        <f t="shared" si="36"/>
        <v>810</v>
      </c>
      <c r="E91" s="98">
        <f t="shared" si="37"/>
        <v>405</v>
      </c>
      <c r="F91" s="253">
        <f t="shared" si="31"/>
        <v>0.99776500638569621</v>
      </c>
      <c r="G91" s="83">
        <f t="shared" si="31"/>
        <v>0.99776500638569621</v>
      </c>
      <c r="H91" s="253">
        <f t="shared" si="38"/>
        <v>559.13808774304243</v>
      </c>
      <c r="I91" s="83">
        <f t="shared" si="38"/>
        <v>114.52225893532196</v>
      </c>
      <c r="J91" s="260">
        <f t="shared" si="39"/>
        <v>2.2400518231857109</v>
      </c>
      <c r="K91" s="100">
        <f t="shared" si="39"/>
        <v>0.39460333881165316</v>
      </c>
      <c r="L91" s="253">
        <f t="shared" si="40"/>
        <v>905.19335527439841</v>
      </c>
      <c r="M91" s="83">
        <f t="shared" si="40"/>
        <v>79.728584081018298</v>
      </c>
      <c r="N91" s="253">
        <f t="shared" si="41"/>
        <v>490.82483273494842</v>
      </c>
      <c r="O91" s="83">
        <f t="shared" si="42"/>
        <v>100.53038742764004</v>
      </c>
      <c r="P91" s="261">
        <f t="shared" si="43"/>
        <v>810</v>
      </c>
      <c r="Q91" s="98">
        <f t="shared" si="44"/>
        <v>405</v>
      </c>
      <c r="R91" s="253">
        <f t="shared" si="32"/>
        <v>0.99776500638569621</v>
      </c>
      <c r="S91" s="83">
        <f t="shared" si="32"/>
        <v>0.99776500638569621</v>
      </c>
      <c r="T91" s="253">
        <f t="shared" si="45"/>
        <v>489.72784236804409</v>
      </c>
      <c r="U91" s="83">
        <f t="shared" si="45"/>
        <v>100.30570265369577</v>
      </c>
      <c r="V91" s="260">
        <f t="shared" si="46"/>
        <v>1.5343544629879085</v>
      </c>
      <c r="W91" s="100">
        <f t="shared" si="46"/>
        <v>0.32944405126753734</v>
      </c>
      <c r="X91" s="253">
        <f t="shared" si="47"/>
        <v>620.024702177226</v>
      </c>
      <c r="Y91" s="83">
        <f t="shared" si="47"/>
        <v>66.563318548128507</v>
      </c>
      <c r="Z91" s="253">
        <f t="shared" si="48"/>
        <v>330395.5746751554</v>
      </c>
      <c r="AA91" s="83">
        <f t="shared" si="48"/>
        <v>29100.933189571679</v>
      </c>
      <c r="AB91" s="253">
        <f t="shared" si="49"/>
        <v>226309.01629468749</v>
      </c>
      <c r="AC91" s="83">
        <f t="shared" si="49"/>
        <v>24295.611270066904</v>
      </c>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row>
    <row r="92" spans="1:78" x14ac:dyDescent="0.2">
      <c r="A92" s="84">
        <f t="shared" si="33"/>
        <v>2027</v>
      </c>
      <c r="B92" s="261">
        <f t="shared" si="34"/>
        <v>569.35680597254009</v>
      </c>
      <c r="C92" s="98">
        <f t="shared" si="35"/>
        <v>116.61524941606245</v>
      </c>
      <c r="D92" s="261">
        <f t="shared" si="36"/>
        <v>810</v>
      </c>
      <c r="E92" s="98">
        <f t="shared" si="37"/>
        <v>405</v>
      </c>
      <c r="F92" s="253">
        <f t="shared" si="31"/>
        <v>0.99776500638569621</v>
      </c>
      <c r="G92" s="83">
        <f t="shared" si="31"/>
        <v>0.99776500638569621</v>
      </c>
      <c r="H92" s="253">
        <f t="shared" si="38"/>
        <v>568.08429714693102</v>
      </c>
      <c r="I92" s="83">
        <f t="shared" si="38"/>
        <v>116.35461507828711</v>
      </c>
      <c r="J92" s="260">
        <f t="shared" si="39"/>
        <v>2.3606913108130816</v>
      </c>
      <c r="K92" s="100">
        <f t="shared" si="39"/>
        <v>0.4034700685202175</v>
      </c>
      <c r="L92" s="253">
        <f t="shared" si="40"/>
        <v>953.94314822726903</v>
      </c>
      <c r="M92" s="83">
        <f t="shared" si="40"/>
        <v>81.520083887436201</v>
      </c>
      <c r="N92" s="253">
        <f t="shared" si="41"/>
        <v>498.67803005870758</v>
      </c>
      <c r="O92" s="83">
        <f t="shared" si="42"/>
        <v>102.13887362648228</v>
      </c>
      <c r="P92" s="261">
        <f t="shared" si="43"/>
        <v>810</v>
      </c>
      <c r="Q92" s="98">
        <f t="shared" si="44"/>
        <v>405</v>
      </c>
      <c r="R92" s="253">
        <f t="shared" si="32"/>
        <v>0.99776500638569621</v>
      </c>
      <c r="S92" s="83">
        <f t="shared" si="32"/>
        <v>0.99776500638569621</v>
      </c>
      <c r="T92" s="253">
        <f t="shared" si="45"/>
        <v>497.5634878459328</v>
      </c>
      <c r="U92" s="83">
        <f t="shared" si="45"/>
        <v>101.91059389615491</v>
      </c>
      <c r="V92" s="260">
        <f t="shared" si="46"/>
        <v>1.5982279950874039</v>
      </c>
      <c r="W92" s="100">
        <f t="shared" si="46"/>
        <v>0.33649281806628717</v>
      </c>
      <c r="X92" s="253">
        <f t="shared" si="47"/>
        <v>645.83566611829372</v>
      </c>
      <c r="Y92" s="83">
        <f t="shared" si="47"/>
        <v>67.987503650246609</v>
      </c>
      <c r="Z92" s="253">
        <f t="shared" si="48"/>
        <v>348189.24910295318</v>
      </c>
      <c r="AA92" s="83">
        <f t="shared" si="48"/>
        <v>29754.830618914213</v>
      </c>
      <c r="AB92" s="253">
        <f t="shared" si="49"/>
        <v>235730.01813317722</v>
      </c>
      <c r="AC92" s="83">
        <f t="shared" si="49"/>
        <v>24815.438832340013</v>
      </c>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170"/>
      <c r="BA92" s="170"/>
      <c r="BB92" s="170"/>
      <c r="BC92" s="170"/>
      <c r="BD92" s="170"/>
      <c r="BE92" s="170"/>
      <c r="BF92" s="170"/>
      <c r="BG92" s="170"/>
      <c r="BH92" s="170"/>
      <c r="BI92" s="170"/>
      <c r="BJ92" s="170"/>
      <c r="BK92" s="170"/>
      <c r="BL92" s="170"/>
      <c r="BM92" s="170"/>
      <c r="BN92" s="170"/>
      <c r="BO92" s="170"/>
      <c r="BP92" s="170"/>
      <c r="BQ92" s="170"/>
      <c r="BR92" s="170"/>
      <c r="BS92" s="170"/>
      <c r="BT92" s="170"/>
      <c r="BU92" s="170"/>
      <c r="BV92" s="170"/>
      <c r="BW92" s="170"/>
      <c r="BX92" s="170"/>
      <c r="BY92" s="170"/>
      <c r="BZ92" s="170"/>
    </row>
    <row r="93" spans="1:78" x14ac:dyDescent="0.2">
      <c r="A93" s="84">
        <f t="shared" si="33"/>
        <v>2028</v>
      </c>
      <c r="B93" s="261">
        <f t="shared" si="34"/>
        <v>578.46651486810072</v>
      </c>
      <c r="C93" s="98">
        <f t="shared" si="35"/>
        <v>118.48109340671945</v>
      </c>
      <c r="D93" s="261">
        <f t="shared" si="36"/>
        <v>810</v>
      </c>
      <c r="E93" s="98">
        <f t="shared" si="37"/>
        <v>405</v>
      </c>
      <c r="F93" s="253">
        <f t="shared" si="31"/>
        <v>0.99776500638569621</v>
      </c>
      <c r="G93" s="83">
        <f t="shared" si="31"/>
        <v>0.99776500638569621</v>
      </c>
      <c r="H93" s="253">
        <f t="shared" si="38"/>
        <v>577.17364590128193</v>
      </c>
      <c r="I93" s="83">
        <f t="shared" si="38"/>
        <v>118.21628891953971</v>
      </c>
      <c r="J93" s="260">
        <f t="shared" si="39"/>
        <v>2.4928301216235718</v>
      </c>
      <c r="K93" s="100">
        <f t="shared" si="39"/>
        <v>0.41259507208489432</v>
      </c>
      <c r="L93" s="253">
        <f t="shared" si="40"/>
        <v>1007.3397581991806</v>
      </c>
      <c r="M93" s="83">
        <f t="shared" si="40"/>
        <v>83.363767258532008</v>
      </c>
      <c r="N93" s="253">
        <f t="shared" si="41"/>
        <v>506.65687853964693</v>
      </c>
      <c r="O93" s="83">
        <f t="shared" si="42"/>
        <v>103.773095604506</v>
      </c>
      <c r="P93" s="261">
        <f t="shared" si="43"/>
        <v>810</v>
      </c>
      <c r="Q93" s="98">
        <f t="shared" si="44"/>
        <v>405</v>
      </c>
      <c r="R93" s="253">
        <f t="shared" si="32"/>
        <v>0.99776500638569621</v>
      </c>
      <c r="S93" s="83">
        <f t="shared" si="32"/>
        <v>0.99776500638569621</v>
      </c>
      <c r="T93" s="253">
        <f t="shared" si="45"/>
        <v>505.52450365146774</v>
      </c>
      <c r="U93" s="83">
        <f t="shared" si="45"/>
        <v>103.5411633984934</v>
      </c>
      <c r="V93" s="260">
        <f t="shared" si="46"/>
        <v>1.6665105218729668</v>
      </c>
      <c r="W93" s="100">
        <f t="shared" si="46"/>
        <v>0.34373145920109999</v>
      </c>
      <c r="X93" s="253">
        <f t="shared" si="47"/>
        <v>673.42828200685631</v>
      </c>
      <c r="Y93" s="83">
        <f t="shared" si="47"/>
        <v>69.450052370911919</v>
      </c>
      <c r="Z93" s="253">
        <f t="shared" si="48"/>
        <v>367679.01174270088</v>
      </c>
      <c r="AA93" s="83">
        <f t="shared" si="48"/>
        <v>30427.775049364183</v>
      </c>
      <c r="AB93" s="253">
        <f t="shared" si="49"/>
        <v>245801.32293250255</v>
      </c>
      <c r="AC93" s="83">
        <f t="shared" si="49"/>
        <v>25349.269115382849</v>
      </c>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c r="BA93" s="170"/>
      <c r="BB93" s="170"/>
      <c r="BC93" s="170"/>
      <c r="BD93" s="170"/>
      <c r="BE93" s="170"/>
      <c r="BF93" s="170"/>
      <c r="BG93" s="170"/>
      <c r="BH93" s="170"/>
      <c r="BI93" s="170"/>
      <c r="BJ93" s="170"/>
      <c r="BK93" s="170"/>
      <c r="BL93" s="170"/>
      <c r="BM93" s="170"/>
      <c r="BN93" s="170"/>
      <c r="BO93" s="170"/>
      <c r="BP93" s="170"/>
      <c r="BQ93" s="170"/>
      <c r="BR93" s="170"/>
      <c r="BS93" s="170"/>
      <c r="BT93" s="170"/>
      <c r="BU93" s="170"/>
      <c r="BV93" s="170"/>
      <c r="BW93" s="170"/>
      <c r="BX93" s="170"/>
      <c r="BY93" s="170"/>
      <c r="BZ93" s="170"/>
    </row>
    <row r="94" spans="1:78" x14ac:dyDescent="0.2">
      <c r="A94" s="84">
        <f t="shared" si="33"/>
        <v>2029</v>
      </c>
      <c r="B94" s="261">
        <f t="shared" si="34"/>
        <v>587.72197910599039</v>
      </c>
      <c r="C94" s="98">
        <f t="shared" si="35"/>
        <v>120.37679090122697</v>
      </c>
      <c r="D94" s="261">
        <f t="shared" si="36"/>
        <v>810</v>
      </c>
      <c r="E94" s="98">
        <f t="shared" si="37"/>
        <v>405</v>
      </c>
      <c r="F94" s="253">
        <f t="shared" si="31"/>
        <v>0.99776500638569621</v>
      </c>
      <c r="G94" s="83">
        <f t="shared" si="31"/>
        <v>0.99776500638569621</v>
      </c>
      <c r="H94" s="253">
        <f t="shared" si="38"/>
        <v>586.40842423570246</v>
      </c>
      <c r="I94" s="83">
        <f t="shared" si="38"/>
        <v>120.10774954225235</v>
      </c>
      <c r="J94" s="260">
        <f t="shared" si="39"/>
        <v>2.6381754789661533</v>
      </c>
      <c r="K94" s="100">
        <f t="shared" si="39"/>
        <v>0.4219886000251345</v>
      </c>
      <c r="L94" s="253">
        <f t="shared" si="40"/>
        <v>1066.0730653149867</v>
      </c>
      <c r="M94" s="83">
        <f t="shared" si="40"/>
        <v>85.261705285250784</v>
      </c>
      <c r="N94" s="253">
        <f t="shared" si="41"/>
        <v>514.76338859628129</v>
      </c>
      <c r="O94" s="83">
        <f t="shared" si="42"/>
        <v>105.43346513417809</v>
      </c>
      <c r="P94" s="261">
        <f t="shared" si="43"/>
        <v>810</v>
      </c>
      <c r="Q94" s="98">
        <f t="shared" si="44"/>
        <v>405</v>
      </c>
      <c r="R94" s="253">
        <f t="shared" si="32"/>
        <v>0.99776500638569621</v>
      </c>
      <c r="S94" s="83">
        <f t="shared" si="32"/>
        <v>0.99776500638569621</v>
      </c>
      <c r="T94" s="253">
        <f t="shared" si="45"/>
        <v>513.61289570989118</v>
      </c>
      <c r="U94" s="83">
        <f t="shared" si="45"/>
        <v>105.19782201286928</v>
      </c>
      <c r="V94" s="260">
        <f t="shared" si="46"/>
        <v>1.7396653256108394</v>
      </c>
      <c r="W94" s="100">
        <f t="shared" si="46"/>
        <v>0.35116680192595001</v>
      </c>
      <c r="X94" s="253">
        <f t="shared" si="47"/>
        <v>702.98975981041474</v>
      </c>
      <c r="Y94" s="83">
        <f t="shared" si="47"/>
        <v>70.952344139133231</v>
      </c>
      <c r="Z94" s="253">
        <f t="shared" si="48"/>
        <v>389116.66883997014</v>
      </c>
      <c r="AA94" s="83">
        <f t="shared" si="48"/>
        <v>31120.522429116536</v>
      </c>
      <c r="AB94" s="253">
        <f t="shared" si="49"/>
        <v>256591.26233080137</v>
      </c>
      <c r="AC94" s="83">
        <f t="shared" si="49"/>
        <v>25897.60561078363</v>
      </c>
      <c r="AD94" s="170"/>
      <c r="AE94" s="170"/>
      <c r="AF94" s="170"/>
      <c r="AG94" s="170"/>
      <c r="AH94" s="170"/>
      <c r="AI94" s="170"/>
      <c r="AJ94" s="170"/>
      <c r="AK94" s="170"/>
      <c r="AL94" s="170"/>
      <c r="AM94" s="170"/>
      <c r="AN94" s="170"/>
      <c r="AO94" s="170"/>
      <c r="AP94" s="170"/>
      <c r="AQ94" s="170"/>
      <c r="AR94" s="170"/>
      <c r="AS94" s="170"/>
      <c r="AT94" s="170"/>
      <c r="AU94" s="170"/>
      <c r="AV94" s="170"/>
      <c r="AW94" s="170"/>
      <c r="AX94" s="170"/>
      <c r="AY94" s="170"/>
      <c r="AZ94" s="170"/>
      <c r="BA94" s="170"/>
      <c r="BB94" s="170"/>
      <c r="BC94" s="170"/>
      <c r="BD94" s="170"/>
      <c r="BE94" s="170"/>
      <c r="BF94" s="170"/>
      <c r="BG94" s="170"/>
      <c r="BH94" s="170"/>
      <c r="BI94" s="170"/>
      <c r="BJ94" s="170"/>
      <c r="BK94" s="170"/>
      <c r="BL94" s="170"/>
      <c r="BM94" s="170"/>
      <c r="BN94" s="170"/>
      <c r="BO94" s="170"/>
      <c r="BP94" s="170"/>
      <c r="BQ94" s="170"/>
      <c r="BR94" s="170"/>
      <c r="BS94" s="170"/>
      <c r="BT94" s="170"/>
      <c r="BU94" s="170"/>
      <c r="BV94" s="170"/>
      <c r="BW94" s="170"/>
      <c r="BX94" s="170"/>
      <c r="BY94" s="170"/>
      <c r="BZ94" s="170"/>
    </row>
    <row r="95" spans="1:78" x14ac:dyDescent="0.2">
      <c r="A95" s="84">
        <f t="shared" si="33"/>
        <v>2030</v>
      </c>
      <c r="B95" s="261">
        <f t="shared" si="34"/>
        <v>597.12553077168627</v>
      </c>
      <c r="C95" s="98">
        <f t="shared" si="35"/>
        <v>122.30281955564661</v>
      </c>
      <c r="D95" s="261">
        <f t="shared" si="36"/>
        <v>810</v>
      </c>
      <c r="E95" s="98">
        <f t="shared" si="37"/>
        <v>405</v>
      </c>
      <c r="F95" s="253">
        <f t="shared" si="31"/>
        <v>0.99776500638569621</v>
      </c>
      <c r="G95" s="83">
        <f t="shared" si="31"/>
        <v>0.99776500638569621</v>
      </c>
      <c r="H95" s="253">
        <f t="shared" si="38"/>
        <v>595.79095902347376</v>
      </c>
      <c r="I95" s="83">
        <f t="shared" si="38"/>
        <v>122.02947353492839</v>
      </c>
      <c r="J95" s="260">
        <f t="shared" si="39"/>
        <v>2.7987901094164163</v>
      </c>
      <c r="K95" s="100">
        <f t="shared" si="39"/>
        <v>0.43166144544886564</v>
      </c>
      <c r="L95" s="253">
        <f t="shared" si="40"/>
        <v>1130.9766067146081</v>
      </c>
      <c r="M95" s="83">
        <f t="shared" si="40"/>
        <v>87.216078687136118</v>
      </c>
      <c r="N95" s="253">
        <f t="shared" si="41"/>
        <v>522.99960281382175</v>
      </c>
      <c r="O95" s="83">
        <f t="shared" si="42"/>
        <v>107.12040057632494</v>
      </c>
      <c r="P95" s="261">
        <f t="shared" si="43"/>
        <v>810</v>
      </c>
      <c r="Q95" s="98">
        <f t="shared" si="44"/>
        <v>405</v>
      </c>
      <c r="R95" s="253">
        <f t="shared" si="32"/>
        <v>0.99776500638569621</v>
      </c>
      <c r="S95" s="83">
        <f t="shared" si="32"/>
        <v>0.99776500638569621</v>
      </c>
      <c r="T95" s="253">
        <f t="shared" si="45"/>
        <v>521.83070204124942</v>
      </c>
      <c r="U95" s="83">
        <f t="shared" si="45"/>
        <v>106.88098716507518</v>
      </c>
      <c r="V95" s="260">
        <f t="shared" si="46"/>
        <v>1.8182229263701537</v>
      </c>
      <c r="W95" s="100">
        <f t="shared" si="46"/>
        <v>0.3588059987050608</v>
      </c>
      <c r="X95" s="253">
        <f t="shared" si="47"/>
        <v>734.73447994483593</v>
      </c>
      <c r="Y95" s="83">
        <f t="shared" si="47"/>
        <v>72.495824091809169</v>
      </c>
      <c r="Z95" s="253">
        <f t="shared" si="48"/>
        <v>412806.46145083196</v>
      </c>
      <c r="AA95" s="83">
        <f t="shared" si="48"/>
        <v>31833.868720804683</v>
      </c>
      <c r="AB95" s="253">
        <f t="shared" si="49"/>
        <v>268178.08517986513</v>
      </c>
      <c r="AC95" s="83">
        <f t="shared" si="49"/>
        <v>26460.975793510348</v>
      </c>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c r="BZ95" s="170"/>
    </row>
    <row r="96" spans="1:78" x14ac:dyDescent="0.2">
      <c r="A96" s="84">
        <f t="shared" si="33"/>
        <v>2031</v>
      </c>
      <c r="B96" s="261">
        <f t="shared" si="34"/>
        <v>606.67953926403322</v>
      </c>
      <c r="C96" s="98">
        <f t="shared" si="35"/>
        <v>124.25966466853696</v>
      </c>
      <c r="D96" s="261">
        <f t="shared" si="36"/>
        <v>810</v>
      </c>
      <c r="E96" s="98">
        <f t="shared" si="37"/>
        <v>405</v>
      </c>
      <c r="F96" s="253">
        <f t="shared" si="31"/>
        <v>0.99776500638569621</v>
      </c>
      <c r="G96" s="83">
        <f t="shared" si="31"/>
        <v>0.99776500638569621</v>
      </c>
      <c r="H96" s="253">
        <f t="shared" si="38"/>
        <v>605.32361436784936</v>
      </c>
      <c r="I96" s="83">
        <f t="shared" si="38"/>
        <v>123.98194511148725</v>
      </c>
      <c r="J96" s="260">
        <f t="shared" si="39"/>
        <v>2.9771898616437151</v>
      </c>
      <c r="K96" s="100">
        <f t="shared" si="39"/>
        <v>0.44162498048278276</v>
      </c>
      <c r="L96" s="253">
        <f t="shared" si="40"/>
        <v>1203.0670238323205</v>
      </c>
      <c r="M96" s="83">
        <f t="shared" si="40"/>
        <v>89.229185172976059</v>
      </c>
      <c r="N96" s="253">
        <f t="shared" si="41"/>
        <v>531.36759645884285</v>
      </c>
      <c r="O96" s="83">
        <f t="shared" si="42"/>
        <v>108.83432698554614</v>
      </c>
      <c r="P96" s="261">
        <f t="shared" si="43"/>
        <v>810</v>
      </c>
      <c r="Q96" s="98">
        <f t="shared" si="44"/>
        <v>405</v>
      </c>
      <c r="R96" s="253">
        <f t="shared" si="32"/>
        <v>0.99776500638569621</v>
      </c>
      <c r="S96" s="83">
        <f t="shared" si="32"/>
        <v>0.99776500638569621</v>
      </c>
      <c r="T96" s="253">
        <f t="shared" si="45"/>
        <v>530.17999327390942</v>
      </c>
      <c r="U96" s="83">
        <f t="shared" si="45"/>
        <v>108.59108295971639</v>
      </c>
      <c r="V96" s="260">
        <f t="shared" si="46"/>
        <v>1.902793740196107</v>
      </c>
      <c r="W96" s="100">
        <f t="shared" si="46"/>
        <v>0.36665654683896054</v>
      </c>
      <c r="X96" s="253">
        <f t="shared" si="47"/>
        <v>768.90910837665979</v>
      </c>
      <c r="Y96" s="83">
        <f t="shared" si="47"/>
        <v>74.082007039121905</v>
      </c>
      <c r="Z96" s="253">
        <f t="shared" si="48"/>
        <v>439119.46369879699</v>
      </c>
      <c r="AA96" s="83">
        <f t="shared" si="48"/>
        <v>32568.652588136261</v>
      </c>
      <c r="AB96" s="253">
        <f t="shared" si="49"/>
        <v>280651.82455748081</v>
      </c>
      <c r="AC96" s="83">
        <f t="shared" si="49"/>
        <v>27039.932569279496</v>
      </c>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row>
    <row r="97" spans="1:78" x14ac:dyDescent="0.2">
      <c r="A97" s="84">
        <f t="shared" si="33"/>
        <v>2032</v>
      </c>
      <c r="B97" s="261">
        <f t="shared" si="34"/>
        <v>616.3864118922578</v>
      </c>
      <c r="C97" s="98">
        <f t="shared" si="35"/>
        <v>126.24781930323356</v>
      </c>
      <c r="D97" s="261">
        <f t="shared" si="36"/>
        <v>810</v>
      </c>
      <c r="E97" s="98">
        <f t="shared" si="37"/>
        <v>405</v>
      </c>
      <c r="F97" s="253">
        <f t="shared" si="31"/>
        <v>0.99776500638569621</v>
      </c>
      <c r="G97" s="83">
        <f t="shared" si="31"/>
        <v>0.99776500638569621</v>
      </c>
      <c r="H97" s="253">
        <f t="shared" si="38"/>
        <v>615.00879219773492</v>
      </c>
      <c r="I97" s="83">
        <f t="shared" si="38"/>
        <v>125.96565623327105</v>
      </c>
      <c r="J97" s="260">
        <f t="shared" si="39"/>
        <v>3.1764753610965282</v>
      </c>
      <c r="K97" s="100">
        <f t="shared" si="39"/>
        <v>0.45189119567928909</v>
      </c>
      <c r="L97" s="253">
        <f t="shared" si="40"/>
        <v>1283.597263374136</v>
      </c>
      <c r="M97" s="83">
        <f t="shared" si="40"/>
        <v>91.303447402873616</v>
      </c>
      <c r="N97" s="253">
        <f t="shared" si="41"/>
        <v>539.86947800218434</v>
      </c>
      <c r="O97" s="83">
        <f t="shared" si="42"/>
        <v>110.57567621731488</v>
      </c>
      <c r="P97" s="261">
        <f t="shared" si="43"/>
        <v>810</v>
      </c>
      <c r="Q97" s="98">
        <f t="shared" si="44"/>
        <v>405</v>
      </c>
      <c r="R97" s="253">
        <f t="shared" si="32"/>
        <v>0.99776500638569621</v>
      </c>
      <c r="S97" s="83">
        <f t="shared" si="32"/>
        <v>0.99776500638569621</v>
      </c>
      <c r="T97" s="253">
        <f t="shared" si="45"/>
        <v>538.66287316629189</v>
      </c>
      <c r="U97" s="83">
        <f t="shared" si="45"/>
        <v>110.32854028707186</v>
      </c>
      <c r="V97" s="260">
        <f t="shared" si="46"/>
        <v>1.9940837088029899</v>
      </c>
      <c r="W97" s="100">
        <f t="shared" si="46"/>
        <v>0.37472630953040914</v>
      </c>
      <c r="X97" s="253">
        <f t="shared" si="47"/>
        <v>805.79891250120829</v>
      </c>
      <c r="Y97" s="83">
        <f t="shared" si="47"/>
        <v>75.712481720853148</v>
      </c>
      <c r="Z97" s="253">
        <f t="shared" si="48"/>
        <v>468513.00113155966</v>
      </c>
      <c r="AA97" s="83">
        <f t="shared" si="48"/>
        <v>33325.758302048867</v>
      </c>
      <c r="AB97" s="253">
        <f t="shared" si="49"/>
        <v>294116.60306294105</v>
      </c>
      <c r="AC97" s="83">
        <f t="shared" si="49"/>
        <v>27635.055828111399</v>
      </c>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0"/>
      <c r="BR97" s="170"/>
      <c r="BS97" s="170"/>
      <c r="BT97" s="170"/>
      <c r="BU97" s="170"/>
      <c r="BV97" s="170"/>
      <c r="BW97" s="170"/>
      <c r="BX97" s="170"/>
      <c r="BY97" s="170"/>
      <c r="BZ97" s="170"/>
    </row>
    <row r="98" spans="1:78" x14ac:dyDescent="0.2">
      <c r="A98" s="84">
        <f t="shared" si="33"/>
        <v>2033</v>
      </c>
      <c r="B98" s="261">
        <f t="shared" si="34"/>
        <v>626.24859448253392</v>
      </c>
      <c r="C98" s="98">
        <f t="shared" si="35"/>
        <v>128.26778441208529</v>
      </c>
      <c r="D98" s="261">
        <f t="shared" si="36"/>
        <v>810</v>
      </c>
      <c r="E98" s="98">
        <f t="shared" si="37"/>
        <v>405</v>
      </c>
      <c r="F98" s="253">
        <f t="shared" si="31"/>
        <v>0.99776500638569621</v>
      </c>
      <c r="G98" s="83">
        <f t="shared" si="31"/>
        <v>0.99776500638569621</v>
      </c>
      <c r="H98" s="253">
        <f t="shared" si="38"/>
        <v>624.84893287289867</v>
      </c>
      <c r="I98" s="83">
        <f t="shared" si="38"/>
        <v>127.98110673300339</v>
      </c>
      <c r="J98" s="260">
        <f t="shared" si="39"/>
        <v>3.4005123994194704</v>
      </c>
      <c r="K98" s="100">
        <f t="shared" si="39"/>
        <v>0.46247274268775995</v>
      </c>
      <c r="L98" s="253">
        <f t="shared" si="40"/>
        <v>1374.1294717481696</v>
      </c>
      <c r="M98" s="83">
        <f t="shared" si="40"/>
        <v>93.441421609865301</v>
      </c>
      <c r="N98" s="253">
        <f t="shared" si="41"/>
        <v>548.50738965021924</v>
      </c>
      <c r="O98" s="83">
        <f t="shared" si="42"/>
        <v>112.34488703679192</v>
      </c>
      <c r="P98" s="261">
        <f t="shared" si="43"/>
        <v>810</v>
      </c>
      <c r="Q98" s="98">
        <f t="shared" si="44"/>
        <v>405</v>
      </c>
      <c r="R98" s="253">
        <f t="shared" si="32"/>
        <v>0.99776500638569621</v>
      </c>
      <c r="S98" s="83">
        <f t="shared" si="32"/>
        <v>0.99776500638569621</v>
      </c>
      <c r="T98" s="253">
        <f t="shared" si="45"/>
        <v>547.28147913695261</v>
      </c>
      <c r="U98" s="83">
        <f t="shared" si="45"/>
        <v>112.09379693166501</v>
      </c>
      <c r="V98" s="260">
        <f t="shared" si="46"/>
        <v>2.0929137477532986</v>
      </c>
      <c r="W98" s="100">
        <f t="shared" si="46"/>
        <v>0.38302353851496584</v>
      </c>
      <c r="X98" s="253">
        <f t="shared" si="47"/>
        <v>845.73562005117151</v>
      </c>
      <c r="Y98" s="83">
        <f t="shared" si="47"/>
        <v>77.38891537883201</v>
      </c>
      <c r="Z98" s="253">
        <f t="shared" si="48"/>
        <v>501557.25718808192</v>
      </c>
      <c r="AA98" s="83">
        <f t="shared" si="48"/>
        <v>34106.118887600838</v>
      </c>
      <c r="AB98" s="253">
        <f t="shared" si="49"/>
        <v>308693.50131867762</v>
      </c>
      <c r="AC98" s="83">
        <f t="shared" si="49"/>
        <v>28246.954113273685</v>
      </c>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70"/>
      <c r="BC98" s="170"/>
      <c r="BD98" s="170"/>
      <c r="BE98" s="170"/>
      <c r="BF98" s="170"/>
      <c r="BG98" s="170"/>
      <c r="BH98" s="170"/>
      <c r="BI98" s="170"/>
      <c r="BJ98" s="170"/>
      <c r="BK98" s="170"/>
      <c r="BL98" s="170"/>
      <c r="BM98" s="170"/>
      <c r="BN98" s="170"/>
      <c r="BO98" s="170"/>
      <c r="BP98" s="170"/>
      <c r="BQ98" s="170"/>
      <c r="BR98" s="170"/>
      <c r="BS98" s="170"/>
      <c r="BT98" s="170"/>
      <c r="BU98" s="170"/>
      <c r="BV98" s="170"/>
      <c r="BW98" s="170"/>
      <c r="BX98" s="170"/>
      <c r="BY98" s="170"/>
      <c r="BZ98" s="170"/>
    </row>
    <row r="99" spans="1:78" x14ac:dyDescent="0.2">
      <c r="A99" s="84">
        <f t="shared" si="33"/>
        <v>2034</v>
      </c>
      <c r="B99" s="261">
        <f t="shared" si="34"/>
        <v>636.26857199425444</v>
      </c>
      <c r="C99" s="98">
        <f t="shared" si="35"/>
        <v>130.32006896267865</v>
      </c>
      <c r="D99" s="261">
        <f t="shared" si="36"/>
        <v>810</v>
      </c>
      <c r="E99" s="98">
        <f t="shared" si="37"/>
        <v>405</v>
      </c>
      <c r="F99" s="253">
        <f t="shared" si="31"/>
        <v>0.99776500638569621</v>
      </c>
      <c r="G99" s="83">
        <f t="shared" si="31"/>
        <v>0.99776500638569621</v>
      </c>
      <c r="H99" s="253">
        <f t="shared" si="38"/>
        <v>634.84651579886508</v>
      </c>
      <c r="I99" s="83">
        <f t="shared" si="38"/>
        <v>130.02880444073142</v>
      </c>
      <c r="J99" s="260">
        <f t="shared" si="39"/>
        <v>3.6541834893446552</v>
      </c>
      <c r="K99" s="100">
        <f t="shared" si="39"/>
        <v>0.47338298051001088</v>
      </c>
      <c r="L99" s="253">
        <f t="shared" si="40"/>
        <v>1476.6366470950927</v>
      </c>
      <c r="M99" s="83">
        <f t="shared" si="40"/>
        <v>95.645806945718803</v>
      </c>
      <c r="N99" s="253">
        <f t="shared" si="41"/>
        <v>557.28350788462274</v>
      </c>
      <c r="O99" s="83">
        <f t="shared" si="42"/>
        <v>114.14240522938059</v>
      </c>
      <c r="P99" s="261">
        <f t="shared" si="43"/>
        <v>810</v>
      </c>
      <c r="Q99" s="98">
        <f t="shared" si="44"/>
        <v>405</v>
      </c>
      <c r="R99" s="253">
        <f t="shared" si="32"/>
        <v>0.99776500638569621</v>
      </c>
      <c r="S99" s="83">
        <f t="shared" si="32"/>
        <v>0.99776500638569621</v>
      </c>
      <c r="T99" s="253">
        <f t="shared" si="45"/>
        <v>556.03798280314379</v>
      </c>
      <c r="U99" s="83">
        <f t="shared" si="45"/>
        <v>113.88729768257164</v>
      </c>
      <c r="V99" s="260">
        <f t="shared" si="46"/>
        <v>2.2002441476960897</v>
      </c>
      <c r="W99" s="100">
        <f t="shared" si="46"/>
        <v>0.39155689839348079</v>
      </c>
      <c r="X99" s="253">
        <f t="shared" si="47"/>
        <v>889.10727951081219</v>
      </c>
      <c r="Y99" s="83">
        <f t="shared" si="47"/>
        <v>79.113058673251786</v>
      </c>
      <c r="Z99" s="253">
        <f t="shared" si="48"/>
        <v>538972.37618970883</v>
      </c>
      <c r="AA99" s="83">
        <f t="shared" si="48"/>
        <v>34910.71953518736</v>
      </c>
      <c r="AB99" s="253">
        <f t="shared" si="49"/>
        <v>324524.15702144644</v>
      </c>
      <c r="AC99" s="83">
        <f t="shared" si="49"/>
        <v>28876.2664157369</v>
      </c>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c r="BC99" s="170"/>
      <c r="BD99" s="170"/>
      <c r="BE99" s="170"/>
      <c r="BF99" s="170"/>
      <c r="BG99" s="170"/>
      <c r="BH99" s="170"/>
      <c r="BI99" s="170"/>
      <c r="BJ99" s="170"/>
      <c r="BK99" s="170"/>
      <c r="BL99" s="170"/>
      <c r="BM99" s="170"/>
      <c r="BN99" s="170"/>
      <c r="BO99" s="170"/>
      <c r="BP99" s="170"/>
      <c r="BQ99" s="170"/>
      <c r="BR99" s="170"/>
      <c r="BS99" s="170"/>
      <c r="BT99" s="170"/>
      <c r="BU99" s="170"/>
      <c r="BV99" s="170"/>
      <c r="BW99" s="170"/>
      <c r="BX99" s="170"/>
      <c r="BY99" s="170"/>
      <c r="BZ99" s="170"/>
    </row>
    <row r="100" spans="1:78" x14ac:dyDescent="0.2">
      <c r="A100" s="84">
        <f t="shared" si="33"/>
        <v>2035</v>
      </c>
      <c r="B100" s="261">
        <f t="shared" si="34"/>
        <v>646.44886914616256</v>
      </c>
      <c r="C100" s="98">
        <f t="shared" si="35"/>
        <v>132.4051900660815</v>
      </c>
      <c r="D100" s="261">
        <f t="shared" si="36"/>
        <v>810</v>
      </c>
      <c r="E100" s="98">
        <f t="shared" si="37"/>
        <v>405</v>
      </c>
      <c r="F100" s="253">
        <f t="shared" si="31"/>
        <v>0.99776500638569621</v>
      </c>
      <c r="G100" s="83">
        <f t="shared" si="31"/>
        <v>0.99776500638569621</v>
      </c>
      <c r="H100" s="253">
        <f t="shared" si="38"/>
        <v>645.004060051647</v>
      </c>
      <c r="I100" s="83">
        <f t="shared" si="38"/>
        <v>132.10926531178313</v>
      </c>
      <c r="J100" s="260">
        <f t="shared" si="39"/>
        <v>3.9437456450733746</v>
      </c>
      <c r="K100" s="100">
        <f t="shared" si="39"/>
        <v>0.48463602569619213</v>
      </c>
      <c r="L100" s="253">
        <f t="shared" si="40"/>
        <v>1593.6472164897798</v>
      </c>
      <c r="M100" s="83">
        <f t="shared" si="40"/>
        <v>97.91945562288366</v>
      </c>
      <c r="N100" s="253">
        <f t="shared" si="41"/>
        <v>566.20004401077676</v>
      </c>
      <c r="O100" s="83">
        <f t="shared" si="42"/>
        <v>115.96868371305068</v>
      </c>
      <c r="P100" s="261">
        <f t="shared" si="43"/>
        <v>810</v>
      </c>
      <c r="Q100" s="98">
        <f t="shared" si="44"/>
        <v>405</v>
      </c>
      <c r="R100" s="253">
        <f t="shared" si="32"/>
        <v>0.99776500638569621</v>
      </c>
      <c r="S100" s="83">
        <f t="shared" si="32"/>
        <v>0.99776500638569621</v>
      </c>
      <c r="T100" s="253">
        <f t="shared" si="45"/>
        <v>564.93459052799415</v>
      </c>
      <c r="U100" s="83">
        <f t="shared" si="45"/>
        <v>115.70949444549279</v>
      </c>
      <c r="V100" s="260">
        <f t="shared" si="46"/>
        <v>2.3172054655865733</v>
      </c>
      <c r="W100" s="100">
        <f t="shared" si="46"/>
        <v>0.40033549281772912</v>
      </c>
      <c r="X100" s="253">
        <f t="shared" si="47"/>
        <v>936.37074309802279</v>
      </c>
      <c r="Y100" s="83">
        <f t="shared" si="47"/>
        <v>80.886750973409733</v>
      </c>
      <c r="Z100" s="253">
        <f t="shared" si="48"/>
        <v>581681.23401876958</v>
      </c>
      <c r="AA100" s="83">
        <f t="shared" si="48"/>
        <v>35740.601302352537</v>
      </c>
      <c r="AB100" s="253">
        <f t="shared" si="49"/>
        <v>341775.3212307783</v>
      </c>
      <c r="AC100" s="83">
        <f t="shared" si="49"/>
        <v>29523.664105294552</v>
      </c>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c r="BA100" s="170"/>
      <c r="BB100" s="170"/>
      <c r="BC100" s="170"/>
      <c r="BD100" s="170"/>
      <c r="BE100" s="170"/>
      <c r="BF100" s="170"/>
      <c r="BG100" s="170"/>
      <c r="BH100" s="170"/>
      <c r="BI100" s="170"/>
      <c r="BJ100" s="170"/>
      <c r="BK100" s="170"/>
      <c r="BL100" s="170"/>
      <c r="BM100" s="170"/>
      <c r="BN100" s="170"/>
      <c r="BO100" s="170"/>
      <c r="BP100" s="170"/>
      <c r="BQ100" s="170"/>
      <c r="BR100" s="170"/>
      <c r="BS100" s="170"/>
      <c r="BT100" s="170"/>
      <c r="BU100" s="170"/>
      <c r="BV100" s="170"/>
      <c r="BW100" s="170"/>
      <c r="BX100" s="170"/>
      <c r="BY100" s="170"/>
      <c r="BZ100" s="170"/>
    </row>
    <row r="101" spans="1:78" x14ac:dyDescent="0.2">
      <c r="A101" s="84">
        <f t="shared" si="33"/>
        <v>2036</v>
      </c>
      <c r="B101" s="261">
        <f t="shared" si="34"/>
        <v>656.79205105250117</v>
      </c>
      <c r="C101" s="98">
        <f t="shared" si="35"/>
        <v>134.52367310713882</v>
      </c>
      <c r="D101" s="261">
        <f t="shared" si="36"/>
        <v>810</v>
      </c>
      <c r="E101" s="98">
        <f t="shared" si="37"/>
        <v>405</v>
      </c>
      <c r="F101" s="253">
        <f t="shared" si="31"/>
        <v>0.99776500638569621</v>
      </c>
      <c r="G101" s="83">
        <f t="shared" si="31"/>
        <v>0.99776500638569621</v>
      </c>
      <c r="H101" s="253">
        <f t="shared" si="38"/>
        <v>655.32412501247336</v>
      </c>
      <c r="I101" s="83">
        <f t="shared" si="38"/>
        <v>134.22301355677166</v>
      </c>
      <c r="J101" s="260">
        <f t="shared" si="39"/>
        <v>4.2773506826139895</v>
      </c>
      <c r="K101" s="100">
        <f t="shared" si="39"/>
        <v>0.49624680687836675</v>
      </c>
      <c r="L101" s="253">
        <f t="shared" si="40"/>
        <v>1728.4552866166446</v>
      </c>
      <c r="M101" s="83">
        <f t="shared" si="40"/>
        <v>100.26538393285966</v>
      </c>
      <c r="N101" s="253">
        <f t="shared" si="41"/>
        <v>575.2592447149492</v>
      </c>
      <c r="O101" s="83">
        <f t="shared" si="42"/>
        <v>117.8241826524595</v>
      </c>
      <c r="P101" s="261">
        <f t="shared" si="43"/>
        <v>810</v>
      </c>
      <c r="Q101" s="98">
        <f t="shared" si="44"/>
        <v>405</v>
      </c>
      <c r="R101" s="253">
        <f t="shared" si="32"/>
        <v>0.99776500638569621</v>
      </c>
      <c r="S101" s="83">
        <f t="shared" si="32"/>
        <v>0.99776500638569621</v>
      </c>
      <c r="T101" s="253">
        <f t="shared" si="45"/>
        <v>573.9735439764421</v>
      </c>
      <c r="U101" s="83">
        <f t="shared" si="45"/>
        <v>117.56084635662069</v>
      </c>
      <c r="V101" s="260">
        <f t="shared" si="46"/>
        <v>2.4451380131219804</v>
      </c>
      <c r="W101" s="100">
        <f t="shared" si="46"/>
        <v>0.40936889269596272</v>
      </c>
      <c r="X101" s="253">
        <f t="shared" si="47"/>
        <v>988.06762383700732</v>
      </c>
      <c r="Y101" s="83">
        <f t="shared" si="47"/>
        <v>82.711926056565744</v>
      </c>
      <c r="Z101" s="253">
        <f t="shared" si="48"/>
        <v>630886.17961507523</v>
      </c>
      <c r="AA101" s="83">
        <f t="shared" si="48"/>
        <v>36596.865135493776</v>
      </c>
      <c r="AB101" s="253">
        <f t="shared" si="49"/>
        <v>360644.68270050769</v>
      </c>
      <c r="AC101" s="83">
        <f t="shared" si="49"/>
        <v>30189.853010646497</v>
      </c>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c r="BA101" s="170"/>
      <c r="BB101" s="170"/>
      <c r="BC101" s="170"/>
      <c r="BD101" s="170"/>
      <c r="BE101" s="170"/>
      <c r="BF101" s="170"/>
      <c r="BG101" s="170"/>
      <c r="BH101" s="170"/>
      <c r="BI101" s="170"/>
      <c r="BJ101" s="170"/>
      <c r="BK101" s="170"/>
      <c r="BL101" s="170"/>
      <c r="BM101" s="170"/>
      <c r="BN101" s="170"/>
      <c r="BO101" s="170"/>
      <c r="BP101" s="170"/>
      <c r="BQ101" s="170"/>
      <c r="BR101" s="170"/>
      <c r="BS101" s="170"/>
      <c r="BT101" s="170"/>
      <c r="BU101" s="170"/>
      <c r="BV101" s="170"/>
      <c r="BW101" s="170"/>
      <c r="BX101" s="170"/>
      <c r="BY101" s="170"/>
      <c r="BZ101" s="170"/>
    </row>
    <row r="102" spans="1:78" x14ac:dyDescent="0.2">
      <c r="A102" s="84">
        <f t="shared" si="33"/>
        <v>2037</v>
      </c>
      <c r="B102" s="261">
        <f t="shared" si="34"/>
        <v>667.30072386934114</v>
      </c>
      <c r="C102" s="98">
        <f t="shared" si="35"/>
        <v>136.67605187685305</v>
      </c>
      <c r="D102" s="261">
        <f t="shared" si="36"/>
        <v>810</v>
      </c>
      <c r="E102" s="98">
        <f t="shared" si="37"/>
        <v>405</v>
      </c>
      <c r="F102" s="253">
        <f t="shared" si="31"/>
        <v>0.99776500638569621</v>
      </c>
      <c r="G102" s="83">
        <f t="shared" si="31"/>
        <v>0.99776500638569621</v>
      </c>
      <c r="H102" s="253">
        <f t="shared" si="38"/>
        <v>665.80931101267288</v>
      </c>
      <c r="I102" s="83">
        <f t="shared" si="38"/>
        <v>136.37058177368004</v>
      </c>
      <c r="J102" s="260">
        <f t="shared" si="39"/>
        <v>4.6658212225480531</v>
      </c>
      <c r="K102" s="100">
        <f t="shared" si="39"/>
        <v>0.50823112408547655</v>
      </c>
      <c r="L102" s="253">
        <f t="shared" si="40"/>
        <v>1885.4342224736208</v>
      </c>
      <c r="M102" s="83">
        <f t="shared" si="40"/>
        <v>102.68678423063238</v>
      </c>
      <c r="N102" s="253">
        <f t="shared" si="41"/>
        <v>584.4633926303884</v>
      </c>
      <c r="O102" s="83">
        <f t="shared" si="42"/>
        <v>119.70936957489886</v>
      </c>
      <c r="P102" s="261">
        <f t="shared" si="43"/>
        <v>810</v>
      </c>
      <c r="Q102" s="98">
        <f t="shared" si="44"/>
        <v>405</v>
      </c>
      <c r="R102" s="253">
        <f t="shared" si="32"/>
        <v>0.99776500638569621</v>
      </c>
      <c r="S102" s="83">
        <f t="shared" si="32"/>
        <v>0.99776500638569621</v>
      </c>
      <c r="T102" s="253">
        <f t="shared" si="45"/>
        <v>583.15712068006519</v>
      </c>
      <c r="U102" s="83">
        <f t="shared" si="45"/>
        <v>119.44181989832663</v>
      </c>
      <c r="V102" s="260">
        <f t="shared" si="46"/>
        <v>2.585642869604674</v>
      </c>
      <c r="W102" s="100">
        <f t="shared" si="46"/>
        <v>0.41866716660253001</v>
      </c>
      <c r="X102" s="253">
        <f t="shared" si="47"/>
        <v>1044.8449095924061</v>
      </c>
      <c r="Y102" s="83">
        <f t="shared" si="47"/>
        <v>84.590618252127584</v>
      </c>
      <c r="Z102" s="253">
        <f t="shared" si="48"/>
        <v>688183.49120287155</v>
      </c>
      <c r="AA102" s="83">
        <f t="shared" si="48"/>
        <v>37480.676244180817</v>
      </c>
      <c r="AB102" s="253">
        <f t="shared" si="49"/>
        <v>381368.39200122823</v>
      </c>
      <c r="AC102" s="83">
        <f t="shared" si="49"/>
        <v>30875.575662026567</v>
      </c>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0"/>
      <c r="BR102" s="170"/>
      <c r="BS102" s="170"/>
      <c r="BT102" s="170"/>
      <c r="BU102" s="170"/>
      <c r="BV102" s="170"/>
      <c r="BW102" s="170"/>
      <c r="BX102" s="170"/>
      <c r="BY102" s="170"/>
      <c r="BZ102" s="170"/>
    </row>
    <row r="103" spans="1:78" x14ac:dyDescent="0.2">
      <c r="A103" s="84">
        <f t="shared" si="33"/>
        <v>2038</v>
      </c>
      <c r="B103" s="261">
        <f t="shared" si="34"/>
        <v>677.97753545125056</v>
      </c>
      <c r="C103" s="98">
        <f t="shared" si="35"/>
        <v>138.86286870688269</v>
      </c>
      <c r="D103" s="261">
        <f t="shared" si="36"/>
        <v>810</v>
      </c>
      <c r="E103" s="98">
        <f t="shared" si="37"/>
        <v>405</v>
      </c>
      <c r="F103" s="253">
        <f t="shared" si="31"/>
        <v>0.99776500638569621</v>
      </c>
      <c r="G103" s="83">
        <f t="shared" si="31"/>
        <v>0.99776500638569621</v>
      </c>
      <c r="H103" s="253">
        <f t="shared" si="38"/>
        <v>676.46225998887564</v>
      </c>
      <c r="I103" s="83">
        <f t="shared" si="38"/>
        <v>138.55251108205891</v>
      </c>
      <c r="J103" s="260">
        <f t="shared" si="39"/>
        <v>5.1238420847619555</v>
      </c>
      <c r="K103" s="100">
        <f t="shared" si="39"/>
        <v>0.52060571333603345</v>
      </c>
      <c r="L103" s="253">
        <f t="shared" si="40"/>
        <v>2070.5180838208339</v>
      </c>
      <c r="M103" s="83">
        <f t="shared" si="40"/>
        <v>105.18703798545937</v>
      </c>
      <c r="N103" s="253">
        <f t="shared" si="41"/>
        <v>593.81480691247464</v>
      </c>
      <c r="O103" s="83">
        <f t="shared" si="42"/>
        <v>121.62471948809724</v>
      </c>
      <c r="P103" s="261">
        <f t="shared" si="43"/>
        <v>810</v>
      </c>
      <c r="Q103" s="98">
        <f t="shared" si="44"/>
        <v>405</v>
      </c>
      <c r="R103" s="253">
        <f t="shared" si="32"/>
        <v>0.99776500638569621</v>
      </c>
      <c r="S103" s="83">
        <f t="shared" si="32"/>
        <v>0.99776500638569621</v>
      </c>
      <c r="T103" s="253">
        <f t="shared" si="45"/>
        <v>592.4876346109462</v>
      </c>
      <c r="U103" s="83">
        <f t="shared" si="45"/>
        <v>121.35288901669985</v>
      </c>
      <c r="V103" s="260">
        <f t="shared" si="46"/>
        <v>2.7406485437282928</v>
      </c>
      <c r="W103" s="100">
        <f t="shared" si="46"/>
        <v>0.42824091359515248</v>
      </c>
      <c r="X103" s="253">
        <f t="shared" si="47"/>
        <v>1107.4819007522738</v>
      </c>
      <c r="Y103" s="83">
        <f t="shared" si="47"/>
        <v>86.524969072296457</v>
      </c>
      <c r="Z103" s="253">
        <f t="shared" si="48"/>
        <v>755739.10059460439</v>
      </c>
      <c r="AA103" s="83">
        <f t="shared" si="48"/>
        <v>38393.268864692669</v>
      </c>
      <c r="AB103" s="253">
        <f t="shared" si="49"/>
        <v>404230.89377457992</v>
      </c>
      <c r="AC103" s="83">
        <f t="shared" si="49"/>
        <v>31581.613711388207</v>
      </c>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c r="AX103" s="170"/>
      <c r="AY103" s="170"/>
      <c r="AZ103" s="170"/>
      <c r="BA103" s="170"/>
      <c r="BB103" s="170"/>
      <c r="BC103" s="170"/>
      <c r="BD103" s="170"/>
      <c r="BE103" s="170"/>
      <c r="BF103" s="170"/>
      <c r="BG103" s="170"/>
      <c r="BH103" s="170"/>
      <c r="BI103" s="170"/>
      <c r="BJ103" s="170"/>
      <c r="BK103" s="170"/>
      <c r="BL103" s="170"/>
      <c r="BM103" s="170"/>
      <c r="BN103" s="170"/>
      <c r="BO103" s="170"/>
      <c r="BP103" s="170"/>
      <c r="BQ103" s="170"/>
      <c r="BR103" s="170"/>
      <c r="BS103" s="170"/>
      <c r="BT103" s="170"/>
      <c r="BU103" s="170"/>
      <c r="BV103" s="170"/>
      <c r="BW103" s="170"/>
      <c r="BX103" s="170"/>
      <c r="BY103" s="170"/>
      <c r="BZ103" s="170"/>
    </row>
    <row r="104" spans="1:78" x14ac:dyDescent="0.2">
      <c r="A104" s="84">
        <f t="shared" si="33"/>
        <v>2039</v>
      </c>
      <c r="B104" s="261">
        <f t="shared" si="34"/>
        <v>688.82517601847053</v>
      </c>
      <c r="C104" s="98">
        <f t="shared" si="35"/>
        <v>141.08467460619281</v>
      </c>
      <c r="D104" s="261">
        <f t="shared" si="36"/>
        <v>810</v>
      </c>
      <c r="E104" s="98">
        <f t="shared" si="37"/>
        <v>405</v>
      </c>
      <c r="F104" s="253">
        <f t="shared" ref="F104:G121" si="50">$E$284/60</f>
        <v>0.99776500638569621</v>
      </c>
      <c r="G104" s="83">
        <f t="shared" si="50"/>
        <v>0.99776500638569621</v>
      </c>
      <c r="H104" s="253">
        <f t="shared" si="38"/>
        <v>687.28565614869751</v>
      </c>
      <c r="I104" s="83">
        <f t="shared" si="38"/>
        <v>140.76935125937183</v>
      </c>
      <c r="J104" s="260">
        <f t="shared" si="39"/>
        <v>5.6718519042656883</v>
      </c>
      <c r="K104" s="100">
        <f t="shared" si="39"/>
        <v>0.53338831706464829</v>
      </c>
      <c r="L104" s="253">
        <f t="shared" si="40"/>
        <v>2291.9660173487428</v>
      </c>
      <c r="M104" s="83">
        <f t="shared" si="40"/>
        <v>107.76973001036806</v>
      </c>
      <c r="N104" s="253">
        <f t="shared" si="41"/>
        <v>603.31584382307426</v>
      </c>
      <c r="O104" s="83">
        <f t="shared" si="42"/>
        <v>123.5707149999068</v>
      </c>
      <c r="P104" s="261">
        <f t="shared" si="43"/>
        <v>810</v>
      </c>
      <c r="Q104" s="98">
        <f t="shared" si="44"/>
        <v>405</v>
      </c>
      <c r="R104" s="253">
        <f t="shared" ref="R104:S121" si="51">$E$284/60</f>
        <v>0.99776500638569621</v>
      </c>
      <c r="S104" s="83">
        <f t="shared" si="51"/>
        <v>0.99776500638569621</v>
      </c>
      <c r="T104" s="253">
        <f t="shared" si="45"/>
        <v>601.96743676472136</v>
      </c>
      <c r="U104" s="83">
        <f t="shared" si="45"/>
        <v>123.29453524096705</v>
      </c>
      <c r="V104" s="260">
        <f t="shared" si="46"/>
        <v>2.9124991866789505</v>
      </c>
      <c r="W104" s="100">
        <f t="shared" si="46"/>
        <v>0.43810129866522673</v>
      </c>
      <c r="X104" s="253">
        <f t="shared" si="47"/>
        <v>1176.9258566859985</v>
      </c>
      <c r="Y104" s="83">
        <f t="shared" si="47"/>
        <v>88.517234374709091</v>
      </c>
      <c r="Z104" s="253">
        <f t="shared" si="48"/>
        <v>836567.59633229114</v>
      </c>
      <c r="AA104" s="83">
        <f t="shared" si="48"/>
        <v>39335.951453784342</v>
      </c>
      <c r="AB104" s="253">
        <f t="shared" si="49"/>
        <v>429577.93769038946</v>
      </c>
      <c r="AC104" s="83">
        <f t="shared" si="49"/>
        <v>32308.790546768818</v>
      </c>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c r="BA104" s="170"/>
      <c r="BB104" s="170"/>
      <c r="BC104" s="170"/>
      <c r="BD104" s="170"/>
      <c r="BE104" s="170"/>
      <c r="BF104" s="170"/>
      <c r="BG104" s="170"/>
      <c r="BH104" s="170"/>
      <c r="BI104" s="170"/>
      <c r="BJ104" s="170"/>
      <c r="BK104" s="170"/>
      <c r="BL104" s="170"/>
      <c r="BM104" s="170"/>
      <c r="BN104" s="170"/>
      <c r="BO104" s="170"/>
      <c r="BP104" s="170"/>
      <c r="BQ104" s="170"/>
      <c r="BR104" s="170"/>
      <c r="BS104" s="170"/>
      <c r="BT104" s="170"/>
      <c r="BU104" s="170"/>
      <c r="BV104" s="170"/>
      <c r="BW104" s="170"/>
      <c r="BX104" s="170"/>
      <c r="BY104" s="170"/>
      <c r="BZ104" s="170"/>
    </row>
    <row r="105" spans="1:78" x14ac:dyDescent="0.2">
      <c r="A105" s="84">
        <f t="shared" si="33"/>
        <v>2040</v>
      </c>
      <c r="B105" s="261">
        <f t="shared" si="34"/>
        <v>699.84637883476603</v>
      </c>
      <c r="C105" s="98">
        <f t="shared" si="35"/>
        <v>143.34202939989189</v>
      </c>
      <c r="D105" s="261">
        <f t="shared" si="36"/>
        <v>810</v>
      </c>
      <c r="E105" s="98">
        <f t="shared" si="37"/>
        <v>405</v>
      </c>
      <c r="F105" s="253">
        <f t="shared" si="50"/>
        <v>0.99776500638569621</v>
      </c>
      <c r="G105" s="83">
        <f t="shared" si="50"/>
        <v>0.99776500638569621</v>
      </c>
      <c r="H105" s="253">
        <f t="shared" si="38"/>
        <v>698.28222664707664</v>
      </c>
      <c r="I105" s="83">
        <f t="shared" si="38"/>
        <v>143.02166087952179</v>
      </c>
      <c r="J105" s="260">
        <f t="shared" si="39"/>
        <v>6.3391672399006369</v>
      </c>
      <c r="K105" s="100">
        <f t="shared" si="39"/>
        <v>0.54659776100649271</v>
      </c>
      <c r="L105" s="253">
        <f t="shared" si="40"/>
        <v>2561.624692847779</v>
      </c>
      <c r="M105" s="83">
        <f t="shared" si="40"/>
        <v>110.43866399646272</v>
      </c>
      <c r="N105" s="253">
        <f t="shared" si="41"/>
        <v>612.96889732424347</v>
      </c>
      <c r="O105" s="83">
        <f t="shared" si="42"/>
        <v>125.54784643990531</v>
      </c>
      <c r="P105" s="261">
        <f t="shared" si="43"/>
        <v>810</v>
      </c>
      <c r="Q105" s="98">
        <f t="shared" si="44"/>
        <v>405</v>
      </c>
      <c r="R105" s="253">
        <f t="shared" si="51"/>
        <v>0.99776500638569621</v>
      </c>
      <c r="S105" s="83">
        <f t="shared" si="51"/>
        <v>0.99776500638569621</v>
      </c>
      <c r="T105" s="253">
        <f t="shared" si="45"/>
        <v>611.59891575295694</v>
      </c>
      <c r="U105" s="83">
        <f t="shared" si="45"/>
        <v>125.26724780482253</v>
      </c>
      <c r="V105" s="260">
        <f t="shared" si="46"/>
        <v>3.104072948114351</v>
      </c>
      <c r="W105" s="100">
        <f t="shared" si="46"/>
        <v>0.44826009107095494</v>
      </c>
      <c r="X105" s="253">
        <f t="shared" si="47"/>
        <v>1254.3398227832777</v>
      </c>
      <c r="Y105" s="83">
        <f t="shared" si="47"/>
        <v>90.569792107547485</v>
      </c>
      <c r="Z105" s="253">
        <f t="shared" si="48"/>
        <v>934993.01288943936</v>
      </c>
      <c r="AA105" s="83">
        <f t="shared" si="48"/>
        <v>40310.112358708895</v>
      </c>
      <c r="AB105" s="253">
        <f t="shared" si="49"/>
        <v>457834.03531589633</v>
      </c>
      <c r="AC105" s="83">
        <f t="shared" si="49"/>
        <v>33057.974119254832</v>
      </c>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c r="AY105" s="170"/>
      <c r="AZ105" s="170"/>
      <c r="BA105" s="170"/>
      <c r="BB105" s="170"/>
      <c r="BC105" s="170"/>
      <c r="BD105" s="170"/>
      <c r="BE105" s="170"/>
      <c r="BF105" s="170"/>
      <c r="BG105" s="170"/>
      <c r="BH105" s="170"/>
      <c r="BI105" s="170"/>
      <c r="BJ105" s="170"/>
      <c r="BK105" s="170"/>
      <c r="BL105" s="170"/>
      <c r="BM105" s="170"/>
      <c r="BN105" s="170"/>
      <c r="BO105" s="170"/>
      <c r="BP105" s="170"/>
      <c r="BQ105" s="170"/>
      <c r="BR105" s="170"/>
      <c r="BS105" s="170"/>
      <c r="BT105" s="170"/>
      <c r="BU105" s="170"/>
      <c r="BV105" s="170"/>
      <c r="BW105" s="170"/>
      <c r="BX105" s="170"/>
      <c r="BY105" s="170"/>
      <c r="BZ105" s="170"/>
    </row>
    <row r="106" spans="1:78" x14ac:dyDescent="0.2">
      <c r="A106" s="84">
        <f t="shared" si="33"/>
        <v>2041</v>
      </c>
      <c r="B106" s="261">
        <f t="shared" ref="B106:B121" si="52">($B105*(1+$B$244))</f>
        <v>706.1449962442789</v>
      </c>
      <c r="C106" s="98">
        <f t="shared" ref="C106:C121" si="53">($C105*(1+$B$244))</f>
        <v>144.63210766449089</v>
      </c>
      <c r="D106" s="261">
        <f t="shared" si="36"/>
        <v>810</v>
      </c>
      <c r="E106" s="98">
        <f t="shared" si="37"/>
        <v>405</v>
      </c>
      <c r="F106" s="253">
        <f t="shared" si="50"/>
        <v>0.99776500638569621</v>
      </c>
      <c r="G106" s="83">
        <f t="shared" si="50"/>
        <v>0.99776500638569621</v>
      </c>
      <c r="H106" s="253">
        <f t="shared" si="38"/>
        <v>704.56676668690034</v>
      </c>
      <c r="I106" s="83">
        <f t="shared" si="38"/>
        <v>144.30885582743744</v>
      </c>
      <c r="J106" s="260">
        <f t="shared" si="39"/>
        <v>6.7841388590589462</v>
      </c>
      <c r="K106" s="100">
        <f t="shared" si="39"/>
        <v>0.55424981372696125</v>
      </c>
      <c r="L106" s="253">
        <f t="shared" si="40"/>
        <v>2741.4354225723114</v>
      </c>
      <c r="M106" s="83">
        <f t="shared" si="40"/>
        <v>111.98474145884188</v>
      </c>
      <c r="N106" s="253">
        <f t="shared" ref="N106:N121" si="54">($N105*(1+$B$244))</f>
        <v>618.48561740016157</v>
      </c>
      <c r="O106" s="83">
        <f t="shared" ref="O106:O121" si="55">($O105*(1+$B$244))</f>
        <v>126.67777705786445</v>
      </c>
      <c r="P106" s="261">
        <f t="shared" si="43"/>
        <v>810</v>
      </c>
      <c r="Q106" s="98">
        <f t="shared" si="44"/>
        <v>405</v>
      </c>
      <c r="R106" s="253">
        <f t="shared" si="51"/>
        <v>0.99776500638569621</v>
      </c>
      <c r="S106" s="83">
        <f t="shared" si="51"/>
        <v>0.99776500638569621</v>
      </c>
      <c r="T106" s="253">
        <f t="shared" si="45"/>
        <v>617.10330599473343</v>
      </c>
      <c r="U106" s="83">
        <f t="shared" si="45"/>
        <v>126.39465303506591</v>
      </c>
      <c r="V106" s="260">
        <f t="shared" si="46"/>
        <v>3.2222295663513996</v>
      </c>
      <c r="W106" s="100">
        <f t="shared" si="46"/>
        <v>0.45413065366808286</v>
      </c>
      <c r="X106" s="253">
        <f t="shared" si="47"/>
        <v>1302.0863010579471</v>
      </c>
      <c r="Y106" s="83">
        <f t="shared" si="47"/>
        <v>91.755924097807707</v>
      </c>
      <c r="Z106" s="253">
        <f t="shared" si="48"/>
        <v>1000623.9292388937</v>
      </c>
      <c r="AA106" s="83">
        <f t="shared" si="48"/>
        <v>40874.430632477284</v>
      </c>
      <c r="AB106" s="253">
        <f t="shared" si="49"/>
        <v>475261.4998861507</v>
      </c>
      <c r="AC106" s="83">
        <f t="shared" si="49"/>
        <v>33490.912295699811</v>
      </c>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0"/>
      <c r="AY106" s="170"/>
      <c r="AZ106" s="170"/>
      <c r="BA106" s="170"/>
      <c r="BB106" s="170"/>
      <c r="BC106" s="170"/>
      <c r="BD106" s="170"/>
      <c r="BE106" s="170"/>
      <c r="BF106" s="170"/>
      <c r="BG106" s="170"/>
      <c r="BH106" s="170"/>
      <c r="BI106" s="170"/>
      <c r="BJ106" s="170"/>
      <c r="BK106" s="170"/>
      <c r="BL106" s="170"/>
      <c r="BM106" s="170"/>
      <c r="BN106" s="170"/>
      <c r="BO106" s="170"/>
      <c r="BP106" s="170"/>
      <c r="BQ106" s="170"/>
      <c r="BR106" s="170"/>
      <c r="BS106" s="170"/>
      <c r="BT106" s="170"/>
      <c r="BU106" s="170"/>
      <c r="BV106" s="170"/>
      <c r="BW106" s="170"/>
      <c r="BX106" s="170"/>
      <c r="BY106" s="170"/>
      <c r="BZ106" s="170"/>
    </row>
    <row r="107" spans="1:78" x14ac:dyDescent="0.2">
      <c r="A107" s="84">
        <f t="shared" si="33"/>
        <v>2042</v>
      </c>
      <c r="B107" s="261">
        <f t="shared" si="52"/>
        <v>712.50030121047735</v>
      </c>
      <c r="C107" s="98">
        <f t="shared" si="53"/>
        <v>145.9337966334713</v>
      </c>
      <c r="D107" s="261">
        <f t="shared" si="36"/>
        <v>810</v>
      </c>
      <c r="E107" s="98">
        <f t="shared" si="37"/>
        <v>405</v>
      </c>
      <c r="F107" s="253">
        <f t="shared" si="50"/>
        <v>0.99776500638569621</v>
      </c>
      <c r="G107" s="83">
        <f t="shared" si="50"/>
        <v>0.99776500638569621</v>
      </c>
      <c r="H107" s="253">
        <f t="shared" si="38"/>
        <v>710.90786758708236</v>
      </c>
      <c r="I107" s="83">
        <f t="shared" si="38"/>
        <v>145.60763552988439</v>
      </c>
      <c r="J107" s="260">
        <f t="shared" si="39"/>
        <v>7.2913852700381545</v>
      </c>
      <c r="K107" s="100">
        <f t="shared" si="39"/>
        <v>0.5620479770720137</v>
      </c>
      <c r="L107" s="253">
        <f t="shared" si="40"/>
        <v>2946.4110735606769</v>
      </c>
      <c r="M107" s="83">
        <f t="shared" si="40"/>
        <v>113.56034019504591</v>
      </c>
      <c r="N107" s="253">
        <f t="shared" si="54"/>
        <v>624.05198795676301</v>
      </c>
      <c r="O107" s="83">
        <f t="shared" si="55"/>
        <v>127.81787705138521</v>
      </c>
      <c r="P107" s="261">
        <f t="shared" si="43"/>
        <v>810</v>
      </c>
      <c r="Q107" s="98">
        <f t="shared" si="44"/>
        <v>405</v>
      </c>
      <c r="R107" s="253">
        <f t="shared" si="51"/>
        <v>0.99776500638569621</v>
      </c>
      <c r="S107" s="83">
        <f t="shared" si="51"/>
        <v>0.99776500638569621</v>
      </c>
      <c r="T107" s="253">
        <f t="shared" si="45"/>
        <v>622.65723574868605</v>
      </c>
      <c r="U107" s="83">
        <f t="shared" si="45"/>
        <v>127.5322049123815</v>
      </c>
      <c r="V107" s="260">
        <f t="shared" si="46"/>
        <v>3.3485554855187405</v>
      </c>
      <c r="W107" s="100">
        <f t="shared" si="46"/>
        <v>0.46010256201127359</v>
      </c>
      <c r="X107" s="253">
        <f t="shared" si="47"/>
        <v>1353.133951583543</v>
      </c>
      <c r="Y107" s="83">
        <f t="shared" si="47"/>
        <v>92.962532733958852</v>
      </c>
      <c r="Z107" s="253">
        <f t="shared" si="48"/>
        <v>1075440.041849647</v>
      </c>
      <c r="AA107" s="83">
        <f t="shared" si="48"/>
        <v>41449.524171191755</v>
      </c>
      <c r="AB107" s="253">
        <f t="shared" si="49"/>
        <v>493893.89232799318</v>
      </c>
      <c r="AC107" s="83">
        <f t="shared" si="49"/>
        <v>33931.324447894978</v>
      </c>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c r="AY107" s="170"/>
      <c r="AZ107" s="170"/>
      <c r="BA107" s="170"/>
      <c r="BB107" s="170"/>
      <c r="BC107" s="170"/>
      <c r="BD107" s="170"/>
      <c r="BE107" s="170"/>
      <c r="BF107" s="170"/>
      <c r="BG107" s="170"/>
      <c r="BH107" s="170"/>
      <c r="BI107" s="170"/>
      <c r="BJ107" s="170"/>
      <c r="BK107" s="170"/>
      <c r="BL107" s="170"/>
      <c r="BM107" s="170"/>
      <c r="BN107" s="170"/>
      <c r="BO107" s="170"/>
      <c r="BP107" s="170"/>
      <c r="BQ107" s="170"/>
      <c r="BR107" s="170"/>
      <c r="BS107" s="170"/>
      <c r="BT107" s="170"/>
      <c r="BU107" s="170"/>
      <c r="BV107" s="170"/>
      <c r="BW107" s="170"/>
      <c r="BX107" s="170"/>
      <c r="BY107" s="170"/>
      <c r="BZ107" s="170"/>
    </row>
    <row r="108" spans="1:78" x14ac:dyDescent="0.2">
      <c r="A108" s="84">
        <f t="shared" si="33"/>
        <v>2043</v>
      </c>
      <c r="B108" s="261">
        <f t="shared" si="52"/>
        <v>718.91280392137162</v>
      </c>
      <c r="C108" s="98">
        <f t="shared" si="53"/>
        <v>147.24720080317252</v>
      </c>
      <c r="D108" s="261">
        <f t="shared" si="36"/>
        <v>810</v>
      </c>
      <c r="E108" s="98">
        <f t="shared" si="37"/>
        <v>405</v>
      </c>
      <c r="F108" s="253">
        <f t="shared" si="50"/>
        <v>0.99776500638569621</v>
      </c>
      <c r="G108" s="83">
        <f t="shared" si="50"/>
        <v>0.99776500638569621</v>
      </c>
      <c r="H108" s="253">
        <f t="shared" si="38"/>
        <v>717.30603839536616</v>
      </c>
      <c r="I108" s="83">
        <f t="shared" si="38"/>
        <v>146.91810424965331</v>
      </c>
      <c r="J108" s="260">
        <f t="shared" si="39"/>
        <v>7.8749381831467566</v>
      </c>
      <c r="K108" s="100">
        <f t="shared" si="39"/>
        <v>0.5699961540959344</v>
      </c>
      <c r="L108" s="253">
        <f t="shared" si="40"/>
        <v>3182.2217873707268</v>
      </c>
      <c r="M108" s="83">
        <f t="shared" si="40"/>
        <v>115.16624880709882</v>
      </c>
      <c r="N108" s="253">
        <f t="shared" si="54"/>
        <v>629.66845584837381</v>
      </c>
      <c r="O108" s="83">
        <f t="shared" si="55"/>
        <v>128.96823794484766</v>
      </c>
      <c r="P108" s="261">
        <f t="shared" si="43"/>
        <v>810</v>
      </c>
      <c r="Q108" s="98">
        <f t="shared" si="44"/>
        <v>405</v>
      </c>
      <c r="R108" s="253">
        <f t="shared" si="51"/>
        <v>0.99776500638569621</v>
      </c>
      <c r="S108" s="83">
        <f t="shared" si="51"/>
        <v>0.99776500638569621</v>
      </c>
      <c r="T108" s="253">
        <f t="shared" si="45"/>
        <v>628.26115087042422</v>
      </c>
      <c r="U108" s="83">
        <f t="shared" si="45"/>
        <v>128.67999475659292</v>
      </c>
      <c r="V108" s="260">
        <f t="shared" si="46"/>
        <v>3.4839226482870367</v>
      </c>
      <c r="W108" s="100">
        <f t="shared" si="46"/>
        <v>0.46617821731283987</v>
      </c>
      <c r="X108" s="253">
        <f t="shared" si="47"/>
        <v>1407.8351218832317</v>
      </c>
      <c r="Y108" s="83">
        <f t="shared" si="47"/>
        <v>94.190103174738681</v>
      </c>
      <c r="Z108" s="253">
        <f t="shared" si="48"/>
        <v>1161510.9523903152</v>
      </c>
      <c r="AA108" s="83">
        <f t="shared" si="48"/>
        <v>42035.680814591069</v>
      </c>
      <c r="AB108" s="253">
        <f t="shared" si="49"/>
        <v>513859.81948737957</v>
      </c>
      <c r="AC108" s="83">
        <f t="shared" si="49"/>
        <v>34379.387658779619</v>
      </c>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0"/>
      <c r="BB108" s="170"/>
      <c r="BC108" s="170"/>
      <c r="BD108" s="170"/>
      <c r="BE108" s="170"/>
      <c r="BF108" s="170"/>
      <c r="BG108" s="170"/>
      <c r="BH108" s="170"/>
      <c r="BI108" s="170"/>
      <c r="BJ108" s="170"/>
      <c r="BK108" s="170"/>
      <c r="BL108" s="170"/>
      <c r="BM108" s="170"/>
      <c r="BN108" s="170"/>
      <c r="BO108" s="170"/>
      <c r="BP108" s="170"/>
      <c r="BQ108" s="170"/>
      <c r="BR108" s="170"/>
      <c r="BS108" s="170"/>
      <c r="BT108" s="170"/>
      <c r="BU108" s="170"/>
      <c r="BV108" s="170"/>
      <c r="BW108" s="170"/>
      <c r="BX108" s="170"/>
      <c r="BY108" s="170"/>
      <c r="BZ108" s="170"/>
    </row>
    <row r="109" spans="1:78" x14ac:dyDescent="0.2">
      <c r="A109" s="84">
        <f t="shared" si="33"/>
        <v>2044</v>
      </c>
      <c r="B109" s="261">
        <f t="shared" si="52"/>
        <v>725.38301915666386</v>
      </c>
      <c r="C109" s="98">
        <f t="shared" si="53"/>
        <v>148.57242561040107</v>
      </c>
      <c r="D109" s="261">
        <f t="shared" si="36"/>
        <v>810</v>
      </c>
      <c r="E109" s="98">
        <f t="shared" si="37"/>
        <v>405</v>
      </c>
      <c r="F109" s="253">
        <f t="shared" si="50"/>
        <v>0.99776500638569621</v>
      </c>
      <c r="G109" s="83">
        <f t="shared" si="50"/>
        <v>0.99776500638569621</v>
      </c>
      <c r="H109" s="253">
        <f t="shared" si="38"/>
        <v>723.76179274092431</v>
      </c>
      <c r="I109" s="83">
        <f t="shared" si="38"/>
        <v>148.2403671879002</v>
      </c>
      <c r="J109" s="260">
        <f t="shared" si="39"/>
        <v>8.553387104190481</v>
      </c>
      <c r="K109" s="100">
        <f t="shared" si="39"/>
        <v>0.57809838719869377</v>
      </c>
      <c r="L109" s="253">
        <f t="shared" si="40"/>
        <v>3456.3794871459386</v>
      </c>
      <c r="M109" s="83">
        <f t="shared" si="40"/>
        <v>116.80328405146024</v>
      </c>
      <c r="N109" s="253">
        <f t="shared" si="54"/>
        <v>635.33547195100914</v>
      </c>
      <c r="O109" s="83">
        <f t="shared" si="55"/>
        <v>130.12895208635126</v>
      </c>
      <c r="P109" s="261">
        <f t="shared" si="43"/>
        <v>810</v>
      </c>
      <c r="Q109" s="98">
        <f t="shared" si="44"/>
        <v>405</v>
      </c>
      <c r="R109" s="253">
        <f t="shared" si="51"/>
        <v>0.99776500638569621</v>
      </c>
      <c r="S109" s="83">
        <f t="shared" si="51"/>
        <v>0.99776500638569621</v>
      </c>
      <c r="T109" s="253">
        <f t="shared" si="45"/>
        <v>633.91550122825799</v>
      </c>
      <c r="U109" s="83">
        <f t="shared" si="45"/>
        <v>129.83811470940222</v>
      </c>
      <c r="V109" s="260">
        <f t="shared" si="46"/>
        <v>3.629331658288705</v>
      </c>
      <c r="W109" s="100">
        <f t="shared" si="46"/>
        <v>0.47236009647036786</v>
      </c>
      <c r="X109" s="253">
        <f t="shared" si="47"/>
        <v>1466.5941507093369</v>
      </c>
      <c r="Y109" s="83">
        <f t="shared" si="47"/>
        <v>95.439135870898681</v>
      </c>
      <c r="Z109" s="253">
        <f t="shared" si="48"/>
        <v>1261578.5128082675</v>
      </c>
      <c r="AA109" s="83">
        <f t="shared" si="48"/>
        <v>42633.198678782988</v>
      </c>
      <c r="AB109" s="253">
        <f t="shared" si="49"/>
        <v>535306.86500890797</v>
      </c>
      <c r="AC109" s="83">
        <f t="shared" si="49"/>
        <v>34835.284592878015</v>
      </c>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c r="BA109" s="170"/>
      <c r="BB109" s="170"/>
      <c r="BC109" s="170"/>
      <c r="BD109" s="170"/>
      <c r="BE109" s="170"/>
      <c r="BF109" s="170"/>
      <c r="BG109" s="170"/>
      <c r="BH109" s="170"/>
      <c r="BI109" s="170"/>
      <c r="BJ109" s="170"/>
      <c r="BK109" s="170"/>
      <c r="BL109" s="170"/>
      <c r="BM109" s="170"/>
      <c r="BN109" s="170"/>
      <c r="BO109" s="170"/>
      <c r="BP109" s="170"/>
      <c r="BQ109" s="170"/>
      <c r="BR109" s="170"/>
      <c r="BS109" s="170"/>
      <c r="BT109" s="170"/>
      <c r="BU109" s="170"/>
      <c r="BV109" s="170"/>
      <c r="BW109" s="170"/>
      <c r="BX109" s="170"/>
      <c r="BY109" s="170"/>
      <c r="BZ109" s="170"/>
    </row>
    <row r="110" spans="1:78" x14ac:dyDescent="0.2">
      <c r="A110" s="84">
        <f t="shared" si="33"/>
        <v>2045</v>
      </c>
      <c r="B110" s="261">
        <f t="shared" si="52"/>
        <v>731.91146632907373</v>
      </c>
      <c r="C110" s="98">
        <f t="shared" si="53"/>
        <v>149.90957744089465</v>
      </c>
      <c r="D110" s="261">
        <f t="shared" si="36"/>
        <v>810</v>
      </c>
      <c r="E110" s="98">
        <f t="shared" si="37"/>
        <v>405</v>
      </c>
      <c r="F110" s="253">
        <f t="shared" si="50"/>
        <v>0.99776500638569621</v>
      </c>
      <c r="G110" s="83">
        <f t="shared" si="50"/>
        <v>0.99776500638569621</v>
      </c>
      <c r="H110" s="253">
        <f t="shared" si="38"/>
        <v>730.27564887559254</v>
      </c>
      <c r="I110" s="83">
        <f t="shared" si="38"/>
        <v>149.57453049259126</v>
      </c>
      <c r="J110" s="260">
        <f t="shared" si="39"/>
        <v>9.3518934796887727</v>
      </c>
      <c r="K110" s="100">
        <f t="shared" si="39"/>
        <v>0.58635886440595131</v>
      </c>
      <c r="L110" s="253">
        <f t="shared" si="40"/>
        <v>3779.051783279408</v>
      </c>
      <c r="M110" s="83">
        <f t="shared" si="40"/>
        <v>118.4722921078835</v>
      </c>
      <c r="N110" s="253">
        <f t="shared" si="54"/>
        <v>641.05349119856817</v>
      </c>
      <c r="O110" s="83">
        <f t="shared" si="55"/>
        <v>131.3001126551284</v>
      </c>
      <c r="P110" s="261">
        <f t="shared" si="43"/>
        <v>810</v>
      </c>
      <c r="Q110" s="98">
        <f t="shared" si="44"/>
        <v>405</v>
      </c>
      <c r="R110" s="253">
        <f t="shared" si="51"/>
        <v>0.99776500638569621</v>
      </c>
      <c r="S110" s="83">
        <f t="shared" si="51"/>
        <v>0.99776500638569621</v>
      </c>
      <c r="T110" s="253">
        <f t="shared" si="45"/>
        <v>639.62074073931217</v>
      </c>
      <c r="U110" s="83">
        <f t="shared" si="45"/>
        <v>131.00665774178682</v>
      </c>
      <c r="V110" s="260">
        <f t="shared" si="46"/>
        <v>3.7859364202138006</v>
      </c>
      <c r="W110" s="100">
        <f t="shared" si="46"/>
        <v>0.47865075507580956</v>
      </c>
      <c r="X110" s="253">
        <f t="shared" si="47"/>
        <v>1529.8773249786373</v>
      </c>
      <c r="Y110" s="83">
        <f t="shared" si="47"/>
        <v>96.710147173183529</v>
      </c>
      <c r="Z110" s="253">
        <f t="shared" si="48"/>
        <v>1379353.9008969839</v>
      </c>
      <c r="AA110" s="83">
        <f t="shared" si="48"/>
        <v>43242.386619377481</v>
      </c>
      <c r="AB110" s="253">
        <f t="shared" si="49"/>
        <v>558405.2236172026</v>
      </c>
      <c r="AC110" s="83">
        <f t="shared" si="49"/>
        <v>35299.203718211989</v>
      </c>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c r="BV110" s="170"/>
      <c r="BW110" s="170"/>
      <c r="BX110" s="170"/>
      <c r="BY110" s="170"/>
      <c r="BZ110" s="170"/>
    </row>
    <row r="111" spans="1:78" x14ac:dyDescent="0.2">
      <c r="A111" s="84">
        <f t="shared" si="33"/>
        <v>2046</v>
      </c>
      <c r="B111" s="261">
        <f t="shared" si="52"/>
        <v>738.49866952603531</v>
      </c>
      <c r="C111" s="98">
        <f t="shared" si="53"/>
        <v>151.2587636378627</v>
      </c>
      <c r="D111" s="261">
        <f t="shared" si="36"/>
        <v>810</v>
      </c>
      <c r="E111" s="98">
        <f t="shared" si="37"/>
        <v>405</v>
      </c>
      <c r="F111" s="253">
        <f t="shared" si="50"/>
        <v>0.99776500638569621</v>
      </c>
      <c r="G111" s="83">
        <f t="shared" si="50"/>
        <v>0.99776500638569621</v>
      </c>
      <c r="H111" s="253">
        <f t="shared" si="38"/>
        <v>736.84812971547274</v>
      </c>
      <c r="I111" s="83">
        <f t="shared" si="38"/>
        <v>150.92070126702458</v>
      </c>
      <c r="J111" s="260">
        <f t="shared" si="39"/>
        <v>10.305376485040043</v>
      </c>
      <c r="K111" s="100">
        <f t="shared" si="39"/>
        <v>0.59478192599184732</v>
      </c>
      <c r="L111" s="253">
        <f t="shared" si="40"/>
        <v>4164.3493339332072</v>
      </c>
      <c r="M111" s="83">
        <f t="shared" si="40"/>
        <v>120.17414991753382</v>
      </c>
      <c r="N111" s="253">
        <f t="shared" si="54"/>
        <v>646.82297261935526</v>
      </c>
      <c r="O111" s="83">
        <f t="shared" si="55"/>
        <v>132.48181366902455</v>
      </c>
      <c r="P111" s="261">
        <f t="shared" si="43"/>
        <v>810</v>
      </c>
      <c r="Q111" s="98">
        <f t="shared" si="44"/>
        <v>405</v>
      </c>
      <c r="R111" s="253">
        <f t="shared" si="51"/>
        <v>0.99776500638569621</v>
      </c>
      <c r="S111" s="83">
        <f t="shared" si="51"/>
        <v>0.99776500638569621</v>
      </c>
      <c r="T111" s="253">
        <f t="shared" si="45"/>
        <v>645.37732740596596</v>
      </c>
      <c r="U111" s="83">
        <f t="shared" si="45"/>
        <v>132.18571766146289</v>
      </c>
      <c r="V111" s="260">
        <f t="shared" si="46"/>
        <v>3.9550746680811115</v>
      </c>
      <c r="W111" s="100">
        <f t="shared" si="46"/>
        <v>0.48505283056934151</v>
      </c>
      <c r="X111" s="253">
        <f t="shared" si="47"/>
        <v>1598.2252160888115</v>
      </c>
      <c r="Y111" s="83">
        <f t="shared" si="47"/>
        <v>98.003669969559866</v>
      </c>
      <c r="Z111" s="253">
        <f t="shared" si="48"/>
        <v>1519987.5068856205</v>
      </c>
      <c r="AA111" s="83">
        <f t="shared" si="48"/>
        <v>43863.564719899849</v>
      </c>
      <c r="AB111" s="253">
        <f t="shared" si="49"/>
        <v>583352.20387241617</v>
      </c>
      <c r="AC111" s="83">
        <f t="shared" si="49"/>
        <v>35771.339538889348</v>
      </c>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70"/>
      <c r="BL111" s="170"/>
      <c r="BM111" s="170"/>
      <c r="BN111" s="170"/>
      <c r="BO111" s="170"/>
      <c r="BP111" s="170"/>
      <c r="BQ111" s="170"/>
      <c r="BR111" s="170"/>
      <c r="BS111" s="170"/>
      <c r="BT111" s="170"/>
      <c r="BU111" s="170"/>
      <c r="BV111" s="170"/>
      <c r="BW111" s="170"/>
      <c r="BX111" s="170"/>
      <c r="BY111" s="170"/>
      <c r="BZ111" s="170"/>
    </row>
    <row r="112" spans="1:78" x14ac:dyDescent="0.2">
      <c r="A112" s="84">
        <f t="shared" si="33"/>
        <v>2047</v>
      </c>
      <c r="B112" s="261">
        <f t="shared" si="52"/>
        <v>745.14515755176956</v>
      </c>
      <c r="C112" s="98">
        <f t="shared" si="53"/>
        <v>152.62009251060346</v>
      </c>
      <c r="D112" s="261">
        <f t="shared" si="36"/>
        <v>810</v>
      </c>
      <c r="E112" s="98">
        <f t="shared" si="37"/>
        <v>405</v>
      </c>
      <c r="F112" s="253">
        <f t="shared" si="50"/>
        <v>0.99776500638569621</v>
      </c>
      <c r="G112" s="83">
        <f t="shared" si="50"/>
        <v>0.99776500638569621</v>
      </c>
      <c r="H112" s="253">
        <f t="shared" si="38"/>
        <v>743.47976288291193</v>
      </c>
      <c r="I112" s="83">
        <f t="shared" si="38"/>
        <v>152.2789875784278</v>
      </c>
      <c r="J112" s="260">
        <f t="shared" si="39"/>
        <v>11.463750967807611</v>
      </c>
      <c r="K112" s="100">
        <f t="shared" si="39"/>
        <v>0.60337207146660687</v>
      </c>
      <c r="L112" s="253">
        <f t="shared" si="40"/>
        <v>4632.44247082743</v>
      </c>
      <c r="M112" s="83">
        <f t="shared" si="40"/>
        <v>121.90976659481552</v>
      </c>
      <c r="N112" s="253">
        <f t="shared" si="54"/>
        <v>652.64437937292939</v>
      </c>
      <c r="O112" s="83">
        <f t="shared" si="55"/>
        <v>133.67414999204576</v>
      </c>
      <c r="P112" s="261">
        <f t="shared" si="43"/>
        <v>810</v>
      </c>
      <c r="Q112" s="98">
        <f t="shared" si="44"/>
        <v>405</v>
      </c>
      <c r="R112" s="253">
        <f t="shared" si="51"/>
        <v>0.99776500638569621</v>
      </c>
      <c r="S112" s="83">
        <f t="shared" si="51"/>
        <v>0.99776500638569621</v>
      </c>
      <c r="T112" s="253">
        <f t="shared" si="45"/>
        <v>651.18572335261968</v>
      </c>
      <c r="U112" s="83">
        <f t="shared" si="45"/>
        <v>133.37538912041606</v>
      </c>
      <c r="V112" s="260">
        <f t="shared" si="46"/>
        <v>4.1383060913719483</v>
      </c>
      <c r="W112" s="100">
        <f t="shared" si="46"/>
        <v>0.49156904554617992</v>
      </c>
      <c r="X112" s="253">
        <f t="shared" si="47"/>
        <v>1672.2680864918977</v>
      </c>
      <c r="Y112" s="83">
        <f t="shared" si="47"/>
        <v>99.320254353349952</v>
      </c>
      <c r="Z112" s="253">
        <f t="shared" si="48"/>
        <v>1690841.501852012</v>
      </c>
      <c r="AA112" s="83">
        <f t="shared" si="48"/>
        <v>44497.064807107665</v>
      </c>
      <c r="AB112" s="253">
        <f t="shared" si="49"/>
        <v>610377.85156954266</v>
      </c>
      <c r="AC112" s="83">
        <f t="shared" si="49"/>
        <v>36251.89283897273</v>
      </c>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70"/>
      <c r="BL112" s="170"/>
      <c r="BM112" s="170"/>
      <c r="BN112" s="170"/>
      <c r="BO112" s="170"/>
      <c r="BP112" s="170"/>
      <c r="BQ112" s="170"/>
      <c r="BR112" s="170"/>
      <c r="BS112" s="170"/>
      <c r="BT112" s="170"/>
      <c r="BU112" s="170"/>
      <c r="BV112" s="170"/>
      <c r="BW112" s="170"/>
      <c r="BX112" s="170"/>
      <c r="BY112" s="170"/>
      <c r="BZ112" s="170"/>
    </row>
    <row r="113" spans="1:78" x14ac:dyDescent="0.2">
      <c r="A113" s="84">
        <f t="shared" si="33"/>
        <v>2048</v>
      </c>
      <c r="B113" s="261">
        <f t="shared" si="52"/>
        <v>751.85146396973539</v>
      </c>
      <c r="C113" s="98">
        <f t="shared" si="53"/>
        <v>153.99367334319888</v>
      </c>
      <c r="D113" s="261">
        <f t="shared" si="36"/>
        <v>810</v>
      </c>
      <c r="E113" s="98">
        <f t="shared" si="37"/>
        <v>405</v>
      </c>
      <c r="F113" s="253">
        <f t="shared" si="50"/>
        <v>0.99776500638569621</v>
      </c>
      <c r="G113" s="83">
        <f t="shared" si="50"/>
        <v>0.99776500638569621</v>
      </c>
      <c r="H113" s="253">
        <f t="shared" si="38"/>
        <v>750.17108074885812</v>
      </c>
      <c r="I113" s="83">
        <f t="shared" si="38"/>
        <v>153.64949846663364</v>
      </c>
      <c r="J113" s="260">
        <f t="shared" si="39"/>
        <v>12.900945268139099</v>
      </c>
      <c r="K113" s="100">
        <f t="shared" si="39"/>
        <v>0.61213396695262323</v>
      </c>
      <c r="L113" s="253">
        <f t="shared" si="40"/>
        <v>5213.2052538277621</v>
      </c>
      <c r="M113" s="83">
        <f t="shared" si="40"/>
        <v>123.68008491769061</v>
      </c>
      <c r="N113" s="253">
        <f t="shared" si="54"/>
        <v>658.51817878728571</v>
      </c>
      <c r="O113" s="83">
        <f t="shared" si="55"/>
        <v>134.87721734197416</v>
      </c>
      <c r="P113" s="261">
        <f t="shared" si="43"/>
        <v>810</v>
      </c>
      <c r="Q113" s="98">
        <f t="shared" si="44"/>
        <v>405</v>
      </c>
      <c r="R113" s="253">
        <f t="shared" si="51"/>
        <v>0.99776500638569621</v>
      </c>
      <c r="S113" s="83">
        <f t="shared" si="51"/>
        <v>0.99776500638569621</v>
      </c>
      <c r="T113" s="253">
        <f t="shared" si="45"/>
        <v>657.04639486279314</v>
      </c>
      <c r="U113" s="83">
        <f t="shared" si="45"/>
        <v>134.57576762249977</v>
      </c>
      <c r="V113" s="260">
        <f t="shared" si="46"/>
        <v>4.337460360607583</v>
      </c>
      <c r="W113" s="100">
        <f t="shared" si="46"/>
        <v>0.49820221122507857</v>
      </c>
      <c r="X113" s="253">
        <f t="shared" si="47"/>
        <v>1752.7452965817283</v>
      </c>
      <c r="Y113" s="83">
        <f t="shared" si="47"/>
        <v>100.66046832403258</v>
      </c>
      <c r="Z113" s="253">
        <f t="shared" si="48"/>
        <v>1902819.9176471331</v>
      </c>
      <c r="AA113" s="83">
        <f t="shared" si="48"/>
        <v>45143.23099495707</v>
      </c>
      <c r="AB113" s="253">
        <f t="shared" si="49"/>
        <v>639752.03325233085</v>
      </c>
      <c r="AC113" s="83">
        <f t="shared" si="49"/>
        <v>36741.070938271892</v>
      </c>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170"/>
      <c r="BB113" s="170"/>
      <c r="BC113" s="170"/>
      <c r="BD113" s="170"/>
      <c r="BE113" s="170"/>
      <c r="BF113" s="170"/>
      <c r="BG113" s="170"/>
      <c r="BH113" s="170"/>
      <c r="BI113" s="170"/>
      <c r="BJ113" s="170"/>
      <c r="BK113" s="170"/>
      <c r="BL113" s="170"/>
      <c r="BM113" s="170"/>
      <c r="BN113" s="170"/>
      <c r="BO113" s="170"/>
      <c r="BP113" s="170"/>
      <c r="BQ113" s="170"/>
      <c r="BR113" s="170"/>
      <c r="BS113" s="170"/>
      <c r="BT113" s="170"/>
      <c r="BU113" s="170"/>
      <c r="BV113" s="170"/>
      <c r="BW113" s="170"/>
      <c r="BX113" s="170"/>
      <c r="BY113" s="170"/>
      <c r="BZ113" s="170"/>
    </row>
    <row r="114" spans="1:78" x14ac:dyDescent="0.2">
      <c r="A114" s="84">
        <f t="shared" si="33"/>
        <v>2049</v>
      </c>
      <c r="B114" s="261">
        <f t="shared" si="52"/>
        <v>758.61812714546295</v>
      </c>
      <c r="C114" s="98">
        <f t="shared" si="53"/>
        <v>155.37961640328766</v>
      </c>
      <c r="D114" s="261">
        <f t="shared" si="36"/>
        <v>810</v>
      </c>
      <c r="E114" s="98">
        <f t="shared" si="37"/>
        <v>405</v>
      </c>
      <c r="F114" s="253">
        <f t="shared" si="50"/>
        <v>0.99776500638569621</v>
      </c>
      <c r="G114" s="83">
        <f t="shared" si="50"/>
        <v>0.99776500638569621</v>
      </c>
      <c r="H114" s="253">
        <f t="shared" si="38"/>
        <v>756.92262047559768</v>
      </c>
      <c r="I114" s="83">
        <f t="shared" si="38"/>
        <v>155.03234395283334</v>
      </c>
      <c r="J114" s="260">
        <f t="shared" si="39"/>
        <v>14.731316287719959</v>
      </c>
      <c r="K114" s="100">
        <f t="shared" si="39"/>
        <v>0.62107245297445024</v>
      </c>
      <c r="L114" s="253">
        <f t="shared" si="40"/>
        <v>5952.8487154040795</v>
      </c>
      <c r="M114" s="83">
        <f t="shared" si="40"/>
        <v>125.48608290162655</v>
      </c>
      <c r="N114" s="253">
        <f t="shared" si="54"/>
        <v>664.4448423963712</v>
      </c>
      <c r="O114" s="83">
        <f t="shared" si="55"/>
        <v>136.09111229805191</v>
      </c>
      <c r="P114" s="261">
        <f t="shared" si="43"/>
        <v>810</v>
      </c>
      <c r="Q114" s="98">
        <f t="shared" si="44"/>
        <v>405</v>
      </c>
      <c r="R114" s="253">
        <f t="shared" si="51"/>
        <v>0.99776500638569621</v>
      </c>
      <c r="S114" s="83">
        <f t="shared" si="51"/>
        <v>0.99776500638569621</v>
      </c>
      <c r="T114" s="253">
        <f t="shared" si="45"/>
        <v>662.95981241655818</v>
      </c>
      <c r="U114" s="83">
        <f t="shared" si="45"/>
        <v>135.78694953110227</v>
      </c>
      <c r="V114" s="260">
        <f t="shared" si="46"/>
        <v>4.5546981867994631</v>
      </c>
      <c r="W114" s="100">
        <f t="shared" si="46"/>
        <v>0.50495523108780682</v>
      </c>
      <c r="X114" s="253">
        <f t="shared" si="47"/>
        <v>1840.5299785019386</v>
      </c>
      <c r="Y114" s="83">
        <f t="shared" si="47"/>
        <v>102.02489852259029</v>
      </c>
      <c r="Z114" s="253">
        <f t="shared" si="48"/>
        <v>2172789.7811224889</v>
      </c>
      <c r="AA114" s="83">
        <f t="shared" si="48"/>
        <v>45802.420259093691</v>
      </c>
      <c r="AB114" s="253">
        <f t="shared" si="49"/>
        <v>671793.44215320761</v>
      </c>
      <c r="AC114" s="83">
        <f t="shared" si="49"/>
        <v>37239.087960745455</v>
      </c>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c r="BA114" s="170"/>
      <c r="BB114" s="170"/>
      <c r="BC114" s="170"/>
      <c r="BD114" s="170"/>
      <c r="BE114" s="170"/>
      <c r="BF114" s="170"/>
      <c r="BG114" s="170"/>
      <c r="BH114" s="170"/>
      <c r="BI114" s="170"/>
      <c r="BJ114" s="170"/>
      <c r="BK114" s="170"/>
      <c r="BL114" s="170"/>
      <c r="BM114" s="170"/>
      <c r="BN114" s="170"/>
      <c r="BO114" s="170"/>
      <c r="BP114" s="170"/>
      <c r="BQ114" s="170"/>
      <c r="BR114" s="170"/>
      <c r="BS114" s="170"/>
      <c r="BT114" s="170"/>
      <c r="BU114" s="170"/>
      <c r="BV114" s="170"/>
      <c r="BW114" s="170"/>
      <c r="BX114" s="170"/>
      <c r="BY114" s="170"/>
      <c r="BZ114" s="170"/>
    </row>
    <row r="115" spans="1:78" x14ac:dyDescent="0.2">
      <c r="A115" s="84">
        <f t="shared" si="33"/>
        <v>2050</v>
      </c>
      <c r="B115" s="261">
        <f t="shared" si="52"/>
        <v>765.44569028977207</v>
      </c>
      <c r="C115" s="98">
        <f t="shared" si="53"/>
        <v>156.77803295091724</v>
      </c>
      <c r="D115" s="261">
        <f t="shared" si="36"/>
        <v>810</v>
      </c>
      <c r="E115" s="98">
        <f t="shared" si="37"/>
        <v>405</v>
      </c>
      <c r="F115" s="253">
        <f t="shared" si="50"/>
        <v>0.99776500638569621</v>
      </c>
      <c r="G115" s="83">
        <f t="shared" si="50"/>
        <v>0.99776500638569621</v>
      </c>
      <c r="H115" s="253">
        <f t="shared" si="38"/>
        <v>763.73492405987804</v>
      </c>
      <c r="I115" s="83">
        <f t="shared" si="38"/>
        <v>156.42763504840883</v>
      </c>
      <c r="J115" s="260">
        <f t="shared" si="39"/>
        <v>17.141662142833162</v>
      </c>
      <c r="K115" s="100">
        <f t="shared" si="39"/>
        <v>0.63019255269005758</v>
      </c>
      <c r="L115" s="253">
        <f t="shared" si="40"/>
        <v>6926.8570081491771</v>
      </c>
      <c r="M115" s="83">
        <f t="shared" si="40"/>
        <v>127.32877546270024</v>
      </c>
      <c r="N115" s="253">
        <f t="shared" si="54"/>
        <v>670.4248459779385</v>
      </c>
      <c r="O115" s="83">
        <f t="shared" si="55"/>
        <v>137.31593230873438</v>
      </c>
      <c r="P115" s="261">
        <f t="shared" si="43"/>
        <v>810</v>
      </c>
      <c r="Q115" s="98">
        <f t="shared" si="44"/>
        <v>405</v>
      </c>
      <c r="R115" s="253">
        <f t="shared" si="51"/>
        <v>0.99776500638569621</v>
      </c>
      <c r="S115" s="83">
        <f t="shared" si="51"/>
        <v>0.99776500638569621</v>
      </c>
      <c r="T115" s="253">
        <f t="shared" si="45"/>
        <v>668.92645072830726</v>
      </c>
      <c r="U115" s="83">
        <f t="shared" si="45"/>
        <v>137.00903207688219</v>
      </c>
      <c r="V115" s="260">
        <f t="shared" si="46"/>
        <v>4.7925897371574857</v>
      </c>
      <c r="W115" s="100">
        <f t="shared" si="46"/>
        <v>0.51183110469952231</v>
      </c>
      <c r="X115" s="253">
        <f t="shared" si="47"/>
        <v>1936.6607235280792</v>
      </c>
      <c r="Y115" s="83">
        <f t="shared" si="47"/>
        <v>103.41415100340566</v>
      </c>
      <c r="Z115" s="253">
        <f t="shared" si="48"/>
        <v>2528302.8079744498</v>
      </c>
      <c r="AA115" s="83">
        <f t="shared" si="48"/>
        <v>46475.003043885583</v>
      </c>
      <c r="AB115" s="253">
        <f t="shared" si="49"/>
        <v>706881.16408774885</v>
      </c>
      <c r="AC115" s="83">
        <f t="shared" si="49"/>
        <v>37746.165116243064</v>
      </c>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170"/>
      <c r="BB115" s="170"/>
      <c r="BC115" s="170"/>
      <c r="BD115" s="170"/>
      <c r="BE115" s="170"/>
      <c r="BF115" s="170"/>
      <c r="BG115" s="170"/>
      <c r="BH115" s="170"/>
      <c r="BI115" s="170"/>
      <c r="BJ115" s="170"/>
      <c r="BK115" s="170"/>
      <c r="BL115" s="170"/>
      <c r="BM115" s="170"/>
      <c r="BN115" s="170"/>
      <c r="BO115" s="170"/>
      <c r="BP115" s="170"/>
      <c r="BQ115" s="170"/>
      <c r="BR115" s="170"/>
      <c r="BS115" s="170"/>
      <c r="BT115" s="170"/>
      <c r="BU115" s="170"/>
      <c r="BV115" s="170"/>
      <c r="BW115" s="170"/>
      <c r="BX115" s="170"/>
      <c r="BY115" s="170"/>
      <c r="BZ115" s="170"/>
    </row>
    <row r="116" spans="1:78" x14ac:dyDescent="0.2">
      <c r="A116" s="84">
        <f t="shared" si="33"/>
        <v>2051</v>
      </c>
      <c r="B116" s="261">
        <f t="shared" si="52"/>
        <v>772.33470150237997</v>
      </c>
      <c r="C116" s="98">
        <f t="shared" si="53"/>
        <v>158.18903524747549</v>
      </c>
      <c r="D116" s="261">
        <f t="shared" si="36"/>
        <v>810</v>
      </c>
      <c r="E116" s="98">
        <f t="shared" si="37"/>
        <v>405</v>
      </c>
      <c r="F116" s="253">
        <f t="shared" si="50"/>
        <v>0.99776500638569621</v>
      </c>
      <c r="G116" s="83">
        <f t="shared" si="50"/>
        <v>0.99776500638569621</v>
      </c>
      <c r="H116" s="253">
        <f t="shared" si="38"/>
        <v>770.60853837641696</v>
      </c>
      <c r="I116" s="83">
        <f t="shared" si="38"/>
        <v>157.83548376384451</v>
      </c>
      <c r="J116" s="260">
        <f t="shared" si="39"/>
        <v>20.459376909627032</v>
      </c>
      <c r="K116" s="100">
        <f t="shared" si="39"/>
        <v>0.63949948059278872</v>
      </c>
      <c r="L116" s="253">
        <f t="shared" si="40"/>
        <v>8267.5283848169584</v>
      </c>
      <c r="M116" s="83">
        <f t="shared" si="40"/>
        <v>129.20921617580592</v>
      </c>
      <c r="N116" s="253">
        <f t="shared" si="54"/>
        <v>676.45866959173986</v>
      </c>
      <c r="O116" s="83">
        <f t="shared" si="55"/>
        <v>138.55177569951297</v>
      </c>
      <c r="P116" s="261">
        <f t="shared" si="43"/>
        <v>810</v>
      </c>
      <c r="Q116" s="98">
        <f t="shared" si="44"/>
        <v>405</v>
      </c>
      <c r="R116" s="253">
        <f t="shared" si="51"/>
        <v>0.99776500638569621</v>
      </c>
      <c r="S116" s="83">
        <f t="shared" si="51"/>
        <v>0.99776500638569621</v>
      </c>
      <c r="T116" s="253">
        <f t="shared" si="45"/>
        <v>674.94678878486184</v>
      </c>
      <c r="U116" s="83">
        <f t="shared" si="45"/>
        <v>138.24211336557411</v>
      </c>
      <c r="V116" s="260">
        <f t="shared" si="46"/>
        <v>5.0542164491055068</v>
      </c>
      <c r="W116" s="100">
        <f t="shared" si="46"/>
        <v>0.51883293172061662</v>
      </c>
      <c r="X116" s="253">
        <f t="shared" si="47"/>
        <v>2042.382724584661</v>
      </c>
      <c r="Y116" s="83">
        <f t="shared" si="47"/>
        <v>104.82885204484442</v>
      </c>
      <c r="Z116" s="253">
        <f t="shared" si="48"/>
        <v>3017647.8604581896</v>
      </c>
      <c r="AA116" s="83">
        <f t="shared" si="48"/>
        <v>47161.363904169164</v>
      </c>
      <c r="AB116" s="253">
        <f t="shared" si="49"/>
        <v>745469.69447340129</v>
      </c>
      <c r="AC116" s="83">
        <f t="shared" si="49"/>
        <v>38262.530996368216</v>
      </c>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0"/>
      <c r="BM116" s="170"/>
      <c r="BN116" s="170"/>
      <c r="BO116" s="170"/>
      <c r="BP116" s="170"/>
      <c r="BQ116" s="170"/>
      <c r="BR116" s="170"/>
      <c r="BS116" s="170"/>
      <c r="BT116" s="170"/>
      <c r="BU116" s="170"/>
      <c r="BV116" s="170"/>
      <c r="BW116" s="170"/>
      <c r="BX116" s="170"/>
      <c r="BY116" s="170"/>
      <c r="BZ116" s="170"/>
    </row>
    <row r="117" spans="1:78" x14ac:dyDescent="0.2">
      <c r="A117" s="84">
        <f t="shared" si="33"/>
        <v>2052</v>
      </c>
      <c r="B117" s="261">
        <f t="shared" si="52"/>
        <v>779.28571381590132</v>
      </c>
      <c r="C117" s="98">
        <f t="shared" si="53"/>
        <v>159.61273656470274</v>
      </c>
      <c r="D117" s="261">
        <f t="shared" si="36"/>
        <v>810</v>
      </c>
      <c r="E117" s="98">
        <f t="shared" si="37"/>
        <v>405</v>
      </c>
      <c r="F117" s="253">
        <f t="shared" si="50"/>
        <v>0.99776500638569621</v>
      </c>
      <c r="G117" s="83">
        <f t="shared" si="50"/>
        <v>0.99776500638569621</v>
      </c>
      <c r="H117" s="253">
        <f t="shared" si="38"/>
        <v>777.54401522180456</v>
      </c>
      <c r="I117" s="83">
        <f t="shared" si="38"/>
        <v>159.25600311771908</v>
      </c>
      <c r="J117" s="260">
        <f t="shared" si="39"/>
        <v>25.315386154875139</v>
      </c>
      <c r="K117" s="100">
        <f t="shared" si="39"/>
        <v>0.64899865171572391</v>
      </c>
      <c r="L117" s="253">
        <f t="shared" si="40"/>
        <v>10229.816603532519</v>
      </c>
      <c r="M117" s="83">
        <f t="shared" si="40"/>
        <v>131.1284991343731</v>
      </c>
      <c r="N117" s="253">
        <f t="shared" si="54"/>
        <v>682.5467976180654</v>
      </c>
      <c r="O117" s="83">
        <f t="shared" si="55"/>
        <v>139.79874168080858</v>
      </c>
      <c r="P117" s="261">
        <f t="shared" si="43"/>
        <v>810</v>
      </c>
      <c r="Q117" s="98">
        <f t="shared" si="44"/>
        <v>405</v>
      </c>
      <c r="R117" s="253">
        <f t="shared" si="51"/>
        <v>0.99776500638569621</v>
      </c>
      <c r="S117" s="83">
        <f t="shared" si="51"/>
        <v>0.99776500638569621</v>
      </c>
      <c r="T117" s="253">
        <f t="shared" si="45"/>
        <v>681.02130988392548</v>
      </c>
      <c r="U117" s="83">
        <f t="shared" si="45"/>
        <v>139.48629238586426</v>
      </c>
      <c r="V117" s="260">
        <f t="shared" si="46"/>
        <v>5.3433048142888753</v>
      </c>
      <c r="W117" s="100">
        <f t="shared" si="46"/>
        <v>0.52596391612132209</v>
      </c>
      <c r="X117" s="253">
        <f t="shared" si="47"/>
        <v>2159.2018376706123</v>
      </c>
      <c r="Y117" s="83">
        <f t="shared" si="47"/>
        <v>106.26964900080593</v>
      </c>
      <c r="Z117" s="253">
        <f t="shared" si="48"/>
        <v>3733883.0602893694</v>
      </c>
      <c r="AA117" s="83">
        <f t="shared" si="48"/>
        <v>47861.902184046179</v>
      </c>
      <c r="AB117" s="253">
        <f t="shared" si="49"/>
        <v>788108.6707497735</v>
      </c>
      <c r="AC117" s="83">
        <f t="shared" si="49"/>
        <v>38788.421885294163</v>
      </c>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170"/>
      <c r="AZ117" s="170"/>
      <c r="BA117" s="170"/>
      <c r="BB117" s="170"/>
      <c r="BC117" s="170"/>
      <c r="BD117" s="170"/>
      <c r="BE117" s="170"/>
      <c r="BF117" s="170"/>
      <c r="BG117" s="170"/>
      <c r="BH117" s="170"/>
      <c r="BI117" s="170"/>
      <c r="BJ117" s="170"/>
      <c r="BK117" s="170"/>
      <c r="BL117" s="170"/>
      <c r="BM117" s="170"/>
      <c r="BN117" s="170"/>
      <c r="BO117" s="170"/>
      <c r="BP117" s="170"/>
      <c r="BQ117" s="170"/>
      <c r="BR117" s="170"/>
      <c r="BS117" s="170"/>
      <c r="BT117" s="170"/>
      <c r="BU117" s="170"/>
      <c r="BV117" s="170"/>
      <c r="BW117" s="170"/>
      <c r="BX117" s="170"/>
      <c r="BY117" s="170"/>
      <c r="BZ117" s="170"/>
    </row>
    <row r="118" spans="1:78" x14ac:dyDescent="0.2">
      <c r="A118" s="84">
        <f t="shared" si="33"/>
        <v>2053</v>
      </c>
      <c r="B118" s="261">
        <f t="shared" si="52"/>
        <v>786.29928524024433</v>
      </c>
      <c r="C118" s="98">
        <f t="shared" si="53"/>
        <v>161.04925119378504</v>
      </c>
      <c r="D118" s="261">
        <f t="shared" si="36"/>
        <v>810</v>
      </c>
      <c r="E118" s="98">
        <f t="shared" si="37"/>
        <v>405</v>
      </c>
      <c r="F118" s="261">
        <f t="shared" si="50"/>
        <v>0.99776500638569621</v>
      </c>
      <c r="G118" s="98">
        <f t="shared" si="50"/>
        <v>0.99776500638569621</v>
      </c>
      <c r="H118" s="261">
        <f t="shared" si="38"/>
        <v>784.5419113588008</v>
      </c>
      <c r="I118" s="98">
        <f t="shared" si="38"/>
        <v>160.68930714577851</v>
      </c>
      <c r="J118" s="344">
        <f t="shared" si="39"/>
        <v>33.102035922181138</v>
      </c>
      <c r="K118" s="345">
        <f t="shared" si="39"/>
        <v>0.65869569137262163</v>
      </c>
      <c r="L118" s="261">
        <f t="shared" si="40"/>
        <v>13376.361498726217</v>
      </c>
      <c r="M118" s="98">
        <f t="shared" si="40"/>
        <v>133.08776091849847</v>
      </c>
      <c r="N118" s="261">
        <f t="shared" si="54"/>
        <v>688.68971879662797</v>
      </c>
      <c r="O118" s="98">
        <f t="shared" si="55"/>
        <v>141.05693035593583</v>
      </c>
      <c r="P118" s="261">
        <f t="shared" si="43"/>
        <v>810</v>
      </c>
      <c r="Q118" s="98">
        <f t="shared" si="44"/>
        <v>405</v>
      </c>
      <c r="R118" s="261">
        <f t="shared" si="51"/>
        <v>0.99776500638569621</v>
      </c>
      <c r="S118" s="98">
        <f t="shared" si="51"/>
        <v>0.99776500638569621</v>
      </c>
      <c r="T118" s="261">
        <f t="shared" si="45"/>
        <v>687.15050167288086</v>
      </c>
      <c r="U118" s="98">
        <f t="shared" si="45"/>
        <v>140.74166901733702</v>
      </c>
      <c r="V118" s="344">
        <f t="shared" si="46"/>
        <v>5.6644044911650928</v>
      </c>
      <c r="W118" s="345">
        <f t="shared" si="46"/>
        <v>0.53322737061113878</v>
      </c>
      <c r="X118" s="261">
        <f t="shared" si="47"/>
        <v>2288.9565562358944</v>
      </c>
      <c r="Y118" s="98">
        <f t="shared" si="47"/>
        <v>107.7372111956773</v>
      </c>
      <c r="Z118" s="261">
        <f t="shared" si="48"/>
        <v>4882371.9470350696</v>
      </c>
      <c r="AA118" s="98">
        <f t="shared" si="48"/>
        <v>48577.032735251945</v>
      </c>
      <c r="AB118" s="261">
        <f t="shared" si="49"/>
        <v>835469.1430261014</v>
      </c>
      <c r="AC118" s="98">
        <f t="shared" si="49"/>
        <v>39324.082086422219</v>
      </c>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c r="AY118" s="170"/>
      <c r="AZ118" s="170"/>
      <c r="BA118" s="170"/>
      <c r="BB118" s="170"/>
      <c r="BC118" s="170"/>
      <c r="BD118" s="170"/>
      <c r="BE118" s="170"/>
      <c r="BF118" s="170"/>
      <c r="BG118" s="170"/>
      <c r="BH118" s="170"/>
      <c r="BI118" s="170"/>
      <c r="BJ118" s="170"/>
      <c r="BK118" s="170"/>
      <c r="BL118" s="170"/>
      <c r="BM118" s="170"/>
      <c r="BN118" s="170"/>
      <c r="BO118" s="170"/>
      <c r="BP118" s="170"/>
      <c r="BQ118" s="170"/>
      <c r="BR118" s="170"/>
      <c r="BS118" s="170"/>
      <c r="BT118" s="170"/>
      <c r="BU118" s="170"/>
      <c r="BV118" s="170"/>
      <c r="BW118" s="170"/>
      <c r="BX118" s="170"/>
      <c r="BY118" s="170"/>
      <c r="BZ118" s="170"/>
    </row>
    <row r="119" spans="1:78" x14ac:dyDescent="0.2">
      <c r="A119" s="84">
        <f t="shared" si="33"/>
        <v>2054</v>
      </c>
      <c r="B119" s="261">
        <f t="shared" si="52"/>
        <v>793.37597880740645</v>
      </c>
      <c r="C119" s="98">
        <f t="shared" si="53"/>
        <v>162.4986944545291</v>
      </c>
      <c r="D119" s="261">
        <f t="shared" si="36"/>
        <v>810</v>
      </c>
      <c r="E119" s="98">
        <f t="shared" si="37"/>
        <v>405</v>
      </c>
      <c r="F119" s="253">
        <f t="shared" si="50"/>
        <v>0.99776500638569621</v>
      </c>
      <c r="G119" s="83">
        <f t="shared" si="50"/>
        <v>0.99776500638569621</v>
      </c>
      <c r="H119" s="253">
        <f t="shared" ref="H119:H121" si="56">F119*B119</f>
        <v>791.60278856102991</v>
      </c>
      <c r="I119" s="83">
        <f t="shared" ref="I119:I121" si="57">G119*C119</f>
        <v>162.13551091009052</v>
      </c>
      <c r="J119" s="344">
        <f t="shared" si="39"/>
        <v>47.618008867415938</v>
      </c>
      <c r="K119" s="100">
        <f t="shared" ref="K119:K121" si="58">I119/(E119-C119)</f>
        <v>0.66859644547228569</v>
      </c>
      <c r="L119" s="253">
        <f t="shared" ref="L119:L120" si="59">0.5*F119*B119*(F119+J119)</f>
        <v>19242.191083276921</v>
      </c>
      <c r="M119" s="83">
        <f t="shared" ref="M119:M121" si="60">0.5*G119*C119*(G119+K119)</f>
        <v>135.08818267893705</v>
      </c>
      <c r="N119" s="253">
        <f t="shared" si="54"/>
        <v>694.88792626579755</v>
      </c>
      <c r="O119" s="83">
        <f t="shared" si="55"/>
        <v>142.32644272913925</v>
      </c>
      <c r="P119" s="261">
        <f t="shared" si="43"/>
        <v>810</v>
      </c>
      <c r="Q119" s="98">
        <f t="shared" si="44"/>
        <v>405</v>
      </c>
      <c r="R119" s="253">
        <f t="shared" si="51"/>
        <v>0.99776500638569621</v>
      </c>
      <c r="S119" s="83">
        <f t="shared" si="51"/>
        <v>0.99776500638569621</v>
      </c>
      <c r="T119" s="253">
        <f t="shared" ref="T119:T121" si="61">R119*N119</f>
        <v>693.33485618793668</v>
      </c>
      <c r="U119" s="83">
        <f t="shared" ref="U119:U121" si="62">S119*O119</f>
        <v>142.00834403849305</v>
      </c>
      <c r="V119" s="260">
        <f t="shared" ref="V119:V120" si="63">T119/(P119-N119)</f>
        <v>6.0231288838464465</v>
      </c>
      <c r="W119" s="100">
        <f t="shared" ref="W119:W121" si="64">U119/(Q119-O119)</f>
        <v>0.5406267212959639</v>
      </c>
      <c r="X119" s="253">
        <f t="shared" ref="X119:X121" si="65">0.5*R119*N119*(R119+V119)</f>
        <v>2433.915227847433</v>
      </c>
      <c r="Y119" s="83">
        <f t="shared" ref="Y119:Y121" si="66">0.5*S119*O119*(S119+W119)</f>
        <v>109.23223086529445</v>
      </c>
      <c r="Z119" s="253">
        <f t="shared" ref="Z119:Z121" si="67">L119*365</f>
        <v>7023399.7453960758</v>
      </c>
      <c r="AA119" s="83">
        <f t="shared" ref="AA119:AA121" si="68">M119*365</f>
        <v>49307.186677812024</v>
      </c>
      <c r="AB119" s="253">
        <f t="shared" ref="AB119:AB121" si="69">X119*365</f>
        <v>888379.05816431309</v>
      </c>
      <c r="AC119" s="83">
        <f t="shared" ref="AC119:AC121" si="70">Y119*365</f>
        <v>39869.764265832477</v>
      </c>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0"/>
      <c r="BR119" s="170"/>
      <c r="BS119" s="170"/>
      <c r="BT119" s="170"/>
      <c r="BU119" s="170"/>
      <c r="BV119" s="170"/>
      <c r="BW119" s="170"/>
      <c r="BX119" s="170"/>
      <c r="BY119" s="170"/>
      <c r="BZ119" s="170"/>
    </row>
    <row r="120" spans="1:78" x14ac:dyDescent="0.2">
      <c r="A120" s="84">
        <f t="shared" si="33"/>
        <v>2055</v>
      </c>
      <c r="B120" s="261">
        <f t="shared" si="52"/>
        <v>800.51636261667306</v>
      </c>
      <c r="C120" s="98">
        <f t="shared" si="53"/>
        <v>163.96118270461986</v>
      </c>
      <c r="D120" s="261">
        <f t="shared" si="36"/>
        <v>810</v>
      </c>
      <c r="E120" s="98">
        <f t="shared" si="37"/>
        <v>405</v>
      </c>
      <c r="F120" s="253">
        <f t="shared" si="50"/>
        <v>0.99776500638569621</v>
      </c>
      <c r="G120" s="83">
        <f t="shared" si="50"/>
        <v>0.99776500638569621</v>
      </c>
      <c r="H120" s="253">
        <f t="shared" si="56"/>
        <v>798.72721365807911</v>
      </c>
      <c r="I120" s="83">
        <f t="shared" si="57"/>
        <v>163.59473050828134</v>
      </c>
      <c r="J120" s="344">
        <f t="shared" ref="J120" si="71">H120/(D120-B120)</f>
        <v>84.221610482736438</v>
      </c>
      <c r="K120" s="100">
        <f t="shared" si="58"/>
        <v>0.678706991446132</v>
      </c>
      <c r="L120" s="253">
        <f t="shared" si="59"/>
        <v>34033.517167054059</v>
      </c>
      <c r="M120" s="83">
        <f t="shared" si="60"/>
        <v>137.13099234498898</v>
      </c>
      <c r="N120" s="253">
        <f t="shared" si="54"/>
        <v>701.14191760218966</v>
      </c>
      <c r="O120" s="83">
        <f t="shared" si="55"/>
        <v>143.60738071370147</v>
      </c>
      <c r="P120" s="261">
        <f t="shared" si="43"/>
        <v>810</v>
      </c>
      <c r="Q120" s="98">
        <f t="shared" si="44"/>
        <v>405</v>
      </c>
      <c r="R120" s="253">
        <f t="shared" si="51"/>
        <v>0.99776500638569621</v>
      </c>
      <c r="S120" s="83">
        <f t="shared" si="51"/>
        <v>0.99776500638569621</v>
      </c>
      <c r="T120" s="253">
        <f t="shared" si="61"/>
        <v>699.57486989362803</v>
      </c>
      <c r="U120" s="83">
        <f t="shared" si="62"/>
        <v>143.28641913483946</v>
      </c>
      <c r="V120" s="260">
        <f t="shared" si="63"/>
        <v>6.4264853328676663</v>
      </c>
      <c r="W120" s="100">
        <f t="shared" si="64"/>
        <v>0.54816551257669777</v>
      </c>
      <c r="X120" s="253">
        <f t="shared" si="65"/>
        <v>2596.9094825704474</v>
      </c>
      <c r="Y120" s="83">
        <f t="shared" si="66"/>
        <v>110.75542414669273</v>
      </c>
      <c r="Z120" s="253">
        <f>L120*365</f>
        <v>12422233.765974732</v>
      </c>
      <c r="AA120" s="83">
        <f t="shared" si="68"/>
        <v>50052.812205920978</v>
      </c>
      <c r="AB120" s="253">
        <f t="shared" si="69"/>
        <v>947871.96113821329</v>
      </c>
      <c r="AC120" s="83">
        <f t="shared" si="70"/>
        <v>40425.72981354285</v>
      </c>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0"/>
      <c r="BA120" s="170"/>
      <c r="BB120" s="170"/>
      <c r="BC120" s="170"/>
      <c r="BD120" s="170"/>
      <c r="BE120" s="170"/>
      <c r="BF120" s="170"/>
      <c r="BG120" s="170"/>
      <c r="BH120" s="170"/>
      <c r="BI120" s="170"/>
      <c r="BJ120" s="170"/>
      <c r="BK120" s="170"/>
      <c r="BL120" s="170"/>
      <c r="BM120" s="170"/>
      <c r="BN120" s="170"/>
      <c r="BO120" s="170"/>
      <c r="BP120" s="170"/>
      <c r="BQ120" s="170"/>
      <c r="BR120" s="170"/>
      <c r="BS120" s="170"/>
      <c r="BT120" s="170"/>
      <c r="BU120" s="170"/>
      <c r="BV120" s="170"/>
      <c r="BW120" s="170"/>
      <c r="BX120" s="170"/>
      <c r="BY120" s="170"/>
      <c r="BZ120" s="170"/>
    </row>
    <row r="121" spans="1:78" ht="13.5" thickBot="1" x14ac:dyDescent="0.25">
      <c r="A121" s="86">
        <f t="shared" si="33"/>
        <v>2056</v>
      </c>
      <c r="B121" s="254">
        <f t="shared" si="52"/>
        <v>807.72100988022305</v>
      </c>
      <c r="C121" s="87">
        <f t="shared" si="53"/>
        <v>165.43683334896141</v>
      </c>
      <c r="D121" s="254">
        <f t="shared" si="36"/>
        <v>810</v>
      </c>
      <c r="E121" s="87">
        <f t="shared" si="37"/>
        <v>405</v>
      </c>
      <c r="F121" s="302">
        <f t="shared" si="50"/>
        <v>0.99776500638569621</v>
      </c>
      <c r="G121" s="303">
        <f t="shared" si="50"/>
        <v>0.99776500638569621</v>
      </c>
      <c r="H121" s="302">
        <f t="shared" si="56"/>
        <v>805.9157585810018</v>
      </c>
      <c r="I121" s="303">
        <f t="shared" si="57"/>
        <v>165.06708308285585</v>
      </c>
      <c r="J121" s="363">
        <f>H121/(D121-B121)</f>
        <v>353.62845656385679</v>
      </c>
      <c r="K121" s="347">
        <f t="shared" si="58"/>
        <v>0.68903364983191262</v>
      </c>
      <c r="L121" s="302">
        <f>0.5*F121*B121*(F121+J121)</f>
        <v>142899.4301847482</v>
      </c>
      <c r="M121" s="303">
        <f t="shared" si="60"/>
        <v>139.21746696496081</v>
      </c>
      <c r="N121" s="302">
        <f t="shared" si="54"/>
        <v>707.45219486060932</v>
      </c>
      <c r="O121" s="303">
        <f t="shared" si="55"/>
        <v>144.89984714012476</v>
      </c>
      <c r="P121" s="254">
        <f t="shared" si="43"/>
        <v>810</v>
      </c>
      <c r="Q121" s="87">
        <f t="shared" si="44"/>
        <v>405</v>
      </c>
      <c r="R121" s="302">
        <f t="shared" si="51"/>
        <v>0.99776500638569621</v>
      </c>
      <c r="S121" s="303">
        <f t="shared" si="51"/>
        <v>0.99776500638569621</v>
      </c>
      <c r="T121" s="302">
        <f t="shared" si="61"/>
        <v>705.87104372267061</v>
      </c>
      <c r="U121" s="303">
        <f t="shared" si="62"/>
        <v>144.575996907053</v>
      </c>
      <c r="V121" s="346">
        <f>T121/(P121-N121)</f>
        <v>6.8833364377052995</v>
      </c>
      <c r="W121" s="347">
        <f t="shared" si="64"/>
        <v>0.55584741230406343</v>
      </c>
      <c r="X121" s="302">
        <f t="shared" si="65"/>
        <v>2781.5206510123789</v>
      </c>
      <c r="Y121" s="303">
        <f t="shared" si="66"/>
        <v>112.3075321196249</v>
      </c>
      <c r="Z121" s="302">
        <f t="shared" si="67"/>
        <v>52158292.017433092</v>
      </c>
      <c r="AA121" s="303">
        <f t="shared" si="68"/>
        <v>50814.375442210694</v>
      </c>
      <c r="AB121" s="302">
        <f t="shared" si="69"/>
        <v>1015255.0376195183</v>
      </c>
      <c r="AC121" s="303">
        <f t="shared" si="70"/>
        <v>40992.249223663086</v>
      </c>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0"/>
      <c r="BA121" s="170"/>
      <c r="BB121" s="170"/>
      <c r="BC121" s="170"/>
      <c r="BD121" s="170"/>
      <c r="BE121" s="170"/>
      <c r="BF121" s="170"/>
      <c r="BG121" s="170"/>
      <c r="BH121" s="170"/>
      <c r="BI121" s="170"/>
      <c r="BJ121" s="170"/>
      <c r="BK121" s="170"/>
      <c r="BL121" s="170"/>
      <c r="BM121" s="170"/>
      <c r="BN121" s="170"/>
      <c r="BO121" s="170"/>
      <c r="BP121" s="170"/>
      <c r="BQ121" s="170"/>
      <c r="BR121" s="170"/>
      <c r="BS121" s="170"/>
      <c r="BT121" s="170"/>
      <c r="BU121" s="170"/>
      <c r="BV121" s="170"/>
      <c r="BW121" s="170"/>
      <c r="BX121" s="170"/>
      <c r="BY121" s="170"/>
      <c r="BZ121" s="170"/>
    </row>
    <row r="122" spans="1:78" ht="13.5" thickTop="1" x14ac:dyDescent="0.2">
      <c r="A122" s="262" t="s">
        <v>263</v>
      </c>
      <c r="B122" s="170"/>
      <c r="C122" s="170"/>
      <c r="D122" s="170"/>
      <c r="E122" s="170"/>
      <c r="F122" s="257"/>
      <c r="G122" s="257"/>
      <c r="H122" s="170"/>
      <c r="I122" s="258"/>
      <c r="J122" s="259"/>
      <c r="K122" s="259"/>
      <c r="L122" s="256"/>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c r="BD122" s="170"/>
      <c r="BE122" s="170"/>
      <c r="BF122" s="170"/>
      <c r="BG122" s="170"/>
      <c r="BH122" s="170"/>
      <c r="BI122" s="170"/>
      <c r="BJ122" s="170"/>
      <c r="BK122" s="170"/>
      <c r="BL122" s="170"/>
      <c r="BM122" s="170"/>
      <c r="BN122" s="170"/>
      <c r="BO122" s="170"/>
      <c r="BP122" s="170"/>
      <c r="BQ122" s="170"/>
      <c r="BR122" s="170"/>
      <c r="BS122" s="170"/>
      <c r="BT122" s="170"/>
      <c r="BU122" s="170"/>
      <c r="BV122" s="170"/>
      <c r="BW122" s="170"/>
      <c r="BX122" s="170"/>
      <c r="BY122" s="170"/>
      <c r="BZ122" s="170"/>
    </row>
    <row r="123" spans="1:78" x14ac:dyDescent="0.2">
      <c r="A123" s="262" t="s">
        <v>160</v>
      </c>
      <c r="B123" s="170"/>
      <c r="C123" s="170"/>
      <c r="D123" s="170"/>
      <c r="E123" s="170"/>
      <c r="F123" s="257"/>
      <c r="G123" s="257"/>
      <c r="H123" s="170"/>
      <c r="I123" s="258"/>
      <c r="J123" s="259"/>
      <c r="K123" s="259"/>
      <c r="L123" s="256"/>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c r="AY123" s="170"/>
      <c r="AZ123" s="170"/>
      <c r="BA123" s="170"/>
      <c r="BB123" s="170"/>
      <c r="BC123" s="170"/>
      <c r="BD123" s="170"/>
      <c r="BE123" s="170"/>
      <c r="BF123" s="170"/>
      <c r="BG123" s="170"/>
      <c r="BH123" s="170"/>
      <c r="BI123" s="170"/>
      <c r="BJ123" s="170"/>
      <c r="BK123" s="170"/>
      <c r="BL123" s="170"/>
      <c r="BM123" s="170"/>
      <c r="BN123" s="170"/>
      <c r="BO123" s="170"/>
      <c r="BP123" s="170"/>
      <c r="BQ123" s="170"/>
      <c r="BR123" s="170"/>
      <c r="BS123" s="170"/>
      <c r="BT123" s="170"/>
      <c r="BU123" s="170"/>
      <c r="BV123" s="170"/>
      <c r="BW123" s="170"/>
      <c r="BX123" s="170"/>
      <c r="BY123" s="170"/>
      <c r="BZ123" s="170"/>
    </row>
    <row r="124" spans="1:78" x14ac:dyDescent="0.2">
      <c r="A124" s="262" t="s">
        <v>161</v>
      </c>
      <c r="B124" s="170"/>
      <c r="C124" s="170"/>
      <c r="D124" s="170"/>
      <c r="E124" s="170"/>
      <c r="F124" s="257"/>
      <c r="G124" s="257"/>
      <c r="H124" s="170"/>
      <c r="I124" s="258"/>
      <c r="J124" s="259"/>
      <c r="K124" s="259"/>
      <c r="L124" s="256"/>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0"/>
      <c r="BA124" s="170"/>
      <c r="BB124" s="170"/>
      <c r="BC124" s="170"/>
      <c r="BD124" s="170"/>
      <c r="BE124" s="170"/>
      <c r="BF124" s="170"/>
      <c r="BG124" s="170"/>
      <c r="BH124" s="170"/>
      <c r="BI124" s="170"/>
      <c r="BJ124" s="170"/>
      <c r="BK124" s="170"/>
      <c r="BL124" s="170"/>
      <c r="BM124" s="170"/>
      <c r="BN124" s="170"/>
      <c r="BO124" s="170"/>
      <c r="BP124" s="170"/>
      <c r="BQ124" s="170"/>
      <c r="BR124" s="170"/>
      <c r="BS124" s="170"/>
      <c r="BT124" s="170"/>
      <c r="BU124" s="170"/>
      <c r="BV124" s="170"/>
      <c r="BW124" s="170"/>
      <c r="BX124" s="170"/>
      <c r="BY124" s="170"/>
      <c r="BZ124" s="170"/>
    </row>
    <row r="125" spans="1:78" x14ac:dyDescent="0.2">
      <c r="A125" s="262" t="s">
        <v>264</v>
      </c>
      <c r="B125" s="170"/>
      <c r="C125" s="170"/>
      <c r="D125" s="170"/>
      <c r="E125" s="170"/>
      <c r="F125" s="257"/>
      <c r="G125" s="257"/>
      <c r="H125" s="170"/>
      <c r="I125" s="258"/>
      <c r="J125" s="259"/>
      <c r="K125" s="259"/>
      <c r="L125" s="256"/>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0"/>
      <c r="BA125" s="170"/>
      <c r="BB125" s="170"/>
      <c r="BC125" s="170"/>
      <c r="BD125" s="170"/>
      <c r="BE125" s="170"/>
      <c r="BF125" s="170"/>
      <c r="BG125" s="170"/>
      <c r="BH125" s="170"/>
      <c r="BI125" s="170"/>
      <c r="BJ125" s="170"/>
      <c r="BK125" s="170"/>
      <c r="BL125" s="170"/>
      <c r="BM125" s="170"/>
      <c r="BN125" s="170"/>
      <c r="BO125" s="170"/>
      <c r="BP125" s="170"/>
      <c r="BQ125" s="170"/>
      <c r="BR125" s="170"/>
      <c r="BS125" s="170"/>
      <c r="BT125" s="170"/>
      <c r="BU125" s="170"/>
      <c r="BV125" s="170"/>
      <c r="BW125" s="170"/>
      <c r="BX125" s="170"/>
      <c r="BY125" s="170"/>
      <c r="BZ125" s="170"/>
    </row>
    <row r="126" spans="1:78" x14ac:dyDescent="0.2">
      <c r="A126" s="262"/>
      <c r="B126" s="170"/>
      <c r="C126" s="170"/>
      <c r="D126" s="170"/>
      <c r="E126" s="170"/>
      <c r="F126" s="170"/>
      <c r="G126" s="170"/>
      <c r="H126" s="170"/>
      <c r="I126" s="258"/>
      <c r="J126" s="259"/>
      <c r="K126" s="259"/>
      <c r="L126" s="256"/>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c r="AY126" s="170"/>
      <c r="AZ126" s="170"/>
      <c r="BA126" s="170"/>
      <c r="BB126" s="170"/>
      <c r="BC126" s="170"/>
      <c r="BD126" s="170"/>
      <c r="BE126" s="170"/>
      <c r="BF126" s="170"/>
      <c r="BG126" s="170"/>
      <c r="BH126" s="170"/>
      <c r="BI126" s="170"/>
      <c r="BJ126" s="170"/>
      <c r="BK126" s="170"/>
      <c r="BL126" s="170"/>
      <c r="BM126" s="170"/>
      <c r="BN126" s="170"/>
      <c r="BO126" s="170"/>
      <c r="BP126" s="170"/>
      <c r="BQ126" s="170"/>
      <c r="BR126" s="170"/>
      <c r="BS126" s="170"/>
      <c r="BT126" s="170"/>
      <c r="BU126" s="170"/>
      <c r="BV126" s="170"/>
      <c r="BW126" s="170"/>
      <c r="BX126" s="170"/>
      <c r="BY126" s="170"/>
      <c r="BZ126" s="170"/>
    </row>
    <row r="127" spans="1:78" x14ac:dyDescent="0.2">
      <c r="A127" s="397" t="s">
        <v>162</v>
      </c>
      <c r="B127" s="398"/>
      <c r="C127" s="398"/>
      <c r="D127" s="398"/>
      <c r="E127" s="398"/>
      <c r="F127" s="398"/>
      <c r="G127" s="398"/>
      <c r="H127" s="398"/>
      <c r="I127" s="398"/>
      <c r="J127" s="398"/>
      <c r="K127" s="398"/>
      <c r="L127" s="398"/>
      <c r="M127" s="398"/>
      <c r="N127" s="398"/>
      <c r="O127" s="398"/>
      <c r="P127" s="398"/>
      <c r="Q127" s="399"/>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c r="AY127" s="170"/>
      <c r="AZ127" s="170"/>
      <c r="BA127" s="170"/>
      <c r="BB127" s="170"/>
      <c r="BC127" s="170"/>
      <c r="BD127" s="170"/>
      <c r="BE127" s="170"/>
      <c r="BF127" s="170"/>
      <c r="BG127" s="170"/>
      <c r="BH127" s="170"/>
      <c r="BI127" s="170"/>
      <c r="BJ127" s="170"/>
      <c r="BK127" s="170"/>
      <c r="BL127" s="170"/>
      <c r="BM127" s="170"/>
      <c r="BN127" s="170"/>
      <c r="BO127" s="170"/>
      <c r="BP127" s="170"/>
      <c r="BQ127" s="170"/>
      <c r="BR127" s="170"/>
      <c r="BS127" s="170"/>
      <c r="BT127" s="170"/>
      <c r="BU127" s="170"/>
      <c r="BV127" s="170"/>
      <c r="BW127" s="170"/>
      <c r="BX127" s="170"/>
      <c r="BY127" s="170"/>
      <c r="BZ127" s="170"/>
    </row>
    <row r="128" spans="1:78" x14ac:dyDescent="0.2">
      <c r="A128" s="476" t="s">
        <v>1</v>
      </c>
      <c r="B128" s="397" t="s">
        <v>297</v>
      </c>
      <c r="C128" s="398"/>
      <c r="D128" s="398"/>
      <c r="E128" s="398"/>
      <c r="F128" s="398"/>
      <c r="G128" s="398"/>
      <c r="H128" s="398"/>
      <c r="I128" s="398"/>
      <c r="J128" s="398"/>
      <c r="K128" s="398"/>
      <c r="L128" s="398"/>
      <c r="M128" s="398"/>
      <c r="N128" s="398"/>
      <c r="O128" s="399"/>
      <c r="P128" s="397" t="s">
        <v>294</v>
      </c>
      <c r="Q128" s="399"/>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c r="AY128" s="170"/>
      <c r="AZ128" s="170"/>
      <c r="BA128" s="170"/>
      <c r="BB128" s="170"/>
      <c r="BC128" s="170"/>
      <c r="BD128" s="170"/>
      <c r="BE128" s="170"/>
      <c r="BF128" s="170"/>
      <c r="BG128" s="170"/>
      <c r="BH128" s="170"/>
      <c r="BI128" s="170"/>
      <c r="BJ128" s="170"/>
      <c r="BK128" s="170"/>
      <c r="BL128" s="170"/>
      <c r="BM128" s="170"/>
      <c r="BN128" s="170"/>
      <c r="BO128" s="170"/>
      <c r="BP128" s="170"/>
      <c r="BQ128" s="170"/>
      <c r="BR128" s="170"/>
      <c r="BS128" s="170"/>
      <c r="BT128" s="170"/>
      <c r="BU128" s="170"/>
      <c r="BV128" s="170"/>
      <c r="BW128" s="170"/>
      <c r="BX128" s="170"/>
      <c r="BY128" s="170"/>
      <c r="BZ128" s="170"/>
    </row>
    <row r="129" spans="1:78" x14ac:dyDescent="0.2">
      <c r="A129" s="476"/>
      <c r="B129" s="473" t="s">
        <v>143</v>
      </c>
      <c r="C129" s="473"/>
      <c r="D129" s="473" t="s">
        <v>144</v>
      </c>
      <c r="E129" s="473"/>
      <c r="F129" s="471" t="s">
        <v>163</v>
      </c>
      <c r="G129" s="472"/>
      <c r="H129" s="473" t="s">
        <v>145</v>
      </c>
      <c r="I129" s="473"/>
      <c r="J129" s="477" t="s">
        <v>146</v>
      </c>
      <c r="K129" s="477"/>
      <c r="L129" s="477" t="s">
        <v>147</v>
      </c>
      <c r="M129" s="477"/>
      <c r="N129" s="477" t="s">
        <v>148</v>
      </c>
      <c r="O129" s="477"/>
      <c r="P129" s="477" t="s">
        <v>148</v>
      </c>
      <c r="Q129" s="477"/>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c r="AY129" s="170"/>
      <c r="AZ129" s="170"/>
      <c r="BA129" s="170"/>
      <c r="BB129" s="170"/>
      <c r="BC129" s="170"/>
      <c r="BD129" s="170"/>
      <c r="BE129" s="170"/>
      <c r="BF129" s="170"/>
      <c r="BG129" s="170"/>
      <c r="BH129" s="170"/>
      <c r="BI129" s="170"/>
      <c r="BJ129" s="170"/>
      <c r="BK129" s="170"/>
      <c r="BL129" s="170"/>
      <c r="BM129" s="170"/>
      <c r="BN129" s="170"/>
      <c r="BO129" s="170"/>
      <c r="BP129" s="170"/>
      <c r="BQ129" s="170"/>
      <c r="BR129" s="170"/>
      <c r="BS129" s="170"/>
      <c r="BT129" s="170"/>
      <c r="BU129" s="170"/>
      <c r="BV129" s="170"/>
      <c r="BW129" s="170"/>
      <c r="BX129" s="170"/>
      <c r="BY129" s="170"/>
      <c r="BZ129" s="170"/>
    </row>
    <row r="130" spans="1:78" x14ac:dyDescent="0.2">
      <c r="A130" s="476"/>
      <c r="B130" s="241" t="s">
        <v>150</v>
      </c>
      <c r="C130" s="241" t="s">
        <v>151</v>
      </c>
      <c r="D130" s="241" t="s">
        <v>152</v>
      </c>
      <c r="E130" s="241" t="s">
        <v>153</v>
      </c>
      <c r="F130" s="241" t="s">
        <v>164</v>
      </c>
      <c r="G130" s="241" t="s">
        <v>165</v>
      </c>
      <c r="H130" s="241" t="s">
        <v>154</v>
      </c>
      <c r="I130" s="243" t="s">
        <v>155</v>
      </c>
      <c r="J130" s="241" t="s">
        <v>156</v>
      </c>
      <c r="K130" s="241" t="s">
        <v>157</v>
      </c>
      <c r="L130" s="241" t="s">
        <v>158</v>
      </c>
      <c r="M130" s="241" t="s">
        <v>159</v>
      </c>
      <c r="N130" s="241" t="s">
        <v>149</v>
      </c>
      <c r="O130" s="241" t="s">
        <v>88</v>
      </c>
      <c r="P130" s="241" t="s">
        <v>149</v>
      </c>
      <c r="Q130" s="241" t="s">
        <v>88</v>
      </c>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c r="AY130" s="170"/>
      <c r="AZ130" s="170"/>
      <c r="BA130" s="170"/>
      <c r="BB130" s="170"/>
      <c r="BC130" s="170"/>
      <c r="BD130" s="170"/>
      <c r="BE130" s="170"/>
      <c r="BF130" s="170"/>
      <c r="BG130" s="170"/>
      <c r="BH130" s="170"/>
      <c r="BI130" s="170"/>
      <c r="BJ130" s="170"/>
      <c r="BK130" s="170"/>
      <c r="BL130" s="170"/>
      <c r="BM130" s="170"/>
      <c r="BN130" s="170"/>
      <c r="BO130" s="170"/>
      <c r="BP130" s="170"/>
      <c r="BQ130" s="170"/>
      <c r="BR130" s="170"/>
      <c r="BS130" s="170"/>
      <c r="BT130" s="170"/>
      <c r="BU130" s="170"/>
      <c r="BV130" s="170"/>
      <c r="BW130" s="170"/>
      <c r="BX130" s="170"/>
      <c r="BY130" s="170"/>
      <c r="BZ130" s="170"/>
    </row>
    <row r="131" spans="1:78" x14ac:dyDescent="0.2">
      <c r="A131" s="82">
        <v>2019</v>
      </c>
      <c r="B131" s="310">
        <f>J218/24</f>
        <v>217.875</v>
      </c>
      <c r="C131" s="83">
        <f>J219/24</f>
        <v>44.625</v>
      </c>
      <c r="D131" s="253">
        <f>1800</f>
        <v>1800</v>
      </c>
      <c r="E131" s="83">
        <f>900</f>
        <v>900</v>
      </c>
      <c r="F131" s="253">
        <v>2</v>
      </c>
      <c r="G131" s="83">
        <v>2</v>
      </c>
      <c r="H131" s="260">
        <f t="shared" ref="H131:H168" si="72">(F131*$B$266/60)+(G131*$B$273/60)</f>
        <v>0.14791666666666664</v>
      </c>
      <c r="I131" s="100">
        <f t="shared" ref="I131:I168" si="73">(F131*$B$266/60)+(G131*$B$273/60)</f>
        <v>0.14791666666666664</v>
      </c>
      <c r="J131" s="253">
        <f>H131*B131</f>
        <v>32.227343749999996</v>
      </c>
      <c r="K131" s="83">
        <f>I131*C131</f>
        <v>6.6007812499999989</v>
      </c>
      <c r="L131" s="260">
        <f>J131/(D131-B131)</f>
        <v>2.0369657106739349E-2</v>
      </c>
      <c r="M131" s="100">
        <f>K131/(E131-C131)</f>
        <v>7.716827414876515E-3</v>
      </c>
      <c r="N131" s="253">
        <f>0.5*H131*B131*(H131+L131)</f>
        <v>2.7117106023346755</v>
      </c>
      <c r="O131" s="83">
        <f>0.5*I131*C131*(I131+M131)</f>
        <v>0.51365132480271791</v>
      </c>
      <c r="P131" s="253">
        <f>N131*365</f>
        <v>989.77436985215661</v>
      </c>
      <c r="Q131" s="83">
        <f>O131*365</f>
        <v>187.48273355299204</v>
      </c>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0"/>
      <c r="BA131" s="170"/>
      <c r="BB131" s="170"/>
      <c r="BC131" s="170"/>
      <c r="BD131" s="170"/>
      <c r="BE131" s="170"/>
      <c r="BF131" s="170"/>
      <c r="BG131" s="170"/>
      <c r="BH131" s="170"/>
      <c r="BI131" s="170"/>
      <c r="BJ131" s="170"/>
      <c r="BK131" s="170"/>
      <c r="BL131" s="170"/>
      <c r="BM131" s="170"/>
      <c r="BN131" s="170"/>
      <c r="BO131" s="170"/>
      <c r="BP131" s="170"/>
      <c r="BQ131" s="170"/>
      <c r="BR131" s="170"/>
      <c r="BS131" s="170"/>
      <c r="BT131" s="170"/>
      <c r="BU131" s="170"/>
      <c r="BV131" s="170"/>
      <c r="BW131" s="170"/>
      <c r="BX131" s="170"/>
      <c r="BY131" s="170"/>
      <c r="BZ131" s="170"/>
    </row>
    <row r="132" spans="1:78" x14ac:dyDescent="0.2">
      <c r="A132" s="84">
        <f t="shared" ref="A132:A168" si="74">A131+1</f>
        <v>2020</v>
      </c>
      <c r="B132" s="261">
        <f t="shared" ref="B132:B152" si="75">($B131*(1+$B$243))</f>
        <v>221.36099999999999</v>
      </c>
      <c r="C132" s="98">
        <f t="shared" ref="C132:C152" si="76">($C131*(1+$B$243))</f>
        <v>45.338999999999999</v>
      </c>
      <c r="D132" s="253">
        <f>1800</f>
        <v>1800</v>
      </c>
      <c r="E132" s="83">
        <f>900</f>
        <v>900</v>
      </c>
      <c r="F132" s="253">
        <v>2</v>
      </c>
      <c r="G132" s="83">
        <v>2</v>
      </c>
      <c r="H132" s="260">
        <f t="shared" si="72"/>
        <v>0.14791666666666664</v>
      </c>
      <c r="I132" s="100">
        <f t="shared" si="73"/>
        <v>0.14791666666666664</v>
      </c>
      <c r="J132" s="253">
        <f t="shared" ref="J132:K164" si="77">H132*B132</f>
        <v>32.742981249999993</v>
      </c>
      <c r="K132" s="83">
        <f t="shared" si="77"/>
        <v>6.7063937499999984</v>
      </c>
      <c r="L132" s="260">
        <f t="shared" ref="L132:M164" si="78">J132/(D132-B132)</f>
        <v>2.0741272228799613E-2</v>
      </c>
      <c r="M132" s="100">
        <f t="shared" si="78"/>
        <v>7.8468465859563002E-3</v>
      </c>
      <c r="N132" s="253">
        <f t="shared" ref="N132:O164" si="79">0.5*H132*B132*(H132+L132)</f>
        <v>2.7611818654589482</v>
      </c>
      <c r="O132" s="83">
        <f t="shared" si="79"/>
        <v>0.52230572587771618</v>
      </c>
      <c r="P132" s="253">
        <f t="shared" ref="P132:Q164" si="80">N132*365</f>
        <v>1007.8313808925161</v>
      </c>
      <c r="Q132" s="83">
        <f t="shared" si="80"/>
        <v>190.64158994536641</v>
      </c>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0"/>
      <c r="AZ132" s="170"/>
      <c r="BA132" s="170"/>
      <c r="BB132" s="170"/>
      <c r="BC132" s="170"/>
      <c r="BD132" s="170"/>
      <c r="BE132" s="170"/>
      <c r="BF132" s="170"/>
      <c r="BG132" s="170"/>
      <c r="BH132" s="170"/>
      <c r="BI132" s="170"/>
      <c r="BJ132" s="170"/>
      <c r="BK132" s="170"/>
      <c r="BL132" s="170"/>
      <c r="BM132" s="170"/>
      <c r="BN132" s="170"/>
      <c r="BO132" s="170"/>
      <c r="BP132" s="170"/>
      <c r="BQ132" s="170"/>
      <c r="BR132" s="170"/>
      <c r="BS132" s="170"/>
      <c r="BT132" s="170"/>
      <c r="BU132" s="170"/>
      <c r="BV132" s="170"/>
      <c r="BW132" s="170"/>
      <c r="BX132" s="170"/>
      <c r="BY132" s="170"/>
      <c r="BZ132" s="170"/>
    </row>
    <row r="133" spans="1:78" x14ac:dyDescent="0.2">
      <c r="A133" s="84">
        <f t="shared" si="74"/>
        <v>2021</v>
      </c>
      <c r="B133" s="261">
        <f t="shared" si="75"/>
        <v>224.90277599999999</v>
      </c>
      <c r="C133" s="98">
        <f t="shared" si="76"/>
        <v>46.064424000000002</v>
      </c>
      <c r="D133" s="253">
        <f>1800</f>
        <v>1800</v>
      </c>
      <c r="E133" s="83">
        <f>900</f>
        <v>900</v>
      </c>
      <c r="F133" s="253">
        <v>2</v>
      </c>
      <c r="G133" s="83">
        <v>2</v>
      </c>
      <c r="H133" s="260">
        <f t="shared" si="72"/>
        <v>0.14791666666666664</v>
      </c>
      <c r="I133" s="100">
        <f t="shared" si="73"/>
        <v>0.14791666666666664</v>
      </c>
      <c r="J133" s="253">
        <f t="shared" si="77"/>
        <v>33.266868949999996</v>
      </c>
      <c r="K133" s="83">
        <f t="shared" si="77"/>
        <v>6.813696049999999</v>
      </c>
      <c r="L133" s="260">
        <f t="shared" si="78"/>
        <v>2.1120517796049391E-2</v>
      </c>
      <c r="M133" s="100">
        <f t="shared" si="78"/>
        <v>7.9791687353238921E-3</v>
      </c>
      <c r="N133" s="253">
        <f t="shared" si="79"/>
        <v>2.8116689315990748</v>
      </c>
      <c r="O133" s="83">
        <f t="shared" si="79"/>
        <v>0.53111341894499642</v>
      </c>
      <c r="P133" s="253">
        <f t="shared" si="80"/>
        <v>1026.2591600336623</v>
      </c>
      <c r="Q133" s="83">
        <f t="shared" si="80"/>
        <v>193.85639791492369</v>
      </c>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c r="AY133" s="170"/>
      <c r="AZ133" s="170"/>
      <c r="BA133" s="170"/>
      <c r="BB133" s="170"/>
      <c r="BC133" s="170"/>
      <c r="BD133" s="170"/>
      <c r="BE133" s="170"/>
      <c r="BF133" s="170"/>
      <c r="BG133" s="170"/>
      <c r="BH133" s="170"/>
      <c r="BI133" s="170"/>
      <c r="BJ133" s="170"/>
      <c r="BK133" s="170"/>
      <c r="BL133" s="170"/>
      <c r="BM133" s="170"/>
      <c r="BN133" s="170"/>
      <c r="BO133" s="170"/>
      <c r="BP133" s="170"/>
      <c r="BQ133" s="170"/>
      <c r="BR133" s="170"/>
      <c r="BS133" s="170"/>
      <c r="BT133" s="170"/>
      <c r="BU133" s="170"/>
      <c r="BV133" s="170"/>
      <c r="BW133" s="170"/>
      <c r="BX133" s="170"/>
      <c r="BY133" s="170"/>
      <c r="BZ133" s="170"/>
    </row>
    <row r="134" spans="1:78" x14ac:dyDescent="0.2">
      <c r="A134" s="84">
        <f t="shared" si="74"/>
        <v>2022</v>
      </c>
      <c r="B134" s="261">
        <f t="shared" si="75"/>
        <v>228.501220416</v>
      </c>
      <c r="C134" s="98">
        <f t="shared" si="76"/>
        <v>46.801454784000001</v>
      </c>
      <c r="D134" s="253">
        <f>1800</f>
        <v>1800</v>
      </c>
      <c r="E134" s="83">
        <f>900</f>
        <v>900</v>
      </c>
      <c r="F134" s="253">
        <v>2</v>
      </c>
      <c r="G134" s="83">
        <v>2</v>
      </c>
      <c r="H134" s="260">
        <f t="shared" si="72"/>
        <v>0.14791666666666664</v>
      </c>
      <c r="I134" s="100">
        <f t="shared" si="73"/>
        <v>0.14791666666666664</v>
      </c>
      <c r="J134" s="253">
        <f t="shared" si="77"/>
        <v>33.799138853199992</v>
      </c>
      <c r="K134" s="83">
        <f t="shared" si="77"/>
        <v>6.9227151867999988</v>
      </c>
      <c r="L134" s="260">
        <f t="shared" si="78"/>
        <v>2.1507581992616723E-2</v>
      </c>
      <c r="M134" s="100">
        <f t="shared" si="78"/>
        <v>8.1138384794683521E-3</v>
      </c>
      <c r="N134" s="253">
        <f t="shared" si="79"/>
        <v>2.8631968527671003</v>
      </c>
      <c r="O134" s="83">
        <f t="shared" si="79"/>
        <v>0.54007737378961196</v>
      </c>
      <c r="P134" s="253">
        <f t="shared" si="80"/>
        <v>1045.0668512599916</v>
      </c>
      <c r="Q134" s="83">
        <f t="shared" si="80"/>
        <v>197.12824143320836</v>
      </c>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c r="AY134" s="170"/>
      <c r="AZ134" s="170"/>
      <c r="BA134" s="170"/>
      <c r="BB134" s="170"/>
      <c r="BC134" s="170"/>
      <c r="BD134" s="170"/>
      <c r="BE134" s="170"/>
      <c r="BF134" s="170"/>
      <c r="BG134" s="170"/>
      <c r="BH134" s="170"/>
      <c r="BI134" s="170"/>
      <c r="BJ134" s="170"/>
      <c r="BK134" s="170"/>
      <c r="BL134" s="170"/>
      <c r="BM134" s="170"/>
      <c r="BN134" s="170"/>
      <c r="BO134" s="170"/>
      <c r="BP134" s="170"/>
      <c r="BQ134" s="170"/>
      <c r="BR134" s="170"/>
      <c r="BS134" s="170"/>
      <c r="BT134" s="170"/>
      <c r="BU134" s="170"/>
      <c r="BV134" s="170"/>
      <c r="BW134" s="170"/>
      <c r="BX134" s="170"/>
      <c r="BY134" s="170"/>
      <c r="BZ134" s="170"/>
    </row>
    <row r="135" spans="1:78" x14ac:dyDescent="0.2">
      <c r="A135" s="84">
        <f t="shared" si="74"/>
        <v>2023</v>
      </c>
      <c r="B135" s="261">
        <f t="shared" si="75"/>
        <v>232.15723994265599</v>
      </c>
      <c r="C135" s="98">
        <f t="shared" si="76"/>
        <v>47.550278060544002</v>
      </c>
      <c r="D135" s="253">
        <f>1800</f>
        <v>1800</v>
      </c>
      <c r="E135" s="83">
        <f>900</f>
        <v>900</v>
      </c>
      <c r="F135" s="253">
        <v>2</v>
      </c>
      <c r="G135" s="83">
        <v>2</v>
      </c>
      <c r="H135" s="260">
        <f t="shared" si="72"/>
        <v>0.14791666666666664</v>
      </c>
      <c r="I135" s="100">
        <f t="shared" si="73"/>
        <v>0.14791666666666664</v>
      </c>
      <c r="J135" s="253">
        <f t="shared" si="77"/>
        <v>34.339925074851195</v>
      </c>
      <c r="K135" s="83">
        <f t="shared" si="77"/>
        <v>7.0334786297887995</v>
      </c>
      <c r="L135" s="260">
        <f t="shared" si="78"/>
        <v>2.1902658831422103E-2</v>
      </c>
      <c r="M135" s="100">
        <f t="shared" si="78"/>
        <v>8.2509014300415733E-3</v>
      </c>
      <c r="N135" s="253">
        <f t="shared" si="79"/>
        <v>2.9157914569330674</v>
      </c>
      <c r="O135" s="83">
        <f t="shared" si="79"/>
        <v>0.54920062643714207</v>
      </c>
      <c r="P135" s="253">
        <f t="shared" si="80"/>
        <v>1064.2638817805696</v>
      </c>
      <c r="Q135" s="83">
        <f t="shared" si="80"/>
        <v>200.45822864955684</v>
      </c>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0"/>
      <c r="BA135" s="170"/>
      <c r="BB135" s="170"/>
      <c r="BC135" s="170"/>
      <c r="BD135" s="170"/>
      <c r="BE135" s="170"/>
      <c r="BF135" s="170"/>
      <c r="BG135" s="170"/>
      <c r="BH135" s="170"/>
      <c r="BI135" s="170"/>
      <c r="BJ135" s="170"/>
      <c r="BK135" s="170"/>
      <c r="BL135" s="170"/>
      <c r="BM135" s="170"/>
      <c r="BN135" s="170"/>
      <c r="BO135" s="170"/>
      <c r="BP135" s="170"/>
      <c r="BQ135" s="170"/>
      <c r="BR135" s="170"/>
      <c r="BS135" s="170"/>
      <c r="BT135" s="170"/>
      <c r="BU135" s="170"/>
      <c r="BV135" s="170"/>
      <c r="BW135" s="170"/>
      <c r="BX135" s="170"/>
      <c r="BY135" s="170"/>
      <c r="BZ135" s="170"/>
    </row>
    <row r="136" spans="1:78" x14ac:dyDescent="0.2">
      <c r="A136" s="84">
        <f t="shared" si="74"/>
        <v>2024</v>
      </c>
      <c r="B136" s="261">
        <f t="shared" si="75"/>
        <v>235.8717557817385</v>
      </c>
      <c r="C136" s="98">
        <f t="shared" si="76"/>
        <v>48.311082509512708</v>
      </c>
      <c r="D136" s="253">
        <f>1800</f>
        <v>1800</v>
      </c>
      <c r="E136" s="83">
        <f>900</f>
        <v>900</v>
      </c>
      <c r="F136" s="253">
        <v>2</v>
      </c>
      <c r="G136" s="83">
        <v>2</v>
      </c>
      <c r="H136" s="260">
        <f t="shared" si="72"/>
        <v>0.14791666666666664</v>
      </c>
      <c r="I136" s="100">
        <f t="shared" si="73"/>
        <v>0.14791666666666664</v>
      </c>
      <c r="J136" s="253">
        <f t="shared" si="77"/>
        <v>34.889363876048812</v>
      </c>
      <c r="K136" s="83">
        <f t="shared" si="77"/>
        <v>7.1460142878654205</v>
      </c>
      <c r="L136" s="260">
        <f t="shared" si="78"/>
        <v>2.2305948380521849E-2</v>
      </c>
      <c r="M136" s="100">
        <f t="shared" si="78"/>
        <v>8.3904042205001882E-3</v>
      </c>
      <c r="N136" s="253">
        <f t="shared" si="79"/>
        <v>2.9694793781569708</v>
      </c>
      <c r="O136" s="83">
        <f t="shared" si="79"/>
        <v>0.55848628092704367</v>
      </c>
      <c r="P136" s="253">
        <f t="shared" si="80"/>
        <v>1083.8599730272942</v>
      </c>
      <c r="Q136" s="83">
        <f t="shared" si="80"/>
        <v>203.84749253837094</v>
      </c>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0"/>
      <c r="BA136" s="170"/>
      <c r="BB136" s="170"/>
      <c r="BC136" s="170"/>
      <c r="BD136" s="170"/>
      <c r="BE136" s="170"/>
      <c r="BF136" s="170"/>
      <c r="BG136" s="170"/>
      <c r="BH136" s="170"/>
      <c r="BI136" s="170"/>
      <c r="BJ136" s="170"/>
      <c r="BK136" s="170"/>
      <c r="BL136" s="170"/>
      <c r="BM136" s="170"/>
      <c r="BN136" s="170"/>
      <c r="BO136" s="170"/>
      <c r="BP136" s="170"/>
      <c r="BQ136" s="170"/>
      <c r="BR136" s="170"/>
      <c r="BS136" s="170"/>
      <c r="BT136" s="170"/>
      <c r="BU136" s="170"/>
      <c r="BV136" s="170"/>
      <c r="BW136" s="170"/>
      <c r="BX136" s="170"/>
      <c r="BY136" s="170"/>
      <c r="BZ136" s="170"/>
    </row>
    <row r="137" spans="1:78" x14ac:dyDescent="0.2">
      <c r="A137" s="84">
        <f t="shared" si="74"/>
        <v>2025</v>
      </c>
      <c r="B137" s="261">
        <f t="shared" si="75"/>
        <v>239.64570387424632</v>
      </c>
      <c r="C137" s="98">
        <f t="shared" si="76"/>
        <v>49.084059829664909</v>
      </c>
      <c r="D137" s="253">
        <f>1800</f>
        <v>1800</v>
      </c>
      <c r="E137" s="83">
        <f>900</f>
        <v>900</v>
      </c>
      <c r="F137" s="253">
        <v>2</v>
      </c>
      <c r="G137" s="83">
        <v>2</v>
      </c>
      <c r="H137" s="260">
        <f t="shared" si="72"/>
        <v>0.14791666666666664</v>
      </c>
      <c r="I137" s="100">
        <f t="shared" si="73"/>
        <v>0.14791666666666664</v>
      </c>
      <c r="J137" s="253">
        <f t="shared" si="77"/>
        <v>35.447593698065596</v>
      </c>
      <c r="K137" s="83">
        <f t="shared" si="77"/>
        <v>7.2603505164712665</v>
      </c>
      <c r="L137" s="260">
        <f t="shared" si="78"/>
        <v>2.2717657000130929E-2</v>
      </c>
      <c r="M137" s="100">
        <f t="shared" si="78"/>
        <v>8.5323945336103369E-3</v>
      </c>
      <c r="N137" s="253">
        <f t="shared" si="79"/>
        <v>3.0242880881424292</v>
      </c>
      <c r="O137" s="83">
        <f t="shared" si="79"/>
        <v>0.56793751114343793</v>
      </c>
      <c r="P137" s="253">
        <f t="shared" si="80"/>
        <v>1103.8651521719867</v>
      </c>
      <c r="Q137" s="83">
        <f t="shared" si="80"/>
        <v>207.29719156735484</v>
      </c>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0"/>
      <c r="BA137" s="170"/>
      <c r="BB137" s="170"/>
      <c r="BC137" s="170"/>
      <c r="BD137" s="170"/>
      <c r="BE137" s="170"/>
      <c r="BF137" s="170"/>
      <c r="BG137" s="170"/>
      <c r="BH137" s="170"/>
      <c r="BI137" s="170"/>
      <c r="BJ137" s="170"/>
      <c r="BK137" s="170"/>
      <c r="BL137" s="170"/>
      <c r="BM137" s="170"/>
      <c r="BN137" s="170"/>
      <c r="BO137" s="170"/>
      <c r="BP137" s="170"/>
      <c r="BQ137" s="170"/>
      <c r="BR137" s="170"/>
      <c r="BS137" s="170"/>
      <c r="BT137" s="170"/>
      <c r="BU137" s="170"/>
      <c r="BV137" s="170"/>
      <c r="BW137" s="170"/>
      <c r="BX137" s="170"/>
      <c r="BY137" s="170"/>
      <c r="BZ137" s="170"/>
    </row>
    <row r="138" spans="1:78" x14ac:dyDescent="0.2">
      <c r="A138" s="84">
        <f t="shared" si="74"/>
        <v>2026</v>
      </c>
      <c r="B138" s="261">
        <f t="shared" si="75"/>
        <v>243.48003513623428</v>
      </c>
      <c r="C138" s="98">
        <f t="shared" si="76"/>
        <v>49.869404786939548</v>
      </c>
      <c r="D138" s="253">
        <f>1800</f>
        <v>1800</v>
      </c>
      <c r="E138" s="83">
        <f>900</f>
        <v>900</v>
      </c>
      <c r="F138" s="253">
        <v>2</v>
      </c>
      <c r="G138" s="83">
        <v>2</v>
      </c>
      <c r="H138" s="260">
        <f t="shared" si="72"/>
        <v>0.14791666666666664</v>
      </c>
      <c r="I138" s="100">
        <f t="shared" si="73"/>
        <v>0.14791666666666664</v>
      </c>
      <c r="J138" s="253">
        <f t="shared" si="77"/>
        <v>36.014755197234649</v>
      </c>
      <c r="K138" s="83">
        <f t="shared" si="77"/>
        <v>7.376516124734807</v>
      </c>
      <c r="L138" s="260">
        <f t="shared" si="78"/>
        <v>2.3137997590918686E-2</v>
      </c>
      <c r="M138" s="100">
        <f t="shared" si="78"/>
        <v>8.676921129848407E-3</v>
      </c>
      <c r="N138" s="253">
        <f t="shared" si="79"/>
        <v>3.0802459292910496</v>
      </c>
      <c r="O138" s="83">
        <f t="shared" si="79"/>
        <v>0.57755756270553449</v>
      </c>
      <c r="P138" s="253">
        <f t="shared" si="80"/>
        <v>1124.2897641912332</v>
      </c>
      <c r="Q138" s="83">
        <f t="shared" si="80"/>
        <v>210.8085103875201</v>
      </c>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0"/>
      <c r="BA138" s="170"/>
      <c r="BB138" s="170"/>
      <c r="BC138" s="170"/>
      <c r="BD138" s="170"/>
      <c r="BE138" s="170"/>
      <c r="BF138" s="170"/>
      <c r="BG138" s="170"/>
      <c r="BH138" s="170"/>
      <c r="BI138" s="170"/>
      <c r="BJ138" s="170"/>
      <c r="BK138" s="170"/>
      <c r="BL138" s="170"/>
      <c r="BM138" s="170"/>
      <c r="BN138" s="170"/>
      <c r="BO138" s="170"/>
      <c r="BP138" s="170"/>
      <c r="BQ138" s="170"/>
      <c r="BR138" s="170"/>
      <c r="BS138" s="170"/>
      <c r="BT138" s="170"/>
      <c r="BU138" s="170"/>
      <c r="BV138" s="170"/>
      <c r="BW138" s="170"/>
      <c r="BX138" s="170"/>
      <c r="BY138" s="170"/>
      <c r="BZ138" s="170"/>
    </row>
    <row r="139" spans="1:78" x14ac:dyDescent="0.2">
      <c r="A139" s="84">
        <f t="shared" si="74"/>
        <v>2027</v>
      </c>
      <c r="B139" s="261">
        <f t="shared" si="75"/>
        <v>247.37571569841404</v>
      </c>
      <c r="C139" s="98">
        <f t="shared" si="76"/>
        <v>50.667315263530583</v>
      </c>
      <c r="D139" s="253">
        <f>1800</f>
        <v>1800</v>
      </c>
      <c r="E139" s="83">
        <f>900</f>
        <v>900</v>
      </c>
      <c r="F139" s="253">
        <v>2</v>
      </c>
      <c r="G139" s="83">
        <v>2</v>
      </c>
      <c r="H139" s="260">
        <f t="shared" si="72"/>
        <v>0.14791666666666664</v>
      </c>
      <c r="I139" s="100">
        <f t="shared" si="73"/>
        <v>0.14791666666666664</v>
      </c>
      <c r="J139" s="253">
        <f t="shared" si="77"/>
        <v>36.590991280390405</v>
      </c>
      <c r="K139" s="83">
        <f t="shared" si="77"/>
        <v>7.4945403827305643</v>
      </c>
      <c r="L139" s="260">
        <f t="shared" si="78"/>
        <v>2.3567189854208716E-2</v>
      </c>
      <c r="M139" s="100">
        <f t="shared" si="78"/>
        <v>8.8240338767322565E-3</v>
      </c>
      <c r="N139" s="253">
        <f t="shared" si="79"/>
        <v>3.1373821493415348</v>
      </c>
      <c r="O139" s="83">
        <f t="shared" si="79"/>
        <v>0.58734975491999075</v>
      </c>
      <c r="P139" s="253">
        <f t="shared" si="80"/>
        <v>1145.1444845096603</v>
      </c>
      <c r="Q139" s="83">
        <f t="shared" si="80"/>
        <v>214.38266054579663</v>
      </c>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0"/>
      <c r="BA139" s="170"/>
      <c r="BB139" s="170"/>
      <c r="BC139" s="170"/>
      <c r="BD139" s="170"/>
      <c r="BE139" s="170"/>
      <c r="BF139" s="170"/>
      <c r="BG139" s="170"/>
      <c r="BH139" s="170"/>
      <c r="BI139" s="170"/>
      <c r="BJ139" s="170"/>
      <c r="BK139" s="170"/>
      <c r="BL139" s="170"/>
      <c r="BM139" s="170"/>
      <c r="BN139" s="170"/>
      <c r="BO139" s="170"/>
      <c r="BP139" s="170"/>
      <c r="BQ139" s="170"/>
      <c r="BR139" s="170"/>
      <c r="BS139" s="170"/>
      <c r="BT139" s="170"/>
      <c r="BU139" s="170"/>
      <c r="BV139" s="170"/>
      <c r="BW139" s="170"/>
      <c r="BX139" s="170"/>
      <c r="BY139" s="170"/>
      <c r="BZ139" s="170"/>
    </row>
    <row r="140" spans="1:78" x14ac:dyDescent="0.2">
      <c r="A140" s="84">
        <f t="shared" si="74"/>
        <v>2028</v>
      </c>
      <c r="B140" s="261">
        <f t="shared" si="75"/>
        <v>251.33372714958867</v>
      </c>
      <c r="C140" s="98">
        <f t="shared" si="76"/>
        <v>51.477992307747073</v>
      </c>
      <c r="D140" s="253">
        <f>1800</f>
        <v>1800</v>
      </c>
      <c r="E140" s="83">
        <f>900</f>
        <v>900</v>
      </c>
      <c r="F140" s="253">
        <v>2</v>
      </c>
      <c r="G140" s="83">
        <v>2</v>
      </c>
      <c r="H140" s="260">
        <f t="shared" si="72"/>
        <v>0.14791666666666664</v>
      </c>
      <c r="I140" s="100">
        <f t="shared" si="73"/>
        <v>0.14791666666666664</v>
      </c>
      <c r="J140" s="253">
        <f t="shared" si="77"/>
        <v>37.176447140876654</v>
      </c>
      <c r="K140" s="83">
        <f t="shared" si="77"/>
        <v>7.6144530288542533</v>
      </c>
      <c r="L140" s="260">
        <f t="shared" si="78"/>
        <v>2.4005460564754999E-2</v>
      </c>
      <c r="M140" s="100">
        <f t="shared" si="78"/>
        <v>8.9737837791190305E-3</v>
      </c>
      <c r="N140" s="253">
        <f t="shared" si="79"/>
        <v>3.1957269376830086</v>
      </c>
      <c r="O140" s="83">
        <f t="shared" si="79"/>
        <v>0.59731748279761043</v>
      </c>
      <c r="P140" s="253">
        <f t="shared" si="80"/>
        <v>1166.4403322542983</v>
      </c>
      <c r="Q140" s="83">
        <f t="shared" si="80"/>
        <v>218.02088122112781</v>
      </c>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0"/>
      <c r="BA140" s="170"/>
      <c r="BB140" s="170"/>
      <c r="BC140" s="170"/>
      <c r="BD140" s="170"/>
      <c r="BE140" s="170"/>
      <c r="BF140" s="170"/>
      <c r="BG140" s="170"/>
      <c r="BH140" s="170"/>
      <c r="BI140" s="170"/>
      <c r="BJ140" s="170"/>
      <c r="BK140" s="170"/>
      <c r="BL140" s="170"/>
      <c r="BM140" s="170"/>
      <c r="BN140" s="170"/>
      <c r="BO140" s="170"/>
      <c r="BP140" s="170"/>
      <c r="BQ140" s="170"/>
      <c r="BR140" s="170"/>
      <c r="BS140" s="170"/>
      <c r="BT140" s="170"/>
      <c r="BU140" s="170"/>
      <c r="BV140" s="170"/>
      <c r="BW140" s="170"/>
      <c r="BX140" s="170"/>
      <c r="BY140" s="170"/>
      <c r="BZ140" s="170"/>
    </row>
    <row r="141" spans="1:78" x14ac:dyDescent="0.2">
      <c r="A141" s="84">
        <f t="shared" si="74"/>
        <v>2029</v>
      </c>
      <c r="B141" s="261">
        <f t="shared" si="75"/>
        <v>255.3550667839821</v>
      </c>
      <c r="C141" s="98">
        <f t="shared" si="76"/>
        <v>52.301640184671029</v>
      </c>
      <c r="D141" s="253">
        <f>1800</f>
        <v>1800</v>
      </c>
      <c r="E141" s="83">
        <f>900</f>
        <v>900</v>
      </c>
      <c r="F141" s="253">
        <v>2</v>
      </c>
      <c r="G141" s="83">
        <v>2</v>
      </c>
      <c r="H141" s="260">
        <f t="shared" si="72"/>
        <v>0.14791666666666664</v>
      </c>
      <c r="I141" s="100">
        <f t="shared" si="73"/>
        <v>0.14791666666666664</v>
      </c>
      <c r="J141" s="253">
        <f t="shared" si="77"/>
        <v>37.771270295130677</v>
      </c>
      <c r="K141" s="83">
        <f t="shared" si="77"/>
        <v>7.7362842773159217</v>
      </c>
      <c r="L141" s="260">
        <f t="shared" si="78"/>
        <v>2.4453043856810023E-2</v>
      </c>
      <c r="M141" s="100">
        <f t="shared" si="78"/>
        <v>9.1262230105072645E-3</v>
      </c>
      <c r="N141" s="253">
        <f t="shared" si="79"/>
        <v>3.2553114634378337</v>
      </c>
      <c r="O141" s="83">
        <f t="shared" si="79"/>
        <v>0.60746421913688964</v>
      </c>
      <c r="P141" s="253">
        <f t="shared" si="80"/>
        <v>1188.1886841548094</v>
      </c>
      <c r="Q141" s="83">
        <f t="shared" si="80"/>
        <v>221.7244399849647</v>
      </c>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c r="BA141" s="170"/>
      <c r="BB141" s="170"/>
      <c r="BC141" s="170"/>
      <c r="BD141" s="170"/>
      <c r="BE141" s="170"/>
      <c r="BF141" s="170"/>
      <c r="BG141" s="170"/>
      <c r="BH141" s="170"/>
      <c r="BI141" s="170"/>
      <c r="BJ141" s="170"/>
      <c r="BK141" s="170"/>
      <c r="BL141" s="170"/>
      <c r="BM141" s="170"/>
      <c r="BN141" s="170"/>
      <c r="BO141" s="170"/>
      <c r="BP141" s="170"/>
      <c r="BQ141" s="170"/>
      <c r="BR141" s="170"/>
      <c r="BS141" s="170"/>
      <c r="BT141" s="170"/>
      <c r="BU141" s="170"/>
      <c r="BV141" s="170"/>
      <c r="BW141" s="170"/>
      <c r="BX141" s="170"/>
      <c r="BY141" s="170"/>
      <c r="BZ141" s="170"/>
    </row>
    <row r="142" spans="1:78" x14ac:dyDescent="0.2">
      <c r="A142" s="84">
        <f t="shared" si="74"/>
        <v>2030</v>
      </c>
      <c r="B142" s="261">
        <f t="shared" si="75"/>
        <v>259.44074785252582</v>
      </c>
      <c r="C142" s="98">
        <f t="shared" si="76"/>
        <v>53.138466427625765</v>
      </c>
      <c r="D142" s="253">
        <f>1800</f>
        <v>1800</v>
      </c>
      <c r="E142" s="83">
        <f>900</f>
        <v>900</v>
      </c>
      <c r="F142" s="253">
        <v>3</v>
      </c>
      <c r="G142" s="83">
        <v>3</v>
      </c>
      <c r="H142" s="260">
        <f t="shared" si="72"/>
        <v>0.22187499999999999</v>
      </c>
      <c r="I142" s="100">
        <f t="shared" si="73"/>
        <v>0.22187499999999999</v>
      </c>
      <c r="J142" s="253">
        <f t="shared" si="77"/>
        <v>57.563415929779161</v>
      </c>
      <c r="K142" s="83">
        <f t="shared" si="77"/>
        <v>11.790097238629466</v>
      </c>
      <c r="L142" s="260">
        <f t="shared" si="78"/>
        <v>3.7365272286371459E-2</v>
      </c>
      <c r="M142" s="100">
        <f t="shared" si="78"/>
        <v>1.3922107418073988E-2</v>
      </c>
      <c r="N142" s="253">
        <f t="shared" si="79"/>
        <v>7.4613778096848016</v>
      </c>
      <c r="O142" s="83">
        <f t="shared" si="79"/>
        <v>1.3900354125233247</v>
      </c>
      <c r="P142" s="253">
        <f t="shared" si="80"/>
        <v>2723.4029005349526</v>
      </c>
      <c r="Q142" s="83">
        <f t="shared" si="80"/>
        <v>507.36292557101353</v>
      </c>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0"/>
      <c r="BA142" s="170"/>
      <c r="BB142" s="170"/>
      <c r="BC142" s="170"/>
      <c r="BD142" s="170"/>
      <c r="BE142" s="170"/>
      <c r="BF142" s="170"/>
      <c r="BG142" s="170"/>
      <c r="BH142" s="170"/>
      <c r="BI142" s="170"/>
      <c r="BJ142" s="170"/>
      <c r="BK142" s="170"/>
      <c r="BL142" s="170"/>
      <c r="BM142" s="170"/>
      <c r="BN142" s="170"/>
      <c r="BO142" s="170"/>
      <c r="BP142" s="170"/>
      <c r="BQ142" s="170"/>
      <c r="BR142" s="170"/>
      <c r="BS142" s="170"/>
      <c r="BT142" s="170"/>
      <c r="BU142" s="170"/>
      <c r="BV142" s="170"/>
      <c r="BW142" s="170"/>
      <c r="BX142" s="170"/>
      <c r="BY142" s="170"/>
      <c r="BZ142" s="170"/>
    </row>
    <row r="143" spans="1:78" x14ac:dyDescent="0.2">
      <c r="A143" s="84">
        <f t="shared" si="74"/>
        <v>2031</v>
      </c>
      <c r="B143" s="261">
        <f t="shared" si="75"/>
        <v>263.59179981816624</v>
      </c>
      <c r="C143" s="98">
        <f t="shared" si="76"/>
        <v>53.988681890467781</v>
      </c>
      <c r="D143" s="253">
        <f>1800</f>
        <v>1800</v>
      </c>
      <c r="E143" s="83">
        <f>900</f>
        <v>900</v>
      </c>
      <c r="F143" s="253">
        <v>3</v>
      </c>
      <c r="G143" s="83">
        <v>3</v>
      </c>
      <c r="H143" s="260">
        <f t="shared" si="72"/>
        <v>0.22187499999999999</v>
      </c>
      <c r="I143" s="100">
        <f t="shared" si="73"/>
        <v>0.22187499999999999</v>
      </c>
      <c r="J143" s="253">
        <f t="shared" si="77"/>
        <v>58.484430584655634</v>
      </c>
      <c r="K143" s="83">
        <f t="shared" si="77"/>
        <v>11.978738794447539</v>
      </c>
      <c r="L143" s="260">
        <f t="shared" si="78"/>
        <v>3.8065685003330497E-2</v>
      </c>
      <c r="M143" s="100">
        <f t="shared" si="78"/>
        <v>1.4159076288973079E-2</v>
      </c>
      <c r="N143" s="253">
        <f t="shared" si="79"/>
        <v>7.6012414741025598</v>
      </c>
      <c r="O143" s="83">
        <f t="shared" si="79"/>
        <v>1.4136952732271559</v>
      </c>
      <c r="P143" s="253">
        <f t="shared" si="80"/>
        <v>2774.4531380474345</v>
      </c>
      <c r="Q143" s="83">
        <f t="shared" si="80"/>
        <v>515.99877472791195</v>
      </c>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0"/>
      <c r="BA143" s="170"/>
      <c r="BB143" s="170"/>
      <c r="BC143" s="170"/>
      <c r="BD143" s="170"/>
      <c r="BE143" s="170"/>
      <c r="BF143" s="170"/>
      <c r="BG143" s="170"/>
      <c r="BH143" s="170"/>
      <c r="BI143" s="170"/>
      <c r="BJ143" s="170"/>
      <c r="BK143" s="170"/>
      <c r="BL143" s="170"/>
      <c r="BM143" s="170"/>
      <c r="BN143" s="170"/>
      <c r="BO143" s="170"/>
      <c r="BP143" s="170"/>
      <c r="BQ143" s="170"/>
      <c r="BR143" s="170"/>
      <c r="BS143" s="170"/>
      <c r="BT143" s="170"/>
      <c r="BU143" s="170"/>
      <c r="BV143" s="170"/>
      <c r="BW143" s="170"/>
      <c r="BX143" s="170"/>
      <c r="BY143" s="170"/>
      <c r="BZ143" s="170"/>
    </row>
    <row r="144" spans="1:78" x14ac:dyDescent="0.2">
      <c r="A144" s="84">
        <f t="shared" si="74"/>
        <v>2032</v>
      </c>
      <c r="B144" s="261">
        <f t="shared" si="75"/>
        <v>267.80926861525688</v>
      </c>
      <c r="C144" s="98">
        <f t="shared" si="76"/>
        <v>54.852500800715269</v>
      </c>
      <c r="D144" s="253">
        <f>1800</f>
        <v>1800</v>
      </c>
      <c r="E144" s="83">
        <f>900</f>
        <v>900</v>
      </c>
      <c r="F144" s="253">
        <v>3</v>
      </c>
      <c r="G144" s="83">
        <v>3</v>
      </c>
      <c r="H144" s="260">
        <f t="shared" si="72"/>
        <v>0.22187499999999999</v>
      </c>
      <c r="I144" s="100">
        <f t="shared" si="73"/>
        <v>0.22187499999999999</v>
      </c>
      <c r="J144" s="253">
        <f t="shared" si="77"/>
        <v>59.420181474010121</v>
      </c>
      <c r="K144" s="83">
        <f t="shared" si="77"/>
        <v>12.1703986151587</v>
      </c>
      <c r="L144" s="260">
        <f t="shared" si="78"/>
        <v>3.8781191046827528E-2</v>
      </c>
      <c r="M144" s="100">
        <f t="shared" si="78"/>
        <v>1.4400324945277905E-2</v>
      </c>
      <c r="N144" s="253">
        <f t="shared" si="79"/>
        <v>7.7441190871633721</v>
      </c>
      <c r="O144" s="83">
        <f t="shared" si="79"/>
        <v>1.437782443755091</v>
      </c>
      <c r="P144" s="253">
        <f t="shared" si="80"/>
        <v>2826.6034668146308</v>
      </c>
      <c r="Q144" s="83">
        <f t="shared" si="80"/>
        <v>524.79059197060826</v>
      </c>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c r="BA144" s="170"/>
      <c r="BB144" s="170"/>
      <c r="BC144" s="170"/>
      <c r="BD144" s="170"/>
      <c r="BE144" s="170"/>
      <c r="BF144" s="170"/>
      <c r="BG144" s="170"/>
      <c r="BH144" s="170"/>
      <c r="BI144" s="170"/>
      <c r="BJ144" s="170"/>
      <c r="BK144" s="170"/>
      <c r="BL144" s="170"/>
      <c r="BM144" s="170"/>
      <c r="BN144" s="170"/>
      <c r="BO144" s="170"/>
      <c r="BP144" s="170"/>
      <c r="BQ144" s="170"/>
      <c r="BR144" s="170"/>
      <c r="BS144" s="170"/>
      <c r="BT144" s="170"/>
      <c r="BU144" s="170"/>
      <c r="BV144" s="170"/>
      <c r="BW144" s="170"/>
      <c r="BX144" s="170"/>
      <c r="BY144" s="170"/>
      <c r="BZ144" s="170"/>
    </row>
    <row r="145" spans="1:78" x14ac:dyDescent="0.2">
      <c r="A145" s="84">
        <f t="shared" si="74"/>
        <v>2033</v>
      </c>
      <c r="B145" s="261">
        <f t="shared" si="75"/>
        <v>272.09421691310098</v>
      </c>
      <c r="C145" s="98">
        <f t="shared" si="76"/>
        <v>55.730140813526717</v>
      </c>
      <c r="D145" s="253">
        <f>1800</f>
        <v>1800</v>
      </c>
      <c r="E145" s="83">
        <f>900</f>
        <v>900</v>
      </c>
      <c r="F145" s="253">
        <v>3</v>
      </c>
      <c r="G145" s="83">
        <v>3</v>
      </c>
      <c r="H145" s="260">
        <f t="shared" si="72"/>
        <v>0.22187499999999999</v>
      </c>
      <c r="I145" s="100">
        <f t="shared" si="73"/>
        <v>0.22187499999999999</v>
      </c>
      <c r="J145" s="253">
        <f t="shared" si="77"/>
        <v>60.370904377594279</v>
      </c>
      <c r="K145" s="83">
        <f t="shared" si="77"/>
        <v>12.36512499300124</v>
      </c>
      <c r="L145" s="260">
        <f t="shared" si="78"/>
        <v>3.9512190506684343E-2</v>
      </c>
      <c r="M145" s="100">
        <f t="shared" si="78"/>
        <v>1.4645939160869847E-2</v>
      </c>
      <c r="N145" s="253">
        <f t="shared" si="79"/>
        <v>7.8900905418035299</v>
      </c>
      <c r="O145" s="83">
        <f t="shared" si="79"/>
        <v>1.4623054880930986</v>
      </c>
      <c r="P145" s="253">
        <f t="shared" si="80"/>
        <v>2879.8830477582883</v>
      </c>
      <c r="Q145" s="83">
        <f t="shared" si="80"/>
        <v>533.74150315398094</v>
      </c>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0"/>
      <c r="BA145" s="170"/>
      <c r="BB145" s="170"/>
      <c r="BC145" s="170"/>
      <c r="BD145" s="170"/>
      <c r="BE145" s="170"/>
      <c r="BF145" s="170"/>
      <c r="BG145" s="170"/>
      <c r="BH145" s="170"/>
      <c r="BI145" s="170"/>
      <c r="BJ145" s="170"/>
      <c r="BK145" s="170"/>
      <c r="BL145" s="170"/>
      <c r="BM145" s="170"/>
      <c r="BN145" s="170"/>
      <c r="BO145" s="170"/>
      <c r="BP145" s="170"/>
      <c r="BQ145" s="170"/>
      <c r="BR145" s="170"/>
      <c r="BS145" s="170"/>
      <c r="BT145" s="170"/>
      <c r="BU145" s="170"/>
      <c r="BV145" s="170"/>
      <c r="BW145" s="170"/>
      <c r="BX145" s="170"/>
      <c r="BY145" s="170"/>
      <c r="BZ145" s="170"/>
    </row>
    <row r="146" spans="1:78" x14ac:dyDescent="0.2">
      <c r="A146" s="84">
        <f t="shared" si="74"/>
        <v>2034</v>
      </c>
      <c r="B146" s="261">
        <f t="shared" si="75"/>
        <v>276.44772438371058</v>
      </c>
      <c r="C146" s="98">
        <f t="shared" si="76"/>
        <v>56.621823066543143</v>
      </c>
      <c r="D146" s="253">
        <f>1800</f>
        <v>1800</v>
      </c>
      <c r="E146" s="83">
        <f>900</f>
        <v>900</v>
      </c>
      <c r="F146" s="253">
        <v>3</v>
      </c>
      <c r="G146" s="83">
        <v>3</v>
      </c>
      <c r="H146" s="260">
        <f t="shared" si="72"/>
        <v>0.22187499999999999</v>
      </c>
      <c r="I146" s="100">
        <f t="shared" si="73"/>
        <v>0.22187499999999999</v>
      </c>
      <c r="J146" s="253">
        <f t="shared" si="77"/>
        <v>61.336838847635782</v>
      </c>
      <c r="K146" s="83">
        <f t="shared" si="77"/>
        <v>12.56296699288926</v>
      </c>
      <c r="L146" s="260">
        <f t="shared" si="78"/>
        <v>4.0259096999362573E-2</v>
      </c>
      <c r="M146" s="100">
        <f t="shared" si="78"/>
        <v>1.4896006722119022E-2</v>
      </c>
      <c r="N146" s="253">
        <f t="shared" si="79"/>
        <v>8.0392384320602144</v>
      </c>
      <c r="O146" s="83">
        <f t="shared" si="79"/>
        <v>1.4872731711615712</v>
      </c>
      <c r="P146" s="253">
        <f t="shared" si="80"/>
        <v>2934.3220277019782</v>
      </c>
      <c r="Q146" s="83">
        <f t="shared" si="80"/>
        <v>542.85470747397346</v>
      </c>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0"/>
      <c r="BA146" s="170"/>
      <c r="BB146" s="170"/>
      <c r="BC146" s="170"/>
      <c r="BD146" s="170"/>
      <c r="BE146" s="170"/>
      <c r="BF146" s="170"/>
      <c r="BG146" s="170"/>
      <c r="BH146" s="170"/>
      <c r="BI146" s="170"/>
      <c r="BJ146" s="170"/>
      <c r="BK146" s="170"/>
      <c r="BL146" s="170"/>
      <c r="BM146" s="170"/>
      <c r="BN146" s="170"/>
      <c r="BO146" s="170"/>
      <c r="BP146" s="170"/>
      <c r="BQ146" s="170"/>
      <c r="BR146" s="170"/>
      <c r="BS146" s="170"/>
      <c r="BT146" s="170"/>
      <c r="BU146" s="170"/>
      <c r="BV146" s="170"/>
      <c r="BW146" s="170"/>
      <c r="BX146" s="170"/>
      <c r="BY146" s="170"/>
      <c r="BZ146" s="170"/>
    </row>
    <row r="147" spans="1:78" x14ac:dyDescent="0.2">
      <c r="A147" s="84">
        <f t="shared" si="74"/>
        <v>2035</v>
      </c>
      <c r="B147" s="261">
        <f t="shared" si="75"/>
        <v>280.87088797384996</v>
      </c>
      <c r="C147" s="98">
        <f t="shared" si="76"/>
        <v>57.527772235607834</v>
      </c>
      <c r="D147" s="253">
        <f>1800</f>
        <v>1800</v>
      </c>
      <c r="E147" s="83">
        <f>900</f>
        <v>900</v>
      </c>
      <c r="F147" s="253">
        <v>3</v>
      </c>
      <c r="G147" s="83">
        <v>3</v>
      </c>
      <c r="H147" s="260">
        <f t="shared" si="72"/>
        <v>0.22187499999999999</v>
      </c>
      <c r="I147" s="100">
        <f t="shared" si="73"/>
        <v>0.22187499999999999</v>
      </c>
      <c r="J147" s="253">
        <f t="shared" si="77"/>
        <v>62.318228269197959</v>
      </c>
      <c r="K147" s="83">
        <f t="shared" si="77"/>
        <v>12.763974464775488</v>
      </c>
      <c r="L147" s="260">
        <f t="shared" si="78"/>
        <v>4.1022338243574666E-2</v>
      </c>
      <c r="M147" s="100">
        <f t="shared" si="78"/>
        <v>1.5150617485215302E-2</v>
      </c>
      <c r="N147" s="253">
        <f t="shared" si="79"/>
        <v>8.1916481680138151</v>
      </c>
      <c r="O147" s="83">
        <f t="shared" si="79"/>
        <v>1.5126944645394651</v>
      </c>
      <c r="P147" s="253">
        <f t="shared" si="80"/>
        <v>2989.9515813250423</v>
      </c>
      <c r="Q147" s="83">
        <f t="shared" si="80"/>
        <v>552.13347955690472</v>
      </c>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0"/>
      <c r="BA147" s="170"/>
      <c r="BB147" s="170"/>
      <c r="BC147" s="170"/>
      <c r="BD147" s="170"/>
      <c r="BE147" s="170"/>
      <c r="BF147" s="170"/>
      <c r="BG147" s="170"/>
      <c r="BH147" s="170"/>
      <c r="BI147" s="170"/>
      <c r="BJ147" s="170"/>
      <c r="BK147" s="170"/>
      <c r="BL147" s="170"/>
      <c r="BM147" s="170"/>
      <c r="BN147" s="170"/>
      <c r="BO147" s="170"/>
      <c r="BP147" s="170"/>
      <c r="BQ147" s="170"/>
      <c r="BR147" s="170"/>
      <c r="BS147" s="170"/>
      <c r="BT147" s="170"/>
      <c r="BU147" s="170"/>
      <c r="BV147" s="170"/>
      <c r="BW147" s="170"/>
      <c r="BX147" s="170"/>
      <c r="BY147" s="170"/>
      <c r="BZ147" s="170"/>
    </row>
    <row r="148" spans="1:78" x14ac:dyDescent="0.2">
      <c r="A148" s="84">
        <f t="shared" si="74"/>
        <v>2036</v>
      </c>
      <c r="B148" s="261">
        <f t="shared" si="75"/>
        <v>285.36482218143158</v>
      </c>
      <c r="C148" s="98">
        <f t="shared" si="76"/>
        <v>58.448216591377559</v>
      </c>
      <c r="D148" s="253">
        <f>1800</f>
        <v>1800</v>
      </c>
      <c r="E148" s="83">
        <f>900</f>
        <v>900</v>
      </c>
      <c r="F148" s="253">
        <v>3</v>
      </c>
      <c r="G148" s="83">
        <v>3</v>
      </c>
      <c r="H148" s="260">
        <f t="shared" si="72"/>
        <v>0.22187499999999999</v>
      </c>
      <c r="I148" s="100">
        <f t="shared" si="73"/>
        <v>0.22187499999999999</v>
      </c>
      <c r="J148" s="253">
        <f t="shared" si="77"/>
        <v>63.315319921505129</v>
      </c>
      <c r="K148" s="83">
        <f t="shared" si="77"/>
        <v>12.968198056211895</v>
      </c>
      <c r="L148" s="260">
        <f t="shared" si="78"/>
        <v>4.1802356665645454E-2</v>
      </c>
      <c r="M148" s="100">
        <f t="shared" si="78"/>
        <v>1.5409863435480451E-2</v>
      </c>
      <c r="N148" s="253">
        <f t="shared" si="79"/>
        <v>8.347408096671078</v>
      </c>
      <c r="O148" s="83">
        <f t="shared" si="79"/>
        <v>1.5385785523862512</v>
      </c>
      <c r="P148" s="253">
        <f t="shared" si="80"/>
        <v>3046.8039552849436</v>
      </c>
      <c r="Q148" s="83">
        <f t="shared" si="80"/>
        <v>561.58117162098165</v>
      </c>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170"/>
      <c r="BN148" s="170"/>
      <c r="BO148" s="170"/>
      <c r="BP148" s="170"/>
      <c r="BQ148" s="170"/>
      <c r="BR148" s="170"/>
      <c r="BS148" s="170"/>
      <c r="BT148" s="170"/>
      <c r="BU148" s="170"/>
      <c r="BV148" s="170"/>
      <c r="BW148" s="170"/>
      <c r="BX148" s="170"/>
      <c r="BY148" s="170"/>
      <c r="BZ148" s="170"/>
    </row>
    <row r="149" spans="1:78" x14ac:dyDescent="0.2">
      <c r="A149" s="84">
        <f t="shared" si="74"/>
        <v>2037</v>
      </c>
      <c r="B149" s="261">
        <f t="shared" si="75"/>
        <v>289.93065933633449</v>
      </c>
      <c r="C149" s="98">
        <f t="shared" si="76"/>
        <v>59.3833880568396</v>
      </c>
      <c r="D149" s="253">
        <f>1800</f>
        <v>1800</v>
      </c>
      <c r="E149" s="83">
        <f>900</f>
        <v>900</v>
      </c>
      <c r="F149" s="253">
        <v>3</v>
      </c>
      <c r="G149" s="83">
        <v>3</v>
      </c>
      <c r="H149" s="260">
        <f t="shared" si="72"/>
        <v>0.22187499999999999</v>
      </c>
      <c r="I149" s="100">
        <f t="shared" si="73"/>
        <v>0.22187499999999999</v>
      </c>
      <c r="J149" s="253">
        <f t="shared" si="77"/>
        <v>64.32836504024921</v>
      </c>
      <c r="K149" s="83">
        <f t="shared" si="77"/>
        <v>13.175689225111286</v>
      </c>
      <c r="L149" s="260">
        <f t="shared" si="78"/>
        <v>4.2599610036435358E-2</v>
      </c>
      <c r="M149" s="100">
        <f t="shared" si="78"/>
        <v>1.5673838748742432E-2</v>
      </c>
      <c r="N149" s="253">
        <f t="shared" si="79"/>
        <v>8.5066096291506863</v>
      </c>
      <c r="O149" s="83">
        <f t="shared" si="79"/>
        <v>1.5649348375697518</v>
      </c>
      <c r="P149" s="253">
        <f t="shared" si="80"/>
        <v>3104.9125146400006</v>
      </c>
      <c r="Q149" s="83">
        <f t="shared" si="80"/>
        <v>571.20121571295942</v>
      </c>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c r="BX149" s="170"/>
      <c r="BY149" s="170"/>
      <c r="BZ149" s="170"/>
    </row>
    <row r="150" spans="1:78" x14ac:dyDescent="0.2">
      <c r="A150" s="84">
        <f t="shared" si="74"/>
        <v>2038</v>
      </c>
      <c r="B150" s="261">
        <f t="shared" si="75"/>
        <v>294.56954988571584</v>
      </c>
      <c r="C150" s="98">
        <f t="shared" si="76"/>
        <v>60.333522265749032</v>
      </c>
      <c r="D150" s="253">
        <f>1800</f>
        <v>1800</v>
      </c>
      <c r="E150" s="83">
        <f>900</f>
        <v>900</v>
      </c>
      <c r="F150" s="253">
        <v>3</v>
      </c>
      <c r="G150" s="83">
        <v>3</v>
      </c>
      <c r="H150" s="260">
        <f t="shared" si="72"/>
        <v>0.22187499999999999</v>
      </c>
      <c r="I150" s="100">
        <f t="shared" si="73"/>
        <v>0.22187499999999999</v>
      </c>
      <c r="J150" s="253">
        <f t="shared" si="77"/>
        <v>65.357618880893199</v>
      </c>
      <c r="K150" s="83">
        <f t="shared" si="77"/>
        <v>13.386500252713066</v>
      </c>
      <c r="L150" s="260">
        <f t="shared" si="78"/>
        <v>4.3414572141762905E-2</v>
      </c>
      <c r="M150" s="100">
        <f t="shared" si="78"/>
        <v>1.5942639854856524E-2</v>
      </c>
      <c r="N150" s="253">
        <f t="shared" si="79"/>
        <v>8.6693473745582814</v>
      </c>
      <c r="O150" s="83">
        <f t="shared" si="79"/>
        <v>1.5917729480083309</v>
      </c>
      <c r="P150" s="253">
        <f t="shared" si="80"/>
        <v>3164.3117917137729</v>
      </c>
      <c r="Q150" s="83">
        <f t="shared" si="80"/>
        <v>580.99712602304078</v>
      </c>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c r="BA150" s="170"/>
      <c r="BB150" s="170"/>
      <c r="BC150" s="170"/>
      <c r="BD150" s="170"/>
      <c r="BE150" s="170"/>
      <c r="BF150" s="170"/>
      <c r="BG150" s="170"/>
      <c r="BH150" s="170"/>
      <c r="BI150" s="170"/>
      <c r="BJ150" s="170"/>
      <c r="BK150" s="170"/>
      <c r="BL150" s="170"/>
      <c r="BM150" s="170"/>
      <c r="BN150" s="170"/>
      <c r="BO150" s="170"/>
      <c r="BP150" s="170"/>
      <c r="BQ150" s="170"/>
      <c r="BR150" s="170"/>
      <c r="BS150" s="170"/>
      <c r="BT150" s="170"/>
      <c r="BU150" s="170"/>
      <c r="BV150" s="170"/>
      <c r="BW150" s="170"/>
      <c r="BX150" s="170"/>
      <c r="BY150" s="170"/>
      <c r="BZ150" s="170"/>
    </row>
    <row r="151" spans="1:78" x14ac:dyDescent="0.2">
      <c r="A151" s="84">
        <f t="shared" si="74"/>
        <v>2039</v>
      </c>
      <c r="B151" s="261">
        <f t="shared" si="75"/>
        <v>299.28266268388728</v>
      </c>
      <c r="C151" s="98">
        <f t="shared" si="76"/>
        <v>61.298858622001021</v>
      </c>
      <c r="D151" s="253">
        <f>1800</f>
        <v>1800</v>
      </c>
      <c r="E151" s="83">
        <f>900</f>
        <v>900</v>
      </c>
      <c r="F151" s="253">
        <v>3</v>
      </c>
      <c r="G151" s="83">
        <v>3</v>
      </c>
      <c r="H151" s="260">
        <f t="shared" si="72"/>
        <v>0.22187499999999999</v>
      </c>
      <c r="I151" s="100">
        <f t="shared" si="73"/>
        <v>0.22187499999999999</v>
      </c>
      <c r="J151" s="253">
        <f t="shared" si="77"/>
        <v>66.403340782987485</v>
      </c>
      <c r="K151" s="83">
        <f t="shared" si="77"/>
        <v>13.600684256756475</v>
      </c>
      <c r="L151" s="260">
        <f t="shared" si="78"/>
        <v>4.42477334884019E-2</v>
      </c>
      <c r="M151" s="100">
        <f t="shared" si="78"/>
        <v>1.6216365503462102E-2</v>
      </c>
      <c r="N151" s="253">
        <f t="shared" si="79"/>
        <v>8.8357192809652521</v>
      </c>
      <c r="O151" s="83">
        <f t="shared" si="79"/>
        <v>1.6191027432362943</v>
      </c>
      <c r="P151" s="253">
        <f t="shared" si="80"/>
        <v>3225.0375375523172</v>
      </c>
      <c r="Q151" s="83">
        <f t="shared" si="80"/>
        <v>590.97250128124745</v>
      </c>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0"/>
      <c r="BA151" s="170"/>
      <c r="BB151" s="170"/>
      <c r="BC151" s="170"/>
      <c r="BD151" s="170"/>
      <c r="BE151" s="170"/>
      <c r="BF151" s="170"/>
      <c r="BG151" s="170"/>
      <c r="BH151" s="170"/>
      <c r="BI151" s="170"/>
      <c r="BJ151" s="170"/>
      <c r="BK151" s="170"/>
      <c r="BL151" s="170"/>
      <c r="BM151" s="170"/>
      <c r="BN151" s="170"/>
      <c r="BO151" s="170"/>
      <c r="BP151" s="170"/>
      <c r="BQ151" s="170"/>
      <c r="BR151" s="170"/>
      <c r="BS151" s="170"/>
      <c r="BT151" s="170"/>
      <c r="BU151" s="170"/>
      <c r="BV151" s="170"/>
      <c r="BW151" s="170"/>
      <c r="BX151" s="170"/>
      <c r="BY151" s="170"/>
      <c r="BZ151" s="170"/>
    </row>
    <row r="152" spans="1:78" x14ac:dyDescent="0.2">
      <c r="A152" s="84">
        <f t="shared" si="74"/>
        <v>2040</v>
      </c>
      <c r="B152" s="261">
        <f t="shared" si="75"/>
        <v>304.07118528682946</v>
      </c>
      <c r="C152" s="98">
        <f t="shared" si="76"/>
        <v>62.279640359953035</v>
      </c>
      <c r="D152" s="253">
        <f>1800</f>
        <v>1800</v>
      </c>
      <c r="E152" s="83">
        <f>900</f>
        <v>900</v>
      </c>
      <c r="F152" s="253">
        <v>4</v>
      </c>
      <c r="G152" s="83">
        <v>4</v>
      </c>
      <c r="H152" s="260">
        <f t="shared" si="72"/>
        <v>0.29583333333333328</v>
      </c>
      <c r="I152" s="100">
        <f t="shared" si="73"/>
        <v>0.29583333333333328</v>
      </c>
      <c r="J152" s="253">
        <f t="shared" si="77"/>
        <v>89.954392314020367</v>
      </c>
      <c r="K152" s="83">
        <f t="shared" si="77"/>
        <v>18.424393606486102</v>
      </c>
      <c r="L152" s="260">
        <f t="shared" si="78"/>
        <v>6.0132802730501735E-2</v>
      </c>
      <c r="M152" s="100">
        <f t="shared" si="78"/>
        <v>2.1993489109423968E-2</v>
      </c>
      <c r="N152" s="253">
        <f t="shared" si="79"/>
        <v>16.010358726996085</v>
      </c>
      <c r="O152" s="83">
        <f t="shared" si="79"/>
        <v>2.9278832376920652</v>
      </c>
      <c r="P152" s="253">
        <f t="shared" si="80"/>
        <v>5843.7809353535713</v>
      </c>
      <c r="Q152" s="83">
        <f t="shared" si="80"/>
        <v>1068.6773817576038</v>
      </c>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0"/>
      <c r="BA152" s="170"/>
      <c r="BB152" s="170"/>
      <c r="BC152" s="170"/>
      <c r="BD152" s="170"/>
      <c r="BE152" s="170"/>
      <c r="BF152" s="170"/>
      <c r="BG152" s="170"/>
      <c r="BH152" s="170"/>
      <c r="BI152" s="170"/>
      <c r="BJ152" s="170"/>
      <c r="BK152" s="170"/>
      <c r="BL152" s="170"/>
      <c r="BM152" s="170"/>
      <c r="BN152" s="170"/>
      <c r="BO152" s="170"/>
      <c r="BP152" s="170"/>
      <c r="BQ152" s="170"/>
      <c r="BR152" s="170"/>
      <c r="BS152" s="170"/>
      <c r="BT152" s="170"/>
      <c r="BU152" s="170"/>
      <c r="BV152" s="170"/>
      <c r="BW152" s="170"/>
      <c r="BX152" s="170"/>
      <c r="BY152" s="170"/>
      <c r="BZ152" s="170"/>
    </row>
    <row r="153" spans="1:78" x14ac:dyDescent="0.2">
      <c r="A153" s="84">
        <f t="shared" si="74"/>
        <v>2041</v>
      </c>
      <c r="B153" s="261">
        <f t="shared" ref="B153:B168" si="81">($B152*(1+$B$244))</f>
        <v>306.80782595441087</v>
      </c>
      <c r="C153" s="98">
        <f t="shared" ref="C153:C168" si="82">($C152*(1+$B$244))</f>
        <v>62.840157123192604</v>
      </c>
      <c r="D153" s="253">
        <f>1800</f>
        <v>1800</v>
      </c>
      <c r="E153" s="83">
        <f>900</f>
        <v>900</v>
      </c>
      <c r="F153" s="253">
        <v>4</v>
      </c>
      <c r="G153" s="83">
        <v>4</v>
      </c>
      <c r="H153" s="260">
        <f t="shared" si="72"/>
        <v>0.29583333333333328</v>
      </c>
      <c r="I153" s="100">
        <f t="shared" si="73"/>
        <v>0.29583333333333328</v>
      </c>
      <c r="J153" s="253">
        <f t="shared" si="77"/>
        <v>90.763981844846541</v>
      </c>
      <c r="K153" s="83">
        <f t="shared" si="77"/>
        <v>18.590213148944475</v>
      </c>
      <c r="L153" s="260">
        <f t="shared" si="78"/>
        <v>6.0785197928632725E-2</v>
      </c>
      <c r="M153" s="100">
        <f t="shared" si="78"/>
        <v>2.2206288688025527E-2</v>
      </c>
      <c r="N153" s="253">
        <f t="shared" si="79"/>
        <v>16.18405894849846</v>
      </c>
      <c r="O153" s="83">
        <f t="shared" si="79"/>
        <v>2.9562121815933979</v>
      </c>
      <c r="P153" s="253">
        <f t="shared" si="80"/>
        <v>5907.1815162019384</v>
      </c>
      <c r="Q153" s="83">
        <f t="shared" si="80"/>
        <v>1079.0174462815903</v>
      </c>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0"/>
      <c r="BA153" s="170"/>
      <c r="BB153" s="170"/>
      <c r="BC153" s="170"/>
      <c r="BD153" s="170"/>
      <c r="BE153" s="170"/>
      <c r="BF153" s="170"/>
      <c r="BG153" s="170"/>
      <c r="BH153" s="170"/>
      <c r="BI153" s="170"/>
      <c r="BJ153" s="170"/>
      <c r="BK153" s="170"/>
      <c r="BL153" s="170"/>
      <c r="BM153" s="170"/>
      <c r="BN153" s="170"/>
      <c r="BO153" s="170"/>
      <c r="BP153" s="170"/>
      <c r="BQ153" s="170"/>
      <c r="BR153" s="170"/>
      <c r="BS153" s="170"/>
      <c r="BT153" s="170"/>
      <c r="BU153" s="170"/>
      <c r="BV153" s="170"/>
      <c r="BW153" s="170"/>
      <c r="BX153" s="170"/>
      <c r="BY153" s="170"/>
      <c r="BZ153" s="170"/>
    </row>
    <row r="154" spans="1:78" x14ac:dyDescent="0.2">
      <c r="A154" s="84">
        <f t="shared" si="74"/>
        <v>2042</v>
      </c>
      <c r="B154" s="261">
        <f t="shared" si="81"/>
        <v>309.56909638800056</v>
      </c>
      <c r="C154" s="98">
        <f t="shared" si="82"/>
        <v>63.405718537301333</v>
      </c>
      <c r="D154" s="253">
        <f>1800</f>
        <v>1800</v>
      </c>
      <c r="E154" s="83">
        <f>900</f>
        <v>900</v>
      </c>
      <c r="F154" s="253">
        <v>4</v>
      </c>
      <c r="G154" s="83">
        <v>4</v>
      </c>
      <c r="H154" s="260">
        <f t="shared" si="72"/>
        <v>0.29583333333333328</v>
      </c>
      <c r="I154" s="100">
        <f t="shared" si="73"/>
        <v>0.29583333333333328</v>
      </c>
      <c r="J154" s="253">
        <f t="shared" si="77"/>
        <v>91.580857681450155</v>
      </c>
      <c r="K154" s="83">
        <f t="shared" si="77"/>
        <v>18.757525067284973</v>
      </c>
      <c r="L154" s="260">
        <f t="shared" si="78"/>
        <v>6.1445892902185287E-2</v>
      </c>
      <c r="M154" s="100">
        <f t="shared" si="78"/>
        <v>2.242129247463822E-2</v>
      </c>
      <c r="N154" s="253">
        <f t="shared" si="79"/>
        <v>16.35996898520683</v>
      </c>
      <c r="O154" s="83">
        <f t="shared" si="79"/>
        <v>2.9848345606862123</v>
      </c>
      <c r="P154" s="253">
        <f t="shared" si="80"/>
        <v>5971.3886796004927</v>
      </c>
      <c r="Q154" s="83">
        <f t="shared" si="80"/>
        <v>1089.4646146504674</v>
      </c>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0"/>
      <c r="BA154" s="170"/>
      <c r="BB154" s="170"/>
      <c r="BC154" s="170"/>
      <c r="BD154" s="170"/>
      <c r="BE154" s="170"/>
      <c r="BF154" s="170"/>
      <c r="BG154" s="170"/>
      <c r="BH154" s="170"/>
      <c r="BI154" s="170"/>
      <c r="BJ154" s="170"/>
      <c r="BK154" s="170"/>
      <c r="BL154" s="170"/>
      <c r="BM154" s="170"/>
      <c r="BN154" s="170"/>
      <c r="BO154" s="170"/>
      <c r="BP154" s="170"/>
      <c r="BQ154" s="170"/>
      <c r="BR154" s="170"/>
      <c r="BS154" s="170"/>
      <c r="BT154" s="170"/>
      <c r="BU154" s="170"/>
      <c r="BV154" s="170"/>
      <c r="BW154" s="170"/>
      <c r="BX154" s="170"/>
      <c r="BY154" s="170"/>
      <c r="BZ154" s="170"/>
    </row>
    <row r="155" spans="1:78" x14ac:dyDescent="0.2">
      <c r="A155" s="84">
        <f t="shared" si="74"/>
        <v>2043</v>
      </c>
      <c r="B155" s="261">
        <f t="shared" si="81"/>
        <v>312.35521825549256</v>
      </c>
      <c r="C155" s="98">
        <f t="shared" si="82"/>
        <v>63.976370004137038</v>
      </c>
      <c r="D155" s="253">
        <f>1800</f>
        <v>1800</v>
      </c>
      <c r="E155" s="83">
        <f>900</f>
        <v>900</v>
      </c>
      <c r="F155" s="253">
        <v>4</v>
      </c>
      <c r="G155" s="83">
        <v>4</v>
      </c>
      <c r="H155" s="260">
        <f t="shared" si="72"/>
        <v>0.29583333333333328</v>
      </c>
      <c r="I155" s="100">
        <f t="shared" si="73"/>
        <v>0.29583333333333328</v>
      </c>
      <c r="J155" s="253">
        <f t="shared" si="77"/>
        <v>92.405085400583204</v>
      </c>
      <c r="K155" s="83">
        <f t="shared" si="77"/>
        <v>18.926342792890537</v>
      </c>
      <c r="L155" s="260">
        <f t="shared" si="78"/>
        <v>6.2115020019915708E-2</v>
      </c>
      <c r="M155" s="100">
        <f t="shared" si="78"/>
        <v>2.2638526129918353E-2</v>
      </c>
      <c r="N155" s="253">
        <f t="shared" si="79"/>
        <v>16.538124080302552</v>
      </c>
      <c r="O155" s="83">
        <f t="shared" si="79"/>
        <v>3.0137537910453802</v>
      </c>
      <c r="P155" s="253">
        <f t="shared" si="80"/>
        <v>6036.415289310431</v>
      </c>
      <c r="Q155" s="83">
        <f t="shared" si="80"/>
        <v>1100.0201337315639</v>
      </c>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0"/>
      <c r="BA155" s="170"/>
      <c r="BB155" s="170"/>
      <c r="BC155" s="170"/>
      <c r="BD155" s="170"/>
      <c r="BE155" s="170"/>
      <c r="BF155" s="170"/>
      <c r="BG155" s="170"/>
      <c r="BH155" s="170"/>
      <c r="BI155" s="170"/>
      <c r="BJ155" s="170"/>
      <c r="BK155" s="170"/>
      <c r="BL155" s="170"/>
      <c r="BM155" s="170"/>
      <c r="BN155" s="170"/>
      <c r="BO155" s="170"/>
      <c r="BP155" s="170"/>
      <c r="BQ155" s="170"/>
      <c r="BR155" s="170"/>
      <c r="BS155" s="170"/>
      <c r="BT155" s="170"/>
      <c r="BU155" s="170"/>
      <c r="BV155" s="170"/>
      <c r="BW155" s="170"/>
      <c r="BX155" s="170"/>
      <c r="BY155" s="170"/>
      <c r="BZ155" s="170"/>
    </row>
    <row r="156" spans="1:78" x14ac:dyDescent="0.2">
      <c r="A156" s="84">
        <f t="shared" si="74"/>
        <v>2044</v>
      </c>
      <c r="B156" s="261">
        <f t="shared" si="81"/>
        <v>315.16641521979199</v>
      </c>
      <c r="C156" s="98">
        <f t="shared" si="82"/>
        <v>64.552157334174268</v>
      </c>
      <c r="D156" s="253">
        <f>1800</f>
        <v>1800</v>
      </c>
      <c r="E156" s="83">
        <f>900</f>
        <v>900</v>
      </c>
      <c r="F156" s="253">
        <v>4</v>
      </c>
      <c r="G156" s="83">
        <v>4</v>
      </c>
      <c r="H156" s="260">
        <f t="shared" si="72"/>
        <v>0.29583333333333328</v>
      </c>
      <c r="I156" s="100">
        <f t="shared" si="73"/>
        <v>0.29583333333333328</v>
      </c>
      <c r="J156" s="253">
        <f t="shared" si="77"/>
        <v>93.236731169188445</v>
      </c>
      <c r="K156" s="83">
        <f t="shared" si="77"/>
        <v>19.096679878026549</v>
      </c>
      <c r="L156" s="260">
        <f t="shared" si="78"/>
        <v>6.2792714365354135E-2</v>
      </c>
      <c r="M156" s="100">
        <f t="shared" si="78"/>
        <v>2.285801566868742E-2</v>
      </c>
      <c r="N156" s="253">
        <f t="shared" si="79"/>
        <v>16.718560199775538</v>
      </c>
      <c r="O156" s="83">
        <f t="shared" si="79"/>
        <v>3.0429733358940121</v>
      </c>
      <c r="P156" s="253">
        <f t="shared" si="80"/>
        <v>6102.2744729180713</v>
      </c>
      <c r="Q156" s="83">
        <f t="shared" si="80"/>
        <v>1110.6852676013143</v>
      </c>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0"/>
      <c r="BA156" s="170"/>
      <c r="BB156" s="170"/>
      <c r="BC156" s="170"/>
      <c r="BD156" s="170"/>
      <c r="BE156" s="170"/>
      <c r="BF156" s="170"/>
      <c r="BG156" s="170"/>
      <c r="BH156" s="170"/>
      <c r="BI156" s="170"/>
      <c r="BJ156" s="170"/>
      <c r="BK156" s="170"/>
      <c r="BL156" s="170"/>
      <c r="BM156" s="170"/>
      <c r="BN156" s="170"/>
      <c r="BO156" s="170"/>
      <c r="BP156" s="170"/>
      <c r="BQ156" s="170"/>
      <c r="BR156" s="170"/>
      <c r="BS156" s="170"/>
      <c r="BT156" s="170"/>
      <c r="BU156" s="170"/>
      <c r="BV156" s="170"/>
      <c r="BW156" s="170"/>
      <c r="BX156" s="170"/>
      <c r="BY156" s="170"/>
      <c r="BZ156" s="170"/>
    </row>
    <row r="157" spans="1:78" x14ac:dyDescent="0.2">
      <c r="A157" s="84">
        <f t="shared" si="74"/>
        <v>2045</v>
      </c>
      <c r="B157" s="261">
        <f t="shared" si="81"/>
        <v>318.0029129567701</v>
      </c>
      <c r="C157" s="98">
        <f t="shared" si="82"/>
        <v>65.13312675018183</v>
      </c>
      <c r="D157" s="253">
        <f>1800</f>
        <v>1800</v>
      </c>
      <c r="E157" s="83">
        <f>900</f>
        <v>900</v>
      </c>
      <c r="F157" s="253">
        <v>4</v>
      </c>
      <c r="G157" s="83">
        <v>4</v>
      </c>
      <c r="H157" s="260">
        <f t="shared" si="72"/>
        <v>0.29583333333333328</v>
      </c>
      <c r="I157" s="100">
        <f t="shared" si="73"/>
        <v>0.29583333333333328</v>
      </c>
      <c r="J157" s="253">
        <f t="shared" si="77"/>
        <v>94.075861749711137</v>
      </c>
      <c r="K157" s="83">
        <f t="shared" si="77"/>
        <v>19.268549996928787</v>
      </c>
      <c r="L157" s="260">
        <f t="shared" si="78"/>
        <v>6.3479113806764825E-2</v>
      </c>
      <c r="M157" s="100">
        <f t="shared" si="78"/>
        <v>2.3079787465903008E-2</v>
      </c>
      <c r="N157" s="253">
        <f t="shared" si="79"/>
        <v>16.901314051051131</v>
      </c>
      <c r="O157" s="83">
        <f t="shared" si="79"/>
        <v>3.0724967063983368</v>
      </c>
      <c r="P157" s="253">
        <f t="shared" si="80"/>
        <v>6168.9796286336623</v>
      </c>
      <c r="Q157" s="83">
        <f t="shared" si="80"/>
        <v>1121.461297835393</v>
      </c>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0"/>
      <c r="BB157" s="170"/>
      <c r="BC157" s="170"/>
      <c r="BD157" s="170"/>
      <c r="BE157" s="170"/>
      <c r="BF157" s="170"/>
      <c r="BG157" s="170"/>
      <c r="BH157" s="170"/>
      <c r="BI157" s="170"/>
      <c r="BJ157" s="170"/>
      <c r="BK157" s="170"/>
      <c r="BL157" s="170"/>
      <c r="BM157" s="170"/>
      <c r="BN157" s="170"/>
      <c r="BO157" s="170"/>
      <c r="BP157" s="170"/>
      <c r="BQ157" s="170"/>
      <c r="BR157" s="170"/>
      <c r="BS157" s="170"/>
      <c r="BT157" s="170"/>
      <c r="BU157" s="170"/>
      <c r="BV157" s="170"/>
      <c r="BW157" s="170"/>
      <c r="BX157" s="170"/>
      <c r="BY157" s="170"/>
      <c r="BZ157" s="170"/>
    </row>
    <row r="158" spans="1:78" x14ac:dyDescent="0.2">
      <c r="A158" s="84">
        <f t="shared" si="74"/>
        <v>2046</v>
      </c>
      <c r="B158" s="261">
        <f t="shared" si="81"/>
        <v>320.864939173381</v>
      </c>
      <c r="C158" s="98">
        <f t="shared" si="82"/>
        <v>65.719324890933464</v>
      </c>
      <c r="D158" s="253">
        <f>1800</f>
        <v>1800</v>
      </c>
      <c r="E158" s="83">
        <f>900</f>
        <v>900</v>
      </c>
      <c r="F158" s="253">
        <v>4</v>
      </c>
      <c r="G158" s="83">
        <v>4</v>
      </c>
      <c r="H158" s="260">
        <f t="shared" si="72"/>
        <v>0.29583333333333328</v>
      </c>
      <c r="I158" s="100">
        <f t="shared" si="73"/>
        <v>0.29583333333333328</v>
      </c>
      <c r="J158" s="253">
        <f t="shared" si="77"/>
        <v>94.922544505458532</v>
      </c>
      <c r="K158" s="83">
        <f t="shared" si="77"/>
        <v>19.441966946901147</v>
      </c>
      <c r="L158" s="260">
        <f t="shared" si="78"/>
        <v>6.4174359069286604E-2</v>
      </c>
      <c r="M158" s="100">
        <f t="shared" si="78"/>
        <v>2.330386826275159E-2</v>
      </c>
      <c r="N158" s="253">
        <f t="shared" si="79"/>
        <v>17.086423102197553</v>
      </c>
      <c r="O158" s="83">
        <f t="shared" si="79"/>
        <v>3.1023274624788053</v>
      </c>
      <c r="P158" s="253">
        <f t="shared" si="80"/>
        <v>6236.5444323021075</v>
      </c>
      <c r="Q158" s="83">
        <f t="shared" si="80"/>
        <v>1132.349523804764</v>
      </c>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c r="AY158" s="170"/>
      <c r="AZ158" s="170"/>
      <c r="BA158" s="170"/>
      <c r="BB158" s="170"/>
      <c r="BC158" s="170"/>
      <c r="BD158" s="170"/>
      <c r="BE158" s="170"/>
      <c r="BF158" s="170"/>
      <c r="BG158" s="170"/>
      <c r="BH158" s="170"/>
      <c r="BI158" s="170"/>
      <c r="BJ158" s="170"/>
      <c r="BK158" s="170"/>
      <c r="BL158" s="170"/>
      <c r="BM158" s="170"/>
      <c r="BN158" s="170"/>
      <c r="BO158" s="170"/>
      <c r="BP158" s="170"/>
      <c r="BQ158" s="170"/>
      <c r="BR158" s="170"/>
      <c r="BS158" s="170"/>
      <c r="BT158" s="170"/>
      <c r="BU158" s="170"/>
      <c r="BV158" s="170"/>
      <c r="BW158" s="170"/>
      <c r="BX158" s="170"/>
      <c r="BY158" s="170"/>
      <c r="BZ158" s="170"/>
    </row>
    <row r="159" spans="1:78" x14ac:dyDescent="0.2">
      <c r="A159" s="84">
        <f t="shared" si="74"/>
        <v>2047</v>
      </c>
      <c r="B159" s="261">
        <f t="shared" si="81"/>
        <v>323.75272362594137</v>
      </c>
      <c r="C159" s="98">
        <f t="shared" si="82"/>
        <v>66.310798814951852</v>
      </c>
      <c r="D159" s="253">
        <f>1800</f>
        <v>1800</v>
      </c>
      <c r="E159" s="83">
        <f>900</f>
        <v>900</v>
      </c>
      <c r="F159" s="253">
        <v>4</v>
      </c>
      <c r="G159" s="83">
        <v>4</v>
      </c>
      <c r="H159" s="260">
        <f t="shared" si="72"/>
        <v>0.29583333333333328</v>
      </c>
      <c r="I159" s="100">
        <f t="shared" si="73"/>
        <v>0.29583333333333328</v>
      </c>
      <c r="J159" s="253">
        <f t="shared" si="77"/>
        <v>95.776847406007633</v>
      </c>
      <c r="K159" s="83">
        <f t="shared" si="77"/>
        <v>19.616944649423253</v>
      </c>
      <c r="L159" s="260">
        <f t="shared" si="78"/>
        <v>6.4878593809333626E-2</v>
      </c>
      <c r="M159" s="100">
        <f t="shared" si="78"/>
        <v>2.3530285172866258E-2</v>
      </c>
      <c r="N159" s="253">
        <f t="shared" si="79"/>
        <v>17.273925601735076</v>
      </c>
      <c r="O159" s="83">
        <f t="shared" si="79"/>
        <v>3.1324692136378203</v>
      </c>
      <c r="P159" s="253">
        <f t="shared" si="80"/>
        <v>6304.9828446333031</v>
      </c>
      <c r="Q159" s="83">
        <f t="shared" si="80"/>
        <v>1143.3512629778045</v>
      </c>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c r="BX159" s="170"/>
      <c r="BY159" s="170"/>
      <c r="BZ159" s="170"/>
    </row>
    <row r="160" spans="1:78" x14ac:dyDescent="0.2">
      <c r="A160" s="84">
        <f t="shared" si="74"/>
        <v>2048</v>
      </c>
      <c r="B160" s="261">
        <f t="shared" si="81"/>
        <v>326.66649813857481</v>
      </c>
      <c r="C160" s="98">
        <f t="shared" si="82"/>
        <v>66.907596004286418</v>
      </c>
      <c r="D160" s="253">
        <f>1800</f>
        <v>1800</v>
      </c>
      <c r="E160" s="83">
        <f>900</f>
        <v>900</v>
      </c>
      <c r="F160" s="253">
        <v>4</v>
      </c>
      <c r="G160" s="83">
        <v>4</v>
      </c>
      <c r="H160" s="260">
        <f t="shared" si="72"/>
        <v>0.29583333333333328</v>
      </c>
      <c r="I160" s="100">
        <f t="shared" si="73"/>
        <v>0.29583333333333328</v>
      </c>
      <c r="J160" s="253">
        <f t="shared" ref="J160:K163" si="83">H160*B160</f>
        <v>96.638839032661693</v>
      </c>
      <c r="K160" s="83">
        <f t="shared" si="83"/>
        <v>19.793497151268063</v>
      </c>
      <c r="L160" s="260">
        <f t="shared" ref="L160:M163" si="84">J160/(D160-B160)</f>
        <v>6.5591964691339169E-2</v>
      </c>
      <c r="M160" s="100">
        <f t="shared" si="84"/>
        <v>2.3759065688672282E-2</v>
      </c>
      <c r="N160" s="253">
        <f t="shared" ref="N160:O163" si="85">0.5*H160*B160*(H160+L160)</f>
        <v>17.463860599069051</v>
      </c>
      <c r="O160" s="83">
        <f t="shared" si="85"/>
        <v>3.1629256198044962</v>
      </c>
      <c r="P160" s="253">
        <f t="shared" ref="P160:Q163" si="86">N160*365</f>
        <v>6374.3091186602032</v>
      </c>
      <c r="Q160" s="83">
        <f t="shared" si="86"/>
        <v>1154.4678512286412</v>
      </c>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c r="BX160" s="170"/>
      <c r="BY160" s="170"/>
      <c r="BZ160" s="170"/>
    </row>
    <row r="161" spans="1:78" x14ac:dyDescent="0.2">
      <c r="A161" s="84">
        <f t="shared" si="74"/>
        <v>2049</v>
      </c>
      <c r="B161" s="261">
        <f t="shared" si="81"/>
        <v>329.60649662182198</v>
      </c>
      <c r="C161" s="98">
        <f t="shared" si="82"/>
        <v>67.509764368324994</v>
      </c>
      <c r="D161" s="253">
        <f>1800</f>
        <v>1800</v>
      </c>
      <c r="E161" s="83">
        <f>900</f>
        <v>900</v>
      </c>
      <c r="F161" s="253">
        <v>4</v>
      </c>
      <c r="G161" s="83">
        <v>4</v>
      </c>
      <c r="H161" s="260">
        <f t="shared" si="72"/>
        <v>0.29583333333333328</v>
      </c>
      <c r="I161" s="100">
        <f t="shared" si="73"/>
        <v>0.29583333333333328</v>
      </c>
      <c r="J161" s="253">
        <f t="shared" si="83"/>
        <v>97.508588583955657</v>
      </c>
      <c r="K161" s="83">
        <f t="shared" si="83"/>
        <v>19.971638625629474</v>
      </c>
      <c r="L161" s="260">
        <f t="shared" si="84"/>
        <v>6.6314621466929125E-2</v>
      </c>
      <c r="M161" s="100">
        <f t="shared" si="84"/>
        <v>2.3990237687863618E-2</v>
      </c>
      <c r="N161" s="253">
        <f t="shared" si="85"/>
        <v>17.656267965569878</v>
      </c>
      <c r="O161" s="83">
        <f t="shared" si="85"/>
        <v>3.1937003921968437</v>
      </c>
      <c r="P161" s="253">
        <f t="shared" si="86"/>
        <v>6444.5378074330056</v>
      </c>
      <c r="Q161" s="83">
        <f t="shared" si="86"/>
        <v>1165.700643151848</v>
      </c>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c r="BX161" s="170"/>
      <c r="BY161" s="170"/>
      <c r="BZ161" s="170"/>
    </row>
    <row r="162" spans="1:78" x14ac:dyDescent="0.2">
      <c r="A162" s="84">
        <f t="shared" si="74"/>
        <v>2050</v>
      </c>
      <c r="B162" s="261">
        <f t="shared" si="81"/>
        <v>332.57295509141835</v>
      </c>
      <c r="C162" s="98">
        <f t="shared" si="82"/>
        <v>68.117352247639914</v>
      </c>
      <c r="D162" s="253">
        <f>1800</f>
        <v>1800</v>
      </c>
      <c r="E162" s="83">
        <f>900</f>
        <v>900</v>
      </c>
      <c r="F162" s="253">
        <v>5</v>
      </c>
      <c r="G162" s="83">
        <v>5</v>
      </c>
      <c r="H162" s="260">
        <f t="shared" si="72"/>
        <v>0.36979166666666663</v>
      </c>
      <c r="I162" s="100">
        <f t="shared" si="73"/>
        <v>0.36979166666666663</v>
      </c>
      <c r="J162" s="253">
        <f t="shared" si="83"/>
        <v>122.98270735151407</v>
      </c>
      <c r="K162" s="83">
        <f t="shared" si="83"/>
        <v>25.189229216575175</v>
      </c>
      <c r="L162" s="260">
        <f t="shared" si="84"/>
        <v>8.3808396320769529E-2</v>
      </c>
      <c r="M162" s="100">
        <f t="shared" si="84"/>
        <v>3.0279786800017083E-2</v>
      </c>
      <c r="N162" s="253">
        <f t="shared" si="85"/>
        <v>27.892481900506105</v>
      </c>
      <c r="O162" s="83">
        <f t="shared" si="85"/>
        <v>5.0387457721903424</v>
      </c>
      <c r="P162" s="253">
        <f t="shared" si="86"/>
        <v>10180.755893684729</v>
      </c>
      <c r="Q162" s="83">
        <f t="shared" si="86"/>
        <v>1839.1422068494749</v>
      </c>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c r="BX162" s="170"/>
      <c r="BY162" s="170"/>
      <c r="BZ162" s="170"/>
    </row>
    <row r="163" spans="1:78" x14ac:dyDescent="0.2">
      <c r="A163" s="84">
        <f t="shared" si="74"/>
        <v>2051</v>
      </c>
      <c r="B163" s="261">
        <f t="shared" si="81"/>
        <v>335.56611168724106</v>
      </c>
      <c r="C163" s="98">
        <f t="shared" si="82"/>
        <v>68.730408417868659</v>
      </c>
      <c r="D163" s="253">
        <f>1800</f>
        <v>1800</v>
      </c>
      <c r="E163" s="83">
        <f>900</f>
        <v>900</v>
      </c>
      <c r="F163" s="253">
        <v>5</v>
      </c>
      <c r="G163" s="83">
        <v>5</v>
      </c>
      <c r="H163" s="260">
        <f t="shared" si="72"/>
        <v>0.36979166666666663</v>
      </c>
      <c r="I163" s="100">
        <f t="shared" si="73"/>
        <v>0.36979166666666663</v>
      </c>
      <c r="J163" s="253">
        <f t="shared" si="83"/>
        <v>124.08955171767767</v>
      </c>
      <c r="K163" s="83">
        <f t="shared" si="83"/>
        <v>25.415932279524345</v>
      </c>
      <c r="L163" s="260">
        <f t="shared" si="84"/>
        <v>8.4735509542630774E-2</v>
      </c>
      <c r="M163" s="100">
        <f t="shared" si="84"/>
        <v>3.0574837016654172E-2</v>
      </c>
      <c r="N163" s="253">
        <f t="shared" si="85"/>
        <v>28.201036769656799</v>
      </c>
      <c r="O163" s="83">
        <f t="shared" si="85"/>
        <v>5.0878439723026085</v>
      </c>
      <c r="P163" s="253">
        <f t="shared" si="86"/>
        <v>10293.378420924731</v>
      </c>
      <c r="Q163" s="83">
        <f t="shared" si="86"/>
        <v>1857.063049890452</v>
      </c>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c r="AY163" s="170"/>
      <c r="AZ163" s="170"/>
      <c r="BA163" s="170"/>
      <c r="BB163" s="170"/>
      <c r="BC163" s="170"/>
      <c r="BD163" s="170"/>
      <c r="BE163" s="170"/>
      <c r="BF163" s="170"/>
      <c r="BG163" s="170"/>
      <c r="BH163" s="170"/>
      <c r="BI163" s="170"/>
      <c r="BJ163" s="170"/>
      <c r="BK163" s="170"/>
      <c r="BL163" s="170"/>
      <c r="BM163" s="170"/>
      <c r="BN163" s="170"/>
      <c r="BO163" s="170"/>
      <c r="BP163" s="170"/>
      <c r="BQ163" s="170"/>
      <c r="BR163" s="170"/>
      <c r="BS163" s="170"/>
      <c r="BT163" s="170"/>
      <c r="BU163" s="170"/>
      <c r="BV163" s="170"/>
      <c r="BW163" s="170"/>
      <c r="BX163" s="170"/>
      <c r="BY163" s="170"/>
      <c r="BZ163" s="170"/>
    </row>
    <row r="164" spans="1:78" x14ac:dyDescent="0.2">
      <c r="A164" s="84">
        <f t="shared" si="74"/>
        <v>2052</v>
      </c>
      <c r="B164" s="261">
        <f t="shared" si="81"/>
        <v>338.58620669242617</v>
      </c>
      <c r="C164" s="98">
        <f t="shared" si="82"/>
        <v>69.348982093629473</v>
      </c>
      <c r="D164" s="261">
        <f>1800</f>
        <v>1800</v>
      </c>
      <c r="E164" s="98">
        <f>900</f>
        <v>900</v>
      </c>
      <c r="F164" s="261">
        <v>5</v>
      </c>
      <c r="G164" s="98">
        <v>5</v>
      </c>
      <c r="H164" s="344">
        <f t="shared" si="72"/>
        <v>0.36979166666666663</v>
      </c>
      <c r="I164" s="345">
        <f t="shared" si="73"/>
        <v>0.36979166666666663</v>
      </c>
      <c r="J164" s="261">
        <f t="shared" si="77"/>
        <v>125.20635768313674</v>
      </c>
      <c r="K164" s="98">
        <f t="shared" si="77"/>
        <v>25.644675670040062</v>
      </c>
      <c r="L164" s="344">
        <f t="shared" si="78"/>
        <v>8.5674815891644884E-2</v>
      </c>
      <c r="M164" s="345">
        <f t="shared" si="78"/>
        <v>3.0872984101887518E-2</v>
      </c>
      <c r="N164" s="261">
        <f t="shared" si="79"/>
        <v>28.513649663938057</v>
      </c>
      <c r="O164" s="98">
        <f t="shared" si="79"/>
        <v>5.1374575107047198</v>
      </c>
      <c r="P164" s="261">
        <f t="shared" si="80"/>
        <v>10407.482127337391</v>
      </c>
      <c r="Q164" s="98">
        <f t="shared" si="80"/>
        <v>1875.1719914072228</v>
      </c>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c r="AY164" s="170"/>
      <c r="AZ164" s="170"/>
      <c r="BA164" s="170"/>
      <c r="BB164" s="170"/>
      <c r="BC164" s="170"/>
      <c r="BD164" s="170"/>
      <c r="BE164" s="170"/>
      <c r="BF164" s="170"/>
      <c r="BG164" s="170"/>
      <c r="BH164" s="170"/>
      <c r="BI164" s="170"/>
      <c r="BJ164" s="170"/>
      <c r="BK164" s="170"/>
      <c r="BL164" s="170"/>
      <c r="BM164" s="170"/>
      <c r="BN164" s="170"/>
      <c r="BO164" s="170"/>
      <c r="BP164" s="170"/>
      <c r="BQ164" s="170"/>
      <c r="BR164" s="170"/>
      <c r="BS164" s="170"/>
      <c r="BT164" s="170"/>
      <c r="BU164" s="170"/>
      <c r="BV164" s="170"/>
      <c r="BW164" s="170"/>
      <c r="BX164" s="170"/>
      <c r="BY164" s="170"/>
      <c r="BZ164" s="170"/>
    </row>
    <row r="165" spans="1:78" x14ac:dyDescent="0.2">
      <c r="A165" s="84">
        <f t="shared" si="74"/>
        <v>2053</v>
      </c>
      <c r="B165" s="261">
        <f t="shared" si="81"/>
        <v>341.63348255265799</v>
      </c>
      <c r="C165" s="98">
        <f t="shared" si="82"/>
        <v>69.973122932472137</v>
      </c>
      <c r="D165" s="253">
        <f>1800</f>
        <v>1800</v>
      </c>
      <c r="E165" s="83">
        <f>900</f>
        <v>900</v>
      </c>
      <c r="F165" s="253">
        <v>5</v>
      </c>
      <c r="G165" s="83">
        <v>5</v>
      </c>
      <c r="H165" s="260">
        <f t="shared" si="72"/>
        <v>0.36979166666666663</v>
      </c>
      <c r="I165" s="100">
        <f t="shared" si="73"/>
        <v>0.36979166666666663</v>
      </c>
      <c r="J165" s="253">
        <f t="shared" ref="J165:J168" si="87">H165*B165</f>
        <v>126.33321490228498</v>
      </c>
      <c r="K165" s="83">
        <f t="shared" ref="K165:K168" si="88">I165*C165</f>
        <v>25.875477751070424</v>
      </c>
      <c r="L165" s="260">
        <f t="shared" ref="L165:L168" si="89">J165/(D165-B165)</f>
        <v>8.6626519047771924E-2</v>
      </c>
      <c r="M165" s="100">
        <f t="shared" ref="M165:M168" si="90">K165/(E165-C165)</f>
        <v>3.1174264913550857E-2</v>
      </c>
      <c r="N165" s="253">
        <f t="shared" ref="N165:N168" si="91">0.5*H165*B165*(H165+L165)</f>
        <v>28.83038837058659</v>
      </c>
      <c r="O165" s="83">
        <f t="shared" ref="O165:O168" si="92">0.5*I165*C165*(I165+M165)</f>
        <v>5.187592520770572</v>
      </c>
      <c r="P165" s="253">
        <f t="shared" ref="P165:P168" si="93">N165*365</f>
        <v>10523.091755264106</v>
      </c>
      <c r="Q165" s="83">
        <f t="shared" ref="Q165:Q168" si="94">O165*365</f>
        <v>1893.4712700812588</v>
      </c>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70"/>
      <c r="AT165" s="170"/>
      <c r="AU165" s="170"/>
      <c r="AV165" s="170"/>
      <c r="AW165" s="170"/>
      <c r="AX165" s="170"/>
      <c r="AY165" s="170"/>
      <c r="AZ165" s="170"/>
      <c r="BA165" s="170"/>
      <c r="BB165" s="170"/>
      <c r="BC165" s="170"/>
      <c r="BD165" s="170"/>
      <c r="BE165" s="170"/>
      <c r="BF165" s="170"/>
      <c r="BG165" s="170"/>
      <c r="BH165" s="170"/>
      <c r="BI165" s="170"/>
      <c r="BJ165" s="170"/>
      <c r="BK165" s="170"/>
      <c r="BL165" s="170"/>
      <c r="BM165" s="170"/>
      <c r="BN165" s="170"/>
      <c r="BO165" s="170"/>
      <c r="BP165" s="170"/>
      <c r="BQ165" s="170"/>
      <c r="BR165" s="170"/>
      <c r="BS165" s="170"/>
      <c r="BT165" s="170"/>
      <c r="BU165" s="170"/>
      <c r="BV165" s="170"/>
      <c r="BW165" s="170"/>
      <c r="BX165" s="170"/>
      <c r="BY165" s="170"/>
      <c r="BZ165" s="170"/>
    </row>
    <row r="166" spans="1:78" x14ac:dyDescent="0.2">
      <c r="A166" s="84">
        <f t="shared" si="74"/>
        <v>2054</v>
      </c>
      <c r="B166" s="261">
        <f t="shared" si="81"/>
        <v>344.70818389563186</v>
      </c>
      <c r="C166" s="98">
        <f t="shared" si="82"/>
        <v>70.602881038864382</v>
      </c>
      <c r="D166" s="253">
        <f>1800</f>
        <v>1800</v>
      </c>
      <c r="E166" s="83">
        <f>900</f>
        <v>900</v>
      </c>
      <c r="F166" s="253">
        <v>5</v>
      </c>
      <c r="G166" s="83">
        <v>5</v>
      </c>
      <c r="H166" s="260">
        <f t="shared" si="72"/>
        <v>0.36979166666666663</v>
      </c>
      <c r="I166" s="100">
        <f t="shared" si="73"/>
        <v>0.36979166666666663</v>
      </c>
      <c r="J166" s="253">
        <f t="shared" si="87"/>
        <v>127.47021383640552</v>
      </c>
      <c r="K166" s="83">
        <f t="shared" si="88"/>
        <v>26.108357050830055</v>
      </c>
      <c r="L166" s="260">
        <f t="shared" si="89"/>
        <v>8.7590827094477269E-2</v>
      </c>
      <c r="M166" s="100">
        <f t="shared" si="90"/>
        <v>3.1478716834141128E-2</v>
      </c>
      <c r="N166" s="253">
        <f t="shared" si="91"/>
        <v>29.151322142380714</v>
      </c>
      <c r="O166" s="83">
        <f t="shared" si="92"/>
        <v>5.2382552231812971</v>
      </c>
      <c r="P166" s="253">
        <f t="shared" si="93"/>
        <v>10640.232581968961</v>
      </c>
      <c r="Q166" s="83">
        <f t="shared" si="94"/>
        <v>1911.9631564611734</v>
      </c>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c r="AY166" s="170"/>
      <c r="AZ166" s="170"/>
      <c r="BA166" s="170"/>
      <c r="BB166" s="170"/>
      <c r="BC166" s="170"/>
      <c r="BD166" s="170"/>
      <c r="BE166" s="170"/>
      <c r="BF166" s="170"/>
      <c r="BG166" s="170"/>
      <c r="BH166" s="170"/>
      <c r="BI166" s="170"/>
      <c r="BJ166" s="170"/>
      <c r="BK166" s="170"/>
      <c r="BL166" s="170"/>
      <c r="BM166" s="170"/>
      <c r="BN166" s="170"/>
      <c r="BO166" s="170"/>
      <c r="BP166" s="170"/>
      <c r="BQ166" s="170"/>
      <c r="BR166" s="170"/>
      <c r="BS166" s="170"/>
      <c r="BT166" s="170"/>
      <c r="BU166" s="170"/>
      <c r="BV166" s="170"/>
      <c r="BW166" s="170"/>
      <c r="BX166" s="170"/>
      <c r="BY166" s="170"/>
      <c r="BZ166" s="170"/>
    </row>
    <row r="167" spans="1:78" x14ac:dyDescent="0.2">
      <c r="A167" s="84">
        <f t="shared" si="74"/>
        <v>2055</v>
      </c>
      <c r="B167" s="261">
        <f t="shared" si="81"/>
        <v>347.81055755069252</v>
      </c>
      <c r="C167" s="98">
        <f t="shared" si="82"/>
        <v>71.238306968214161</v>
      </c>
      <c r="D167" s="253">
        <f>1800</f>
        <v>1800</v>
      </c>
      <c r="E167" s="83">
        <f>900</f>
        <v>900</v>
      </c>
      <c r="F167" s="253">
        <v>5</v>
      </c>
      <c r="G167" s="83">
        <v>5</v>
      </c>
      <c r="H167" s="260">
        <f t="shared" si="72"/>
        <v>0.36979166666666663</v>
      </c>
      <c r="I167" s="100">
        <f t="shared" si="73"/>
        <v>0.36979166666666663</v>
      </c>
      <c r="J167" s="253">
        <f t="shared" si="87"/>
        <v>128.61744576093315</v>
      </c>
      <c r="K167" s="83">
        <f t="shared" si="88"/>
        <v>26.343332264287525</v>
      </c>
      <c r="L167" s="260">
        <f t="shared" si="89"/>
        <v>8.8567952638467742E-2</v>
      </c>
      <c r="M167" s="100">
        <f t="shared" si="90"/>
        <v>3.1786377779984054E-2</v>
      </c>
      <c r="N167" s="253">
        <f t="shared" si="91"/>
        <v>29.476521737490042</v>
      </c>
      <c r="O167" s="83">
        <f t="shared" si="92"/>
        <v>5.2894519274504717</v>
      </c>
      <c r="P167" s="253">
        <f t="shared" si="93"/>
        <v>10758.930434183865</v>
      </c>
      <c r="Q167" s="83">
        <f t="shared" si="94"/>
        <v>1930.6499535194221</v>
      </c>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c r="BJ167" s="170"/>
      <c r="BK167" s="170"/>
      <c r="BL167" s="170"/>
      <c r="BM167" s="170"/>
      <c r="BN167" s="170"/>
      <c r="BO167" s="170"/>
      <c r="BP167" s="170"/>
      <c r="BQ167" s="170"/>
      <c r="BR167" s="170"/>
      <c r="BS167" s="170"/>
      <c r="BT167" s="170"/>
      <c r="BU167" s="170"/>
      <c r="BV167" s="170"/>
      <c r="BW167" s="170"/>
      <c r="BX167" s="170"/>
      <c r="BY167" s="170"/>
      <c r="BZ167" s="170"/>
    </row>
    <row r="168" spans="1:78" x14ac:dyDescent="0.2">
      <c r="A168" s="95">
        <f t="shared" si="74"/>
        <v>2056</v>
      </c>
      <c r="B168" s="263">
        <f t="shared" si="81"/>
        <v>350.94085256864872</v>
      </c>
      <c r="C168" s="99">
        <f t="shared" si="82"/>
        <v>71.879451730928082</v>
      </c>
      <c r="D168" s="348">
        <f>1800</f>
        <v>1800</v>
      </c>
      <c r="E168" s="349">
        <f>900</f>
        <v>900</v>
      </c>
      <c r="F168" s="348">
        <v>5</v>
      </c>
      <c r="G168" s="349">
        <v>5</v>
      </c>
      <c r="H168" s="350">
        <f t="shared" si="72"/>
        <v>0.36979166666666663</v>
      </c>
      <c r="I168" s="351">
        <f t="shared" si="73"/>
        <v>0.36979166666666663</v>
      </c>
      <c r="J168" s="348">
        <f t="shared" si="87"/>
        <v>129.77500277278153</v>
      </c>
      <c r="K168" s="349">
        <f t="shared" si="88"/>
        <v>26.580422254666111</v>
      </c>
      <c r="L168" s="350">
        <f t="shared" si="89"/>
        <v>8.9558112933364298E-2</v>
      </c>
      <c r="M168" s="351">
        <f t="shared" si="90"/>
        <v>3.2097286210593622E-2</v>
      </c>
      <c r="N168" s="348">
        <f t="shared" si="91"/>
        <v>29.8060594606353</v>
      </c>
      <c r="O168" s="349">
        <f t="shared" si="92"/>
        <v>5.3411890334815935</v>
      </c>
      <c r="P168" s="348">
        <f t="shared" si="93"/>
        <v>10879.211703131885</v>
      </c>
      <c r="Q168" s="349">
        <f t="shared" si="94"/>
        <v>1949.5339972207817</v>
      </c>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row>
    <row r="169" spans="1:78" x14ac:dyDescent="0.2">
      <c r="A169" s="262"/>
      <c r="B169" s="170"/>
      <c r="C169" s="170"/>
      <c r="D169" s="170"/>
      <c r="E169" s="170"/>
      <c r="F169" s="170"/>
      <c r="G169" s="170"/>
      <c r="H169" s="170"/>
      <c r="I169" s="258"/>
      <c r="J169" s="259"/>
      <c r="K169" s="259"/>
      <c r="L169" s="256"/>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170"/>
      <c r="BA169" s="170"/>
      <c r="BB169" s="170"/>
      <c r="BC169" s="170"/>
      <c r="BD169" s="170"/>
      <c r="BE169" s="170"/>
      <c r="BF169" s="170"/>
      <c r="BG169" s="170"/>
      <c r="BH169" s="170"/>
      <c r="BI169" s="170"/>
      <c r="BJ169" s="170"/>
      <c r="BK169" s="170"/>
      <c r="BL169" s="170"/>
      <c r="BM169" s="170"/>
      <c r="BN169" s="170"/>
      <c r="BO169" s="170"/>
      <c r="BP169" s="170"/>
      <c r="BQ169" s="170"/>
      <c r="BR169" s="170"/>
      <c r="BS169" s="170"/>
      <c r="BT169" s="170"/>
      <c r="BU169" s="170"/>
      <c r="BV169" s="170"/>
      <c r="BW169" s="170"/>
      <c r="BX169" s="170"/>
      <c r="BY169" s="170"/>
      <c r="BZ169" s="170"/>
    </row>
    <row r="170" spans="1:78" x14ac:dyDescent="0.2">
      <c r="A170" s="262"/>
      <c r="B170" s="170"/>
      <c r="C170" s="170"/>
      <c r="D170" s="170"/>
      <c r="E170" s="170"/>
      <c r="F170" s="170"/>
      <c r="G170" s="170"/>
      <c r="H170" s="170"/>
      <c r="I170" s="258"/>
      <c r="J170" s="259"/>
      <c r="K170" s="259"/>
      <c r="L170" s="256"/>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c r="AY170" s="170"/>
      <c r="AZ170" s="170"/>
      <c r="BA170" s="170"/>
      <c r="BB170" s="170"/>
      <c r="BC170" s="170"/>
      <c r="BD170" s="170"/>
      <c r="BE170" s="170"/>
      <c r="BF170" s="170"/>
      <c r="BG170" s="170"/>
      <c r="BH170" s="170"/>
      <c r="BI170" s="170"/>
      <c r="BJ170" s="170"/>
      <c r="BK170" s="170"/>
      <c r="BL170" s="170"/>
      <c r="BM170" s="170"/>
      <c r="BN170" s="170"/>
      <c r="BO170" s="170"/>
      <c r="BP170" s="170"/>
      <c r="BQ170" s="170"/>
      <c r="BR170" s="170"/>
      <c r="BS170" s="170"/>
      <c r="BT170" s="170"/>
      <c r="BU170" s="170"/>
      <c r="BV170" s="170"/>
      <c r="BW170" s="170"/>
      <c r="BX170" s="170"/>
      <c r="BY170" s="170"/>
      <c r="BZ170" s="170"/>
    </row>
    <row r="171" spans="1:78" x14ac:dyDescent="0.2">
      <c r="A171" s="262"/>
      <c r="B171" s="170"/>
      <c r="C171" s="170"/>
      <c r="D171" s="170"/>
      <c r="E171" s="170"/>
      <c r="F171" s="170"/>
      <c r="G171" s="170"/>
      <c r="H171" s="170"/>
      <c r="I171" s="258"/>
      <c r="J171" s="259"/>
      <c r="K171" s="259"/>
      <c r="L171" s="256"/>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70"/>
      <c r="AT171" s="170"/>
      <c r="AU171" s="170"/>
      <c r="AV171" s="170"/>
      <c r="AW171" s="170"/>
      <c r="AX171" s="170"/>
      <c r="AY171" s="170"/>
      <c r="AZ171" s="170"/>
      <c r="BA171" s="170"/>
      <c r="BB171" s="170"/>
      <c r="BC171" s="170"/>
      <c r="BD171" s="170"/>
      <c r="BE171" s="170"/>
      <c r="BF171" s="170"/>
      <c r="BG171" s="170"/>
      <c r="BH171" s="170"/>
      <c r="BI171" s="170"/>
      <c r="BJ171" s="170"/>
      <c r="BK171" s="170"/>
      <c r="BL171" s="170"/>
      <c r="BM171" s="170"/>
      <c r="BN171" s="170"/>
      <c r="BO171" s="170"/>
      <c r="BP171" s="170"/>
      <c r="BQ171" s="170"/>
      <c r="BR171" s="170"/>
      <c r="BS171" s="170"/>
      <c r="BT171" s="170"/>
      <c r="BU171" s="170"/>
      <c r="BV171" s="170"/>
      <c r="BW171" s="170"/>
      <c r="BX171" s="170"/>
      <c r="BY171" s="170"/>
      <c r="BZ171" s="170"/>
    </row>
    <row r="172" spans="1:78" x14ac:dyDescent="0.2">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0"/>
      <c r="AR172" s="170"/>
      <c r="AS172" s="170"/>
      <c r="AT172" s="170"/>
      <c r="AU172" s="170"/>
      <c r="AV172" s="170"/>
      <c r="AW172" s="170"/>
      <c r="AX172" s="170"/>
      <c r="AY172" s="170"/>
      <c r="AZ172" s="170"/>
      <c r="BA172" s="170"/>
      <c r="BB172" s="170"/>
      <c r="BC172" s="170"/>
      <c r="BD172" s="170"/>
      <c r="BE172" s="170"/>
      <c r="BF172" s="170"/>
      <c r="BG172" s="170"/>
      <c r="BH172" s="170"/>
      <c r="BI172" s="170"/>
      <c r="BJ172" s="170"/>
      <c r="BK172" s="170"/>
      <c r="BL172" s="170"/>
      <c r="BM172" s="170"/>
      <c r="BN172" s="170"/>
      <c r="BO172" s="170"/>
      <c r="BP172" s="170"/>
      <c r="BQ172" s="170"/>
      <c r="BR172" s="170"/>
      <c r="BS172" s="170"/>
      <c r="BT172" s="170"/>
      <c r="BU172" s="170"/>
      <c r="BV172" s="170"/>
      <c r="BW172" s="170"/>
      <c r="BX172" s="170"/>
      <c r="BY172" s="170"/>
      <c r="BZ172" s="170"/>
    </row>
    <row r="173" spans="1:78" x14ac:dyDescent="0.2">
      <c r="A173" s="461" t="s">
        <v>1</v>
      </c>
      <c r="B173" s="480" t="s">
        <v>283</v>
      </c>
      <c r="C173" s="481"/>
      <c r="D173" s="482"/>
      <c r="E173" s="480" t="s">
        <v>284</v>
      </c>
      <c r="F173" s="481"/>
      <c r="G173" s="481"/>
      <c r="H173" s="482"/>
      <c r="I173" s="476" t="s">
        <v>285</v>
      </c>
      <c r="J173" s="476"/>
      <c r="K173" s="476" t="s">
        <v>28</v>
      </c>
      <c r="L173" s="476"/>
      <c r="M173" s="476" t="s">
        <v>42</v>
      </c>
      <c r="N173" s="476"/>
      <c r="O173" s="480" t="s">
        <v>286</v>
      </c>
      <c r="P173" s="481"/>
      <c r="Q173" s="482"/>
      <c r="R173" s="476" t="s">
        <v>28</v>
      </c>
      <c r="S173" s="476"/>
      <c r="T173" s="476" t="s">
        <v>42</v>
      </c>
      <c r="U173" s="476"/>
      <c r="V173" s="264"/>
      <c r="W173" s="185"/>
      <c r="X173" s="185"/>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0"/>
      <c r="AT173" s="170"/>
      <c r="AU173" s="170"/>
      <c r="AV173" s="170"/>
      <c r="AW173" s="170"/>
      <c r="AX173" s="170"/>
      <c r="AY173" s="170"/>
      <c r="AZ173" s="170"/>
      <c r="BA173" s="170"/>
      <c r="BB173" s="170"/>
      <c r="BC173" s="170"/>
      <c r="BD173" s="170"/>
      <c r="BE173" s="170"/>
      <c r="BF173" s="170"/>
      <c r="BG173" s="170"/>
      <c r="BH173" s="170"/>
      <c r="BI173" s="170"/>
      <c r="BJ173" s="170"/>
      <c r="BK173" s="170"/>
      <c r="BL173" s="170"/>
      <c r="BM173" s="170"/>
      <c r="BN173" s="170"/>
      <c r="BO173" s="170"/>
      <c r="BP173" s="170"/>
      <c r="BQ173" s="170"/>
      <c r="BR173" s="170"/>
      <c r="BS173" s="170"/>
      <c r="BT173" s="170"/>
      <c r="BU173" s="170"/>
      <c r="BV173" s="170"/>
      <c r="BW173" s="170"/>
      <c r="BX173" s="170"/>
      <c r="BY173" s="170"/>
      <c r="BZ173" s="170"/>
    </row>
    <row r="174" spans="1:78" ht="25.5" x14ac:dyDescent="0.2">
      <c r="A174" s="483"/>
      <c r="B174" s="250" t="s">
        <v>82</v>
      </c>
      <c r="C174" s="250" t="s">
        <v>88</v>
      </c>
      <c r="D174" s="246" t="s">
        <v>34</v>
      </c>
      <c r="E174" s="246" t="s">
        <v>287</v>
      </c>
      <c r="F174" s="246" t="s">
        <v>288</v>
      </c>
      <c r="G174" s="250" t="s">
        <v>88</v>
      </c>
      <c r="H174" s="246" t="s">
        <v>34</v>
      </c>
      <c r="I174" s="250" t="s">
        <v>28</v>
      </c>
      <c r="J174" s="250" t="s">
        <v>42</v>
      </c>
      <c r="K174" s="250" t="s">
        <v>289</v>
      </c>
      <c r="L174" s="329" t="s">
        <v>296</v>
      </c>
      <c r="M174" s="250" t="s">
        <v>289</v>
      </c>
      <c r="N174" s="246" t="s">
        <v>296</v>
      </c>
      <c r="O174" s="250" t="s">
        <v>28</v>
      </c>
      <c r="P174" s="246" t="s">
        <v>233</v>
      </c>
      <c r="Q174" s="246" t="s">
        <v>290</v>
      </c>
      <c r="R174" s="250" t="s">
        <v>291</v>
      </c>
      <c r="S174" s="308" t="s">
        <v>295</v>
      </c>
      <c r="T174" s="308" t="s">
        <v>291</v>
      </c>
      <c r="U174" s="308" t="s">
        <v>295</v>
      </c>
      <c r="V174" s="264"/>
      <c r="W174" s="185"/>
      <c r="X174" s="185"/>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c r="AY174" s="170"/>
      <c r="AZ174" s="170"/>
      <c r="BA174" s="170"/>
      <c r="BB174" s="170"/>
      <c r="BC174" s="170"/>
      <c r="BD174" s="170"/>
      <c r="BE174" s="170"/>
      <c r="BF174" s="170"/>
      <c r="BG174" s="170"/>
      <c r="BH174" s="170"/>
      <c r="BI174" s="170"/>
      <c r="BJ174" s="170"/>
      <c r="BK174" s="170"/>
      <c r="BL174" s="170"/>
      <c r="BM174" s="170"/>
      <c r="BN174" s="170"/>
      <c r="BO174" s="170"/>
      <c r="BP174" s="170"/>
      <c r="BQ174" s="170"/>
      <c r="BR174" s="170"/>
      <c r="BS174" s="170"/>
      <c r="BT174" s="170"/>
      <c r="BU174" s="170"/>
      <c r="BV174" s="170"/>
      <c r="BW174" s="170"/>
      <c r="BX174" s="170"/>
      <c r="BY174" s="170"/>
      <c r="BZ174" s="170"/>
    </row>
    <row r="175" spans="1:78" x14ac:dyDescent="0.2">
      <c r="A175" s="82">
        <v>2019</v>
      </c>
      <c r="B175" s="253">
        <f>K218</f>
        <v>13031.030303030302</v>
      </c>
      <c r="C175" s="83">
        <f t="shared" ref="C175:C212" si="95">ROUND(B175*$B$245,0)</f>
        <v>2215</v>
      </c>
      <c r="D175" s="253">
        <f t="shared" ref="D175:D212" si="96">B175-C175</f>
        <v>10816.030303030302</v>
      </c>
      <c r="E175" s="83"/>
      <c r="F175" s="253"/>
      <c r="G175" s="83"/>
      <c r="H175" s="253"/>
      <c r="I175" s="83"/>
      <c r="J175" s="253"/>
      <c r="K175" s="83"/>
      <c r="L175" s="253"/>
      <c r="M175" s="83"/>
      <c r="N175" s="253"/>
      <c r="O175" s="83"/>
      <c r="P175" s="253"/>
      <c r="Q175" s="83"/>
      <c r="R175" s="253"/>
      <c r="S175" s="83"/>
      <c r="T175" s="253"/>
      <c r="U175" s="83"/>
      <c r="V175" s="265"/>
      <c r="W175" s="266"/>
      <c r="X175" s="266"/>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170"/>
      <c r="BA175" s="170"/>
      <c r="BB175" s="170"/>
      <c r="BC175" s="170"/>
      <c r="BD175" s="170"/>
      <c r="BE175" s="170"/>
      <c r="BF175" s="170"/>
      <c r="BG175" s="170"/>
      <c r="BH175" s="170"/>
      <c r="BI175" s="170"/>
      <c r="BJ175" s="170"/>
      <c r="BK175" s="170"/>
      <c r="BL175" s="170"/>
      <c r="BM175" s="170"/>
      <c r="BN175" s="170"/>
      <c r="BO175" s="170"/>
      <c r="BP175" s="170"/>
      <c r="BQ175" s="170"/>
      <c r="BR175" s="170"/>
      <c r="BS175" s="170"/>
      <c r="BT175" s="170"/>
      <c r="BU175" s="170"/>
      <c r="BV175" s="170"/>
      <c r="BW175" s="170"/>
      <c r="BX175" s="170"/>
      <c r="BY175" s="170"/>
      <c r="BZ175" s="170"/>
    </row>
    <row r="176" spans="1:78" x14ac:dyDescent="0.2">
      <c r="A176" s="84">
        <f>A175+1</f>
        <v>2020</v>
      </c>
      <c r="B176" s="261">
        <f t="shared" ref="B176:B196" si="97">ROUND($B$175*(1+$B$243)^(A176-$A$175),0)</f>
        <v>13240</v>
      </c>
      <c r="C176" s="98">
        <f t="shared" si="95"/>
        <v>2251</v>
      </c>
      <c r="D176" s="261">
        <f t="shared" si="96"/>
        <v>10989</v>
      </c>
      <c r="E176" s="98"/>
      <c r="F176" s="261"/>
      <c r="G176" s="98"/>
      <c r="H176" s="261"/>
      <c r="I176" s="98"/>
      <c r="J176" s="261"/>
      <c r="K176" s="98"/>
      <c r="L176" s="261"/>
      <c r="M176" s="98"/>
      <c r="N176" s="261"/>
      <c r="O176" s="98"/>
      <c r="P176" s="261"/>
      <c r="Q176" s="98"/>
      <c r="R176" s="261"/>
      <c r="S176" s="98"/>
      <c r="T176" s="261"/>
      <c r="U176" s="98"/>
      <c r="V176" s="267"/>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c r="AY176" s="170"/>
      <c r="AZ176" s="170"/>
      <c r="BA176" s="170"/>
      <c r="BB176" s="170"/>
      <c r="BC176" s="170"/>
      <c r="BD176" s="170"/>
      <c r="BE176" s="170"/>
      <c r="BF176" s="170"/>
      <c r="BG176" s="170"/>
      <c r="BH176" s="170"/>
      <c r="BI176" s="170"/>
      <c r="BJ176" s="170"/>
      <c r="BK176" s="170"/>
      <c r="BL176" s="170"/>
      <c r="BM176" s="170"/>
      <c r="BN176" s="170"/>
      <c r="BO176" s="170"/>
      <c r="BP176" s="170"/>
      <c r="BQ176" s="170"/>
      <c r="BR176" s="170"/>
      <c r="BS176" s="170"/>
      <c r="BT176" s="170"/>
      <c r="BU176" s="170"/>
      <c r="BV176" s="170"/>
      <c r="BW176" s="170"/>
      <c r="BX176" s="170"/>
      <c r="BY176" s="170"/>
      <c r="BZ176" s="170"/>
    </row>
    <row r="177" spans="1:78" x14ac:dyDescent="0.2">
      <c r="A177" s="84">
        <f t="shared" ref="A177:A212" si="98">A176+1</f>
        <v>2021</v>
      </c>
      <c r="B177" s="261">
        <f t="shared" si="97"/>
        <v>13451</v>
      </c>
      <c r="C177" s="98">
        <f t="shared" si="95"/>
        <v>2287</v>
      </c>
      <c r="D177" s="261">
        <f t="shared" si="96"/>
        <v>11164</v>
      </c>
      <c r="E177" s="98"/>
      <c r="F177" s="261"/>
      <c r="G177" s="98"/>
      <c r="H177" s="261"/>
      <c r="I177" s="98"/>
      <c r="J177" s="261"/>
      <c r="K177" s="98"/>
      <c r="L177" s="261"/>
      <c r="M177" s="98"/>
      <c r="N177" s="261"/>
      <c r="O177" s="98"/>
      <c r="P177" s="261"/>
      <c r="Q177" s="98"/>
      <c r="R177" s="261"/>
      <c r="S177" s="98"/>
      <c r="T177" s="261"/>
      <c r="U177" s="98"/>
      <c r="V177" s="268"/>
      <c r="W177" s="266"/>
      <c r="X177" s="266"/>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c r="AY177" s="170"/>
      <c r="AZ177" s="170"/>
      <c r="BA177" s="170"/>
      <c r="BB177" s="170"/>
      <c r="BC177" s="170"/>
      <c r="BD177" s="170"/>
      <c r="BE177" s="170"/>
      <c r="BF177" s="170"/>
      <c r="BG177" s="170"/>
      <c r="BH177" s="170"/>
      <c r="BI177" s="170"/>
      <c r="BJ177" s="170"/>
      <c r="BK177" s="170"/>
      <c r="BL177" s="170"/>
      <c r="BM177" s="170"/>
      <c r="BN177" s="170"/>
      <c r="BO177" s="170"/>
      <c r="BP177" s="170"/>
      <c r="BQ177" s="170"/>
      <c r="BR177" s="170"/>
      <c r="BS177" s="170"/>
      <c r="BT177" s="170"/>
      <c r="BU177" s="170"/>
      <c r="BV177" s="170"/>
      <c r="BW177" s="170"/>
      <c r="BX177" s="170"/>
      <c r="BY177" s="170"/>
      <c r="BZ177" s="170"/>
    </row>
    <row r="178" spans="1:78" x14ac:dyDescent="0.2">
      <c r="A178" s="84">
        <f t="shared" si="98"/>
        <v>2022</v>
      </c>
      <c r="B178" s="261">
        <f t="shared" si="97"/>
        <v>13667</v>
      </c>
      <c r="C178" s="98">
        <f t="shared" si="95"/>
        <v>2323</v>
      </c>
      <c r="D178" s="261">
        <f t="shared" si="96"/>
        <v>11344</v>
      </c>
      <c r="E178" s="98"/>
      <c r="F178" s="261"/>
      <c r="G178" s="98"/>
      <c r="H178" s="261"/>
      <c r="I178" s="98"/>
      <c r="J178" s="261"/>
      <c r="K178" s="98"/>
      <c r="L178" s="261"/>
      <c r="M178" s="98"/>
      <c r="N178" s="261"/>
      <c r="O178" s="98"/>
      <c r="P178" s="261"/>
      <c r="Q178" s="98"/>
      <c r="R178" s="261"/>
      <c r="S178" s="98"/>
      <c r="T178" s="261"/>
      <c r="U178" s="98"/>
      <c r="V178" s="255"/>
      <c r="W178" s="255"/>
      <c r="X178" s="255"/>
      <c r="Y178" s="255"/>
      <c r="Z178" s="255"/>
      <c r="AA178" s="255"/>
      <c r="AB178" s="170"/>
      <c r="AC178" s="170"/>
      <c r="AD178" s="170"/>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c r="AY178" s="170"/>
      <c r="AZ178" s="170"/>
      <c r="BA178" s="170"/>
      <c r="BB178" s="170"/>
      <c r="BC178" s="170"/>
      <c r="BD178" s="170"/>
      <c r="BE178" s="170"/>
      <c r="BF178" s="170"/>
      <c r="BG178" s="170"/>
      <c r="BH178" s="170"/>
      <c r="BI178" s="170"/>
      <c r="BJ178" s="170"/>
      <c r="BK178" s="170"/>
      <c r="BL178" s="170"/>
      <c r="BM178" s="170"/>
      <c r="BN178" s="170"/>
      <c r="BO178" s="170"/>
      <c r="BP178" s="170"/>
      <c r="BQ178" s="170"/>
      <c r="BR178" s="170"/>
      <c r="BS178" s="170"/>
      <c r="BT178" s="170"/>
      <c r="BU178" s="170"/>
      <c r="BV178" s="170"/>
      <c r="BW178" s="170"/>
      <c r="BX178" s="170"/>
      <c r="BY178" s="170"/>
      <c r="BZ178" s="170"/>
    </row>
    <row r="179" spans="1:78" x14ac:dyDescent="0.2">
      <c r="A179" s="84">
        <f t="shared" si="98"/>
        <v>2023</v>
      </c>
      <c r="B179" s="261">
        <f t="shared" si="97"/>
        <v>13885</v>
      </c>
      <c r="C179" s="98">
        <f t="shared" si="95"/>
        <v>2360</v>
      </c>
      <c r="D179" s="261">
        <f t="shared" si="96"/>
        <v>11525</v>
      </c>
      <c r="E179" s="98"/>
      <c r="F179" s="261"/>
      <c r="G179" s="98"/>
      <c r="H179" s="261"/>
      <c r="I179" s="98"/>
      <c r="J179" s="261"/>
      <c r="K179" s="98"/>
      <c r="L179" s="261"/>
      <c r="M179" s="98"/>
      <c r="N179" s="261"/>
      <c r="O179" s="98"/>
      <c r="P179" s="261"/>
      <c r="Q179" s="98"/>
      <c r="R179" s="261"/>
      <c r="S179" s="98"/>
      <c r="T179" s="261"/>
      <c r="U179" s="98"/>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70"/>
      <c r="BE179" s="170"/>
      <c r="BF179" s="170"/>
      <c r="BG179" s="170"/>
      <c r="BH179" s="170"/>
      <c r="BI179" s="170"/>
      <c r="BJ179" s="170"/>
      <c r="BK179" s="170"/>
      <c r="BL179" s="170"/>
      <c r="BM179" s="170"/>
      <c r="BN179" s="170"/>
      <c r="BO179" s="170"/>
      <c r="BP179" s="170"/>
      <c r="BQ179" s="170"/>
      <c r="BR179" s="170"/>
      <c r="BS179" s="170"/>
      <c r="BT179" s="170"/>
      <c r="BU179" s="170"/>
      <c r="BV179" s="170"/>
      <c r="BW179" s="170"/>
      <c r="BX179" s="170"/>
      <c r="BY179" s="170"/>
      <c r="BZ179" s="170"/>
    </row>
    <row r="180" spans="1:78" x14ac:dyDescent="0.2">
      <c r="A180" s="84">
        <f t="shared" si="98"/>
        <v>2024</v>
      </c>
      <c r="B180" s="261">
        <f t="shared" si="97"/>
        <v>14107</v>
      </c>
      <c r="C180" s="98">
        <f t="shared" si="95"/>
        <v>2398</v>
      </c>
      <c r="D180" s="261">
        <f t="shared" si="96"/>
        <v>11709</v>
      </c>
      <c r="E180" s="98"/>
      <c r="F180" s="261"/>
      <c r="G180" s="98"/>
      <c r="H180" s="261"/>
      <c r="I180" s="98"/>
      <c r="J180" s="261"/>
      <c r="K180" s="98"/>
      <c r="L180" s="261"/>
      <c r="M180" s="98"/>
      <c r="N180" s="261"/>
      <c r="O180" s="98"/>
      <c r="P180" s="261"/>
      <c r="Q180" s="98"/>
      <c r="R180" s="261"/>
      <c r="S180" s="98"/>
      <c r="T180" s="261"/>
      <c r="U180" s="98"/>
      <c r="V180" s="170"/>
      <c r="W180" s="174"/>
      <c r="X180" s="174"/>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0"/>
      <c r="BH180" s="170"/>
      <c r="BI180" s="170"/>
      <c r="BJ180" s="170"/>
      <c r="BK180" s="170"/>
      <c r="BL180" s="170"/>
      <c r="BM180" s="170"/>
      <c r="BN180" s="170"/>
      <c r="BO180" s="170"/>
      <c r="BP180" s="170"/>
      <c r="BQ180" s="170"/>
      <c r="BR180" s="170"/>
      <c r="BS180" s="170"/>
      <c r="BT180" s="170"/>
      <c r="BU180" s="170"/>
      <c r="BV180" s="170"/>
      <c r="BW180" s="170"/>
      <c r="BX180" s="170"/>
      <c r="BY180" s="170"/>
      <c r="BZ180" s="170"/>
    </row>
    <row r="181" spans="1:78" x14ac:dyDescent="0.2">
      <c r="A181" s="84">
        <f t="shared" si="98"/>
        <v>2025</v>
      </c>
      <c r="B181" s="305">
        <f t="shared" si="97"/>
        <v>14333</v>
      </c>
      <c r="C181" s="98">
        <f t="shared" si="95"/>
        <v>2437</v>
      </c>
      <c r="D181" s="261">
        <f t="shared" si="96"/>
        <v>11896</v>
      </c>
      <c r="E181" s="98"/>
      <c r="F181" s="261"/>
      <c r="G181" s="98"/>
      <c r="H181" s="261"/>
      <c r="I181" s="98"/>
      <c r="J181" s="261"/>
      <c r="K181" s="98"/>
      <c r="L181" s="261"/>
      <c r="M181" s="98"/>
      <c r="N181" s="261"/>
      <c r="O181" s="98"/>
      <c r="P181" s="261"/>
      <c r="Q181" s="98"/>
      <c r="R181" s="261"/>
      <c r="S181" s="98"/>
      <c r="T181" s="261"/>
      <c r="U181" s="98"/>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170"/>
      <c r="BM181" s="170"/>
      <c r="BN181" s="170"/>
      <c r="BO181" s="170"/>
      <c r="BP181" s="170"/>
      <c r="BQ181" s="170"/>
      <c r="BR181" s="170"/>
      <c r="BS181" s="170"/>
      <c r="BT181" s="170"/>
      <c r="BU181" s="170"/>
      <c r="BV181" s="170"/>
      <c r="BW181" s="170"/>
      <c r="BX181" s="170"/>
      <c r="BY181" s="170"/>
      <c r="BZ181" s="170"/>
    </row>
    <row r="182" spans="1:78" x14ac:dyDescent="0.2">
      <c r="A182" s="84">
        <f t="shared" si="98"/>
        <v>2026</v>
      </c>
      <c r="B182" s="261">
        <f t="shared" si="97"/>
        <v>14562</v>
      </c>
      <c r="C182" s="98">
        <f t="shared" si="95"/>
        <v>2476</v>
      </c>
      <c r="D182" s="261">
        <f t="shared" si="96"/>
        <v>12086</v>
      </c>
      <c r="E182" s="98"/>
      <c r="F182" s="261"/>
      <c r="G182" s="98"/>
      <c r="H182" s="261"/>
      <c r="I182" s="98"/>
      <c r="J182" s="261"/>
      <c r="K182" s="98"/>
      <c r="L182" s="261"/>
      <c r="M182" s="98"/>
      <c r="N182" s="261"/>
      <c r="O182" s="98"/>
      <c r="P182" s="261"/>
      <c r="Q182" s="98"/>
      <c r="R182" s="261"/>
      <c r="S182" s="98"/>
      <c r="T182" s="261"/>
      <c r="U182" s="98"/>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170"/>
      <c r="BM182" s="170"/>
      <c r="BN182" s="170"/>
      <c r="BO182" s="170"/>
      <c r="BP182" s="170"/>
      <c r="BQ182" s="170"/>
      <c r="BR182" s="170"/>
      <c r="BS182" s="170"/>
      <c r="BT182" s="170"/>
      <c r="BU182" s="170"/>
      <c r="BV182" s="170"/>
      <c r="BW182" s="170"/>
      <c r="BX182" s="170"/>
      <c r="BY182" s="170"/>
      <c r="BZ182" s="170"/>
    </row>
    <row r="183" spans="1:78" x14ac:dyDescent="0.2">
      <c r="A183" s="84">
        <f t="shared" si="98"/>
        <v>2027</v>
      </c>
      <c r="B183" s="261">
        <f t="shared" si="97"/>
        <v>14795</v>
      </c>
      <c r="C183" s="98">
        <f t="shared" si="95"/>
        <v>2515</v>
      </c>
      <c r="D183" s="261">
        <f t="shared" si="96"/>
        <v>12280</v>
      </c>
      <c r="E183" s="98">
        <f t="shared" ref="E183:E195" si="99">ROUND($E$196*(1+$B$243)^(A183-$A$196),0)</f>
        <v>6819</v>
      </c>
      <c r="F183" s="261">
        <f t="shared" ref="F183:F196" si="100">ROUND($F$197*(1+$B$243)^(A183-$A$197),0)</f>
        <v>10311</v>
      </c>
      <c r="G183" s="98">
        <f t="shared" ref="G183:G212" si="101">ROUND((E183*$B$246)+(F183*$B$247),0)</f>
        <v>3012</v>
      </c>
      <c r="H183" s="261">
        <f t="shared" ref="H183:H209" si="102">(E183+F183)-G183</f>
        <v>14118</v>
      </c>
      <c r="I183" s="98">
        <f>B183*$B$291</f>
        <v>3452.1666666666665</v>
      </c>
      <c r="J183" s="261">
        <f t="shared" ref="J183:J212" si="103">(E183*$C$291)+(F183*$D$291)</f>
        <v>3081.704153846154</v>
      </c>
      <c r="K183" s="98">
        <f t="shared" ref="K183:K212" si="104">$I183*$B$245</f>
        <v>586.86833333333334</v>
      </c>
      <c r="L183" s="261">
        <f t="shared" ref="L183:L212" si="105">$I183-K183</f>
        <v>2865.2983333333332</v>
      </c>
      <c r="M183" s="98">
        <f t="shared" ref="M183:M209" si="106">$J183*($G183/($E183+F183))</f>
        <v>541.86181619291392</v>
      </c>
      <c r="N183" s="261">
        <f t="shared" ref="N183:N209" si="107">$J183-M183</f>
        <v>2539.8423376532401</v>
      </c>
      <c r="O183" s="98">
        <f t="shared" ref="O183:O212" si="108">B183*365*$B$289</f>
        <v>44551443.75</v>
      </c>
      <c r="P183" s="261">
        <f t="shared" ref="P183:P212" si="109">365*((F183*$D$289))</f>
        <v>27285483.75</v>
      </c>
      <c r="Q183" s="98">
        <f t="shared" ref="Q183:Q212" si="110">365*((E183*$C$289))</f>
        <v>20110594.800000001</v>
      </c>
      <c r="R183" s="261">
        <f t="shared" ref="R183:R212" si="111">$O183*$B$245</f>
        <v>7573745.4375000009</v>
      </c>
      <c r="S183" s="98">
        <f t="shared" ref="S183:S212" si="112">$O183-R183</f>
        <v>36977698.3125</v>
      </c>
      <c r="T183" s="261">
        <f t="shared" ref="T183:T212" si="113">($Q183+$P183)*($G183/($E183+$F183))</f>
        <v>8333741.3072154103</v>
      </c>
      <c r="U183" s="98">
        <f t="shared" ref="U183:U212" si="114">($P183+$Q183)-T183</f>
        <v>39062337.24278459</v>
      </c>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170"/>
      <c r="BM183" s="170"/>
      <c r="BN183" s="170"/>
      <c r="BO183" s="170"/>
      <c r="BP183" s="170"/>
      <c r="BQ183" s="170"/>
      <c r="BR183" s="170"/>
      <c r="BS183" s="170"/>
      <c r="BT183" s="170"/>
      <c r="BU183" s="170"/>
      <c r="BV183" s="170"/>
      <c r="BW183" s="170"/>
      <c r="BX183" s="170"/>
      <c r="BY183" s="170"/>
      <c r="BZ183" s="170"/>
    </row>
    <row r="184" spans="1:78" x14ac:dyDescent="0.2">
      <c r="A184" s="84">
        <f t="shared" si="98"/>
        <v>2028</v>
      </c>
      <c r="B184" s="261">
        <f t="shared" si="97"/>
        <v>15032</v>
      </c>
      <c r="C184" s="98">
        <f t="shared" si="95"/>
        <v>2555</v>
      </c>
      <c r="D184" s="261">
        <f t="shared" si="96"/>
        <v>12477</v>
      </c>
      <c r="E184" s="98">
        <f t="shared" si="99"/>
        <v>6928</v>
      </c>
      <c r="F184" s="261">
        <f t="shared" si="100"/>
        <v>10476</v>
      </c>
      <c r="G184" s="98">
        <f t="shared" si="101"/>
        <v>3060</v>
      </c>
      <c r="H184" s="261">
        <f t="shared" si="102"/>
        <v>14344</v>
      </c>
      <c r="I184" s="98">
        <f t="shared" ref="I184:I212" si="115">B184*$B$291</f>
        <v>3507.4666666666667</v>
      </c>
      <c r="J184" s="261">
        <f t="shared" si="103"/>
        <v>3131.0036923076923</v>
      </c>
      <c r="K184" s="98">
        <f t="shared" si="104"/>
        <v>596.26933333333341</v>
      </c>
      <c r="L184" s="261">
        <f t="shared" si="105"/>
        <v>2911.1973333333335</v>
      </c>
      <c r="M184" s="98">
        <f t="shared" si="106"/>
        <v>550.49823594929546</v>
      </c>
      <c r="N184" s="261">
        <f t="shared" si="107"/>
        <v>2580.5054563583967</v>
      </c>
      <c r="O184" s="98">
        <f t="shared" si="108"/>
        <v>45265110</v>
      </c>
      <c r="P184" s="261">
        <f t="shared" si="109"/>
        <v>27722115</v>
      </c>
      <c r="Q184" s="98">
        <f t="shared" si="110"/>
        <v>20432057.599999998</v>
      </c>
      <c r="R184" s="261">
        <f t="shared" si="111"/>
        <v>7695068.7000000002</v>
      </c>
      <c r="S184" s="98">
        <f t="shared" si="112"/>
        <v>37570041.299999997</v>
      </c>
      <c r="T184" s="261">
        <f t="shared" si="113"/>
        <v>8466546.0903240629</v>
      </c>
      <c r="U184" s="98">
        <f t="shared" si="114"/>
        <v>39687626.509675935</v>
      </c>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170"/>
      <c r="BM184" s="170"/>
      <c r="BN184" s="170"/>
      <c r="BO184" s="170"/>
      <c r="BP184" s="170"/>
      <c r="BQ184" s="170"/>
      <c r="BR184" s="170"/>
      <c r="BS184" s="170"/>
      <c r="BT184" s="170"/>
      <c r="BU184" s="170"/>
      <c r="BV184" s="170"/>
      <c r="BW184" s="170"/>
      <c r="BX184" s="170"/>
      <c r="BY184" s="170"/>
      <c r="BZ184" s="170"/>
    </row>
    <row r="185" spans="1:78" x14ac:dyDescent="0.2">
      <c r="A185" s="84">
        <f t="shared" si="98"/>
        <v>2029</v>
      </c>
      <c r="B185" s="261">
        <f t="shared" si="97"/>
        <v>15273</v>
      </c>
      <c r="C185" s="98">
        <f t="shared" si="95"/>
        <v>2596</v>
      </c>
      <c r="D185" s="261">
        <f t="shared" si="96"/>
        <v>12677</v>
      </c>
      <c r="E185" s="98">
        <f t="shared" si="99"/>
        <v>7039</v>
      </c>
      <c r="F185" s="261">
        <f t="shared" si="100"/>
        <v>10644</v>
      </c>
      <c r="G185" s="98">
        <f t="shared" si="101"/>
        <v>3109</v>
      </c>
      <c r="H185" s="261">
        <f t="shared" si="102"/>
        <v>14574</v>
      </c>
      <c r="I185" s="98">
        <f t="shared" si="115"/>
        <v>3563.7000000000003</v>
      </c>
      <c r="J185" s="261">
        <f t="shared" si="103"/>
        <v>3181.2018461538464</v>
      </c>
      <c r="K185" s="98">
        <f t="shared" si="104"/>
        <v>605.82900000000006</v>
      </c>
      <c r="L185" s="261">
        <f t="shared" si="105"/>
        <v>2957.8710000000001</v>
      </c>
      <c r="M185" s="98">
        <f t="shared" si="106"/>
        <v>559.31440025404675</v>
      </c>
      <c r="N185" s="261">
        <f t="shared" si="107"/>
        <v>2621.8874458997998</v>
      </c>
      <c r="O185" s="98">
        <f t="shared" si="108"/>
        <v>45990821.25</v>
      </c>
      <c r="P185" s="261">
        <f t="shared" si="109"/>
        <v>28166685</v>
      </c>
      <c r="Q185" s="98">
        <f t="shared" si="110"/>
        <v>20759418.800000001</v>
      </c>
      <c r="R185" s="261">
        <f t="shared" si="111"/>
        <v>7818439.6125000007</v>
      </c>
      <c r="S185" s="98">
        <f t="shared" si="112"/>
        <v>38172381.637500003</v>
      </c>
      <c r="T185" s="261">
        <f t="shared" si="113"/>
        <v>8602118.2330034487</v>
      </c>
      <c r="U185" s="98">
        <f t="shared" si="114"/>
        <v>40323985.566996545</v>
      </c>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170"/>
      <c r="BM185" s="170"/>
      <c r="BN185" s="170"/>
      <c r="BO185" s="170"/>
      <c r="BP185" s="170"/>
      <c r="BQ185" s="170"/>
      <c r="BR185" s="170"/>
      <c r="BS185" s="170"/>
      <c r="BT185" s="170"/>
      <c r="BU185" s="170"/>
      <c r="BV185" s="170"/>
      <c r="BW185" s="170"/>
      <c r="BX185" s="170"/>
      <c r="BY185" s="170"/>
      <c r="BZ185" s="170"/>
    </row>
    <row r="186" spans="1:78" x14ac:dyDescent="0.2">
      <c r="A186" s="84">
        <f t="shared" si="98"/>
        <v>2030</v>
      </c>
      <c r="B186" s="261">
        <f t="shared" si="97"/>
        <v>15517</v>
      </c>
      <c r="C186" s="98">
        <f t="shared" si="95"/>
        <v>2638</v>
      </c>
      <c r="D186" s="261">
        <f t="shared" si="96"/>
        <v>12879</v>
      </c>
      <c r="E186" s="98">
        <f t="shared" si="99"/>
        <v>7152</v>
      </c>
      <c r="F186" s="261">
        <f t="shared" si="100"/>
        <v>10814</v>
      </c>
      <c r="G186" s="98">
        <f t="shared" si="101"/>
        <v>3159</v>
      </c>
      <c r="H186" s="261">
        <f t="shared" si="102"/>
        <v>14807</v>
      </c>
      <c r="I186" s="98">
        <f t="shared" si="115"/>
        <v>3620.6333333333332</v>
      </c>
      <c r="J186" s="261">
        <f t="shared" si="103"/>
        <v>3232.0819487179488</v>
      </c>
      <c r="K186" s="98">
        <f t="shared" si="104"/>
        <v>615.50766666666664</v>
      </c>
      <c r="L186" s="261">
        <f t="shared" si="105"/>
        <v>3005.1256666666668</v>
      </c>
      <c r="M186" s="98">
        <f t="shared" si="106"/>
        <v>568.30384481798956</v>
      </c>
      <c r="N186" s="261">
        <f t="shared" si="107"/>
        <v>2663.7781038999592</v>
      </c>
      <c r="O186" s="98">
        <f t="shared" si="108"/>
        <v>46725566.25</v>
      </c>
      <c r="P186" s="261">
        <f t="shared" si="109"/>
        <v>28616547.5</v>
      </c>
      <c r="Q186" s="98">
        <f t="shared" si="110"/>
        <v>21092678.400000002</v>
      </c>
      <c r="R186" s="261">
        <f t="shared" si="111"/>
        <v>7943346.2625000002</v>
      </c>
      <c r="S186" s="98">
        <f t="shared" si="112"/>
        <v>38782219.987499997</v>
      </c>
      <c r="T186" s="261">
        <f t="shared" si="113"/>
        <v>8740478.9390014485</v>
      </c>
      <c r="U186" s="98">
        <f t="shared" si="114"/>
        <v>40968746.960998558</v>
      </c>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0"/>
      <c r="AT186" s="170"/>
      <c r="AU186" s="170"/>
      <c r="AV186" s="170"/>
      <c r="AW186" s="170"/>
      <c r="AX186" s="170"/>
      <c r="AY186" s="170"/>
      <c r="AZ186" s="170"/>
      <c r="BA186" s="170"/>
      <c r="BB186" s="170"/>
      <c r="BC186" s="170"/>
      <c r="BD186" s="170"/>
      <c r="BE186" s="170"/>
      <c r="BF186" s="170"/>
      <c r="BG186" s="170"/>
      <c r="BH186" s="170"/>
      <c r="BI186" s="170"/>
      <c r="BJ186" s="170"/>
      <c r="BK186" s="170"/>
      <c r="BL186" s="170"/>
      <c r="BM186" s="170"/>
      <c r="BN186" s="170"/>
      <c r="BO186" s="170"/>
      <c r="BP186" s="170"/>
      <c r="BQ186" s="170"/>
      <c r="BR186" s="170"/>
      <c r="BS186" s="170"/>
      <c r="BT186" s="170"/>
      <c r="BU186" s="170"/>
      <c r="BV186" s="170"/>
      <c r="BW186" s="170"/>
      <c r="BX186" s="170"/>
      <c r="BY186" s="170"/>
      <c r="BZ186" s="170"/>
    </row>
    <row r="187" spans="1:78" x14ac:dyDescent="0.2">
      <c r="A187" s="84">
        <f t="shared" si="98"/>
        <v>2031</v>
      </c>
      <c r="B187" s="261">
        <f t="shared" si="97"/>
        <v>15765</v>
      </c>
      <c r="C187" s="98">
        <f t="shared" si="95"/>
        <v>2680</v>
      </c>
      <c r="D187" s="261">
        <f t="shared" si="96"/>
        <v>13085</v>
      </c>
      <c r="E187" s="98">
        <f t="shared" si="99"/>
        <v>7266</v>
      </c>
      <c r="F187" s="261">
        <f t="shared" si="100"/>
        <v>10987</v>
      </c>
      <c r="G187" s="98">
        <f t="shared" si="101"/>
        <v>3209</v>
      </c>
      <c r="H187" s="261">
        <f t="shared" si="102"/>
        <v>15044</v>
      </c>
      <c r="I187" s="98">
        <f t="shared" si="115"/>
        <v>3678.5</v>
      </c>
      <c r="J187" s="261">
        <f t="shared" si="103"/>
        <v>3283.7363589743591</v>
      </c>
      <c r="K187" s="98">
        <f t="shared" si="104"/>
        <v>625.34500000000003</v>
      </c>
      <c r="L187" s="261">
        <f t="shared" si="105"/>
        <v>3053.1549999999997</v>
      </c>
      <c r="M187" s="98">
        <f t="shared" si="106"/>
        <v>577.30290779316931</v>
      </c>
      <c r="N187" s="261">
        <f t="shared" si="107"/>
        <v>2706.4334511811899</v>
      </c>
      <c r="O187" s="98">
        <f t="shared" si="108"/>
        <v>47472356.25</v>
      </c>
      <c r="P187" s="261">
        <f t="shared" si="109"/>
        <v>29074348.75</v>
      </c>
      <c r="Q187" s="98">
        <f t="shared" si="110"/>
        <v>21428887.199999999</v>
      </c>
      <c r="R187" s="261">
        <f t="shared" si="111"/>
        <v>8070300.5625000009</v>
      </c>
      <c r="S187" s="98">
        <f t="shared" si="112"/>
        <v>39402055.6875</v>
      </c>
      <c r="T187" s="261">
        <f t="shared" si="113"/>
        <v>8878808.0953021422</v>
      </c>
      <c r="U187" s="98">
        <f t="shared" si="114"/>
        <v>41624427.854697861</v>
      </c>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c r="AY187" s="170"/>
      <c r="AZ187" s="170"/>
      <c r="BA187" s="170"/>
      <c r="BB187" s="170"/>
      <c r="BC187" s="170"/>
      <c r="BD187" s="170"/>
      <c r="BE187" s="170"/>
      <c r="BF187" s="170"/>
      <c r="BG187" s="170"/>
      <c r="BH187" s="170"/>
      <c r="BI187" s="170"/>
      <c r="BJ187" s="170"/>
      <c r="BK187" s="170"/>
      <c r="BL187" s="170"/>
      <c r="BM187" s="170"/>
      <c r="BN187" s="170"/>
      <c r="BO187" s="170"/>
      <c r="BP187" s="170"/>
      <c r="BQ187" s="170"/>
      <c r="BR187" s="170"/>
      <c r="BS187" s="170"/>
      <c r="BT187" s="170"/>
      <c r="BU187" s="170"/>
      <c r="BV187" s="170"/>
      <c r="BW187" s="170"/>
      <c r="BX187" s="170"/>
      <c r="BY187" s="170"/>
      <c r="BZ187" s="170"/>
    </row>
    <row r="188" spans="1:78" x14ac:dyDescent="0.2">
      <c r="A188" s="84">
        <f t="shared" si="98"/>
        <v>2032</v>
      </c>
      <c r="B188" s="261">
        <f t="shared" si="97"/>
        <v>16018</v>
      </c>
      <c r="C188" s="98">
        <f t="shared" si="95"/>
        <v>2723</v>
      </c>
      <c r="D188" s="261">
        <f t="shared" si="96"/>
        <v>13295</v>
      </c>
      <c r="E188" s="98">
        <f t="shared" si="99"/>
        <v>7382</v>
      </c>
      <c r="F188" s="261">
        <f t="shared" si="100"/>
        <v>11163</v>
      </c>
      <c r="G188" s="98">
        <f t="shared" si="101"/>
        <v>3261</v>
      </c>
      <c r="H188" s="261">
        <f t="shared" si="102"/>
        <v>15284</v>
      </c>
      <c r="I188" s="98">
        <f t="shared" si="115"/>
        <v>3737.5333333333333</v>
      </c>
      <c r="J188" s="261">
        <f t="shared" si="103"/>
        <v>3336.2893846153847</v>
      </c>
      <c r="K188" s="98">
        <f t="shared" si="104"/>
        <v>635.38066666666668</v>
      </c>
      <c r="L188" s="261">
        <f t="shared" si="105"/>
        <v>3102.1526666666668</v>
      </c>
      <c r="M188" s="98">
        <f t="shared" si="106"/>
        <v>586.66161678246272</v>
      </c>
      <c r="N188" s="261">
        <f t="shared" si="107"/>
        <v>2749.627767832922</v>
      </c>
      <c r="O188" s="98">
        <f t="shared" si="108"/>
        <v>48234202.5</v>
      </c>
      <c r="P188" s="261">
        <f t="shared" si="109"/>
        <v>29540088.75</v>
      </c>
      <c r="Q188" s="98">
        <f t="shared" si="110"/>
        <v>21770994.399999999</v>
      </c>
      <c r="R188" s="261">
        <f t="shared" si="111"/>
        <v>8199814.4250000007</v>
      </c>
      <c r="S188" s="98">
        <f t="shared" si="112"/>
        <v>40034388.075000003</v>
      </c>
      <c r="T188" s="261">
        <f t="shared" si="113"/>
        <v>9022671.4560339712</v>
      </c>
      <c r="U188" s="98">
        <f t="shared" si="114"/>
        <v>42288411.693966031</v>
      </c>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c r="AY188" s="170"/>
      <c r="AZ188" s="170"/>
      <c r="BA188" s="170"/>
      <c r="BB188" s="170"/>
      <c r="BC188" s="170"/>
      <c r="BD188" s="170"/>
      <c r="BE188" s="170"/>
      <c r="BF188" s="170"/>
      <c r="BG188" s="170"/>
      <c r="BH188" s="170"/>
      <c r="BI188" s="170"/>
      <c r="BJ188" s="170"/>
      <c r="BK188" s="170"/>
      <c r="BL188" s="170"/>
      <c r="BM188" s="170"/>
      <c r="BN188" s="170"/>
      <c r="BO188" s="170"/>
      <c r="BP188" s="170"/>
      <c r="BQ188" s="170"/>
      <c r="BR188" s="170"/>
      <c r="BS188" s="170"/>
      <c r="BT188" s="170"/>
      <c r="BU188" s="170"/>
      <c r="BV188" s="170"/>
      <c r="BW188" s="170"/>
      <c r="BX188" s="170"/>
      <c r="BY188" s="170"/>
      <c r="BZ188" s="170"/>
    </row>
    <row r="189" spans="1:78" x14ac:dyDescent="0.2">
      <c r="A189" s="84">
        <f t="shared" si="98"/>
        <v>2033</v>
      </c>
      <c r="B189" s="261">
        <f t="shared" si="97"/>
        <v>16274</v>
      </c>
      <c r="C189" s="98">
        <f t="shared" si="95"/>
        <v>2767</v>
      </c>
      <c r="D189" s="261">
        <f t="shared" si="96"/>
        <v>13507</v>
      </c>
      <c r="E189" s="98">
        <f t="shared" si="99"/>
        <v>7501</v>
      </c>
      <c r="F189" s="261">
        <f t="shared" si="100"/>
        <v>11341</v>
      </c>
      <c r="G189" s="98">
        <f t="shared" si="101"/>
        <v>3313</v>
      </c>
      <c r="H189" s="261">
        <f t="shared" si="102"/>
        <v>15529</v>
      </c>
      <c r="I189" s="98">
        <f t="shared" si="115"/>
        <v>3797.2666666666669</v>
      </c>
      <c r="J189" s="261">
        <f t="shared" si="103"/>
        <v>3389.6486666666665</v>
      </c>
      <c r="K189" s="98">
        <f t="shared" si="104"/>
        <v>645.53533333333337</v>
      </c>
      <c r="L189" s="261">
        <f t="shared" si="105"/>
        <v>3151.7313333333336</v>
      </c>
      <c r="M189" s="98">
        <f t="shared" si="106"/>
        <v>596.0039291299579</v>
      </c>
      <c r="N189" s="261">
        <f t="shared" si="107"/>
        <v>2793.6447375367088</v>
      </c>
      <c r="O189" s="98">
        <f t="shared" si="108"/>
        <v>49005082.5</v>
      </c>
      <c r="P189" s="261">
        <f t="shared" si="109"/>
        <v>30011121.25</v>
      </c>
      <c r="Q189" s="98">
        <f t="shared" si="110"/>
        <v>22121949.199999999</v>
      </c>
      <c r="R189" s="261">
        <f t="shared" si="111"/>
        <v>8330864.0250000004</v>
      </c>
      <c r="S189" s="98">
        <f t="shared" si="112"/>
        <v>40674218.475000001</v>
      </c>
      <c r="T189" s="261">
        <f t="shared" si="113"/>
        <v>9166588.5999814253</v>
      </c>
      <c r="U189" s="98">
        <f t="shared" si="114"/>
        <v>42966481.850018576</v>
      </c>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c r="AY189" s="170"/>
      <c r="AZ189" s="170"/>
      <c r="BA189" s="170"/>
      <c r="BB189" s="170"/>
      <c r="BC189" s="170"/>
      <c r="BD189" s="170"/>
      <c r="BE189" s="170"/>
      <c r="BF189" s="170"/>
      <c r="BG189" s="170"/>
      <c r="BH189" s="170"/>
      <c r="BI189" s="170"/>
      <c r="BJ189" s="170"/>
      <c r="BK189" s="170"/>
      <c r="BL189" s="170"/>
      <c r="BM189" s="170"/>
      <c r="BN189" s="170"/>
      <c r="BO189" s="170"/>
      <c r="BP189" s="170"/>
      <c r="BQ189" s="170"/>
      <c r="BR189" s="170"/>
      <c r="BS189" s="170"/>
      <c r="BT189" s="170"/>
      <c r="BU189" s="170"/>
      <c r="BV189" s="170"/>
      <c r="BW189" s="170"/>
      <c r="BX189" s="170"/>
      <c r="BY189" s="170"/>
      <c r="BZ189" s="170"/>
    </row>
    <row r="190" spans="1:78" x14ac:dyDescent="0.2">
      <c r="A190" s="84">
        <f t="shared" si="98"/>
        <v>2034</v>
      </c>
      <c r="B190" s="261">
        <f t="shared" si="97"/>
        <v>16534</v>
      </c>
      <c r="C190" s="98">
        <f t="shared" si="95"/>
        <v>2811</v>
      </c>
      <c r="D190" s="261">
        <f t="shared" si="96"/>
        <v>13723</v>
      </c>
      <c r="E190" s="98">
        <f t="shared" si="99"/>
        <v>7621</v>
      </c>
      <c r="F190" s="261">
        <f t="shared" si="100"/>
        <v>11523</v>
      </c>
      <c r="G190" s="98">
        <f t="shared" si="101"/>
        <v>3366</v>
      </c>
      <c r="H190" s="261">
        <f t="shared" si="102"/>
        <v>15778</v>
      </c>
      <c r="I190" s="98">
        <f t="shared" si="115"/>
        <v>3857.9333333333334</v>
      </c>
      <c r="J190" s="261">
        <f t="shared" si="103"/>
        <v>3443.9989230769233</v>
      </c>
      <c r="K190" s="98">
        <f t="shared" si="104"/>
        <v>655.84866666666676</v>
      </c>
      <c r="L190" s="261">
        <f t="shared" si="105"/>
        <v>3202.0846666666666</v>
      </c>
      <c r="M190" s="98">
        <f t="shared" si="106"/>
        <v>605.54222602783761</v>
      </c>
      <c r="N190" s="261">
        <f t="shared" si="107"/>
        <v>2838.456697049086</v>
      </c>
      <c r="O190" s="98">
        <f t="shared" si="108"/>
        <v>49788007.5</v>
      </c>
      <c r="P190" s="261">
        <f t="shared" si="109"/>
        <v>30492738.75</v>
      </c>
      <c r="Q190" s="98">
        <f t="shared" si="110"/>
        <v>22475853.199999999</v>
      </c>
      <c r="R190" s="261">
        <f t="shared" si="111"/>
        <v>8463961.2750000004</v>
      </c>
      <c r="S190" s="98">
        <f t="shared" si="112"/>
        <v>41324046.225000001</v>
      </c>
      <c r="T190" s="261">
        <f t="shared" si="113"/>
        <v>9313219.8340837862</v>
      </c>
      <c r="U190" s="98">
        <f t="shared" si="114"/>
        <v>43655372.115916215</v>
      </c>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c r="AQ190" s="170"/>
      <c r="AR190" s="170"/>
      <c r="AS190" s="170"/>
      <c r="AT190" s="170"/>
      <c r="AU190" s="170"/>
      <c r="AV190" s="170"/>
      <c r="AW190" s="170"/>
      <c r="AX190" s="170"/>
      <c r="AY190" s="170"/>
      <c r="AZ190" s="170"/>
      <c r="BA190" s="170"/>
      <c r="BB190" s="170"/>
      <c r="BC190" s="170"/>
      <c r="BD190" s="170"/>
      <c r="BE190" s="170"/>
      <c r="BF190" s="170"/>
      <c r="BG190" s="170"/>
      <c r="BH190" s="170"/>
      <c r="BI190" s="170"/>
      <c r="BJ190" s="170"/>
      <c r="BK190" s="170"/>
      <c r="BL190" s="170"/>
      <c r="BM190" s="170"/>
      <c r="BN190" s="170"/>
      <c r="BO190" s="170"/>
      <c r="BP190" s="170"/>
      <c r="BQ190" s="170"/>
      <c r="BR190" s="170"/>
      <c r="BS190" s="170"/>
      <c r="BT190" s="170"/>
      <c r="BU190" s="170"/>
      <c r="BV190" s="170"/>
      <c r="BW190" s="170"/>
      <c r="BX190" s="170"/>
      <c r="BY190" s="170"/>
      <c r="BZ190" s="170"/>
    </row>
    <row r="191" spans="1:78" x14ac:dyDescent="0.2">
      <c r="A191" s="84">
        <f t="shared" si="98"/>
        <v>2035</v>
      </c>
      <c r="B191" s="261">
        <f t="shared" si="97"/>
        <v>16799</v>
      </c>
      <c r="C191" s="98">
        <f t="shared" si="95"/>
        <v>2856</v>
      </c>
      <c r="D191" s="261">
        <f t="shared" si="96"/>
        <v>13943</v>
      </c>
      <c r="E191" s="98">
        <f t="shared" si="99"/>
        <v>7742</v>
      </c>
      <c r="F191" s="261">
        <f t="shared" si="100"/>
        <v>11707</v>
      </c>
      <c r="G191" s="98">
        <f t="shared" si="101"/>
        <v>3420</v>
      </c>
      <c r="H191" s="261">
        <f t="shared" si="102"/>
        <v>16029</v>
      </c>
      <c r="I191" s="98">
        <f t="shared" si="115"/>
        <v>3919.7666666666669</v>
      </c>
      <c r="J191" s="261">
        <f t="shared" si="103"/>
        <v>3498.9068205128206</v>
      </c>
      <c r="K191" s="98">
        <f t="shared" si="104"/>
        <v>666.36033333333341</v>
      </c>
      <c r="L191" s="261">
        <f t="shared" si="105"/>
        <v>3253.4063333333334</v>
      </c>
      <c r="M191" s="98">
        <f t="shared" si="106"/>
        <v>615.2635778782377</v>
      </c>
      <c r="N191" s="261">
        <f t="shared" si="107"/>
        <v>2883.6432426345827</v>
      </c>
      <c r="O191" s="98">
        <f t="shared" si="108"/>
        <v>50585988.75</v>
      </c>
      <c r="P191" s="261">
        <f t="shared" si="109"/>
        <v>30979648.75</v>
      </c>
      <c r="Q191" s="98">
        <f t="shared" si="110"/>
        <v>22832706.399999999</v>
      </c>
      <c r="R191" s="261">
        <f t="shared" si="111"/>
        <v>8599618.0875000004</v>
      </c>
      <c r="S191" s="98">
        <f t="shared" si="112"/>
        <v>41986370.662500001</v>
      </c>
      <c r="T191" s="261">
        <f t="shared" si="113"/>
        <v>9462607.5691809338</v>
      </c>
      <c r="U191" s="98">
        <f t="shared" si="114"/>
        <v>44349747.580819063</v>
      </c>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0"/>
      <c r="AT191" s="170"/>
      <c r="AU191" s="170"/>
      <c r="AV191" s="170"/>
      <c r="AW191" s="170"/>
      <c r="AX191" s="170"/>
      <c r="AY191" s="170"/>
      <c r="AZ191" s="170"/>
      <c r="BA191" s="170"/>
      <c r="BB191" s="170"/>
      <c r="BC191" s="170"/>
      <c r="BD191" s="170"/>
      <c r="BE191" s="170"/>
      <c r="BF191" s="170"/>
      <c r="BG191" s="170"/>
      <c r="BH191" s="170"/>
      <c r="BI191" s="170"/>
      <c r="BJ191" s="170"/>
      <c r="BK191" s="170"/>
      <c r="BL191" s="170"/>
      <c r="BM191" s="170"/>
      <c r="BN191" s="170"/>
      <c r="BO191" s="170"/>
      <c r="BP191" s="170"/>
      <c r="BQ191" s="170"/>
      <c r="BR191" s="170"/>
      <c r="BS191" s="170"/>
      <c r="BT191" s="170"/>
      <c r="BU191" s="170"/>
      <c r="BV191" s="170"/>
      <c r="BW191" s="170"/>
      <c r="BX191" s="170"/>
      <c r="BY191" s="170"/>
      <c r="BZ191" s="170"/>
    </row>
    <row r="192" spans="1:78" x14ac:dyDescent="0.2">
      <c r="A192" s="84">
        <f t="shared" si="98"/>
        <v>2036</v>
      </c>
      <c r="B192" s="261">
        <f t="shared" si="97"/>
        <v>17068</v>
      </c>
      <c r="C192" s="98">
        <f t="shared" si="95"/>
        <v>2902</v>
      </c>
      <c r="D192" s="261">
        <f t="shared" si="96"/>
        <v>14166</v>
      </c>
      <c r="E192" s="98">
        <f t="shared" si="99"/>
        <v>7866</v>
      </c>
      <c r="F192" s="261">
        <f t="shared" si="100"/>
        <v>11894</v>
      </c>
      <c r="G192" s="98">
        <f t="shared" si="101"/>
        <v>3474</v>
      </c>
      <c r="H192" s="261">
        <f t="shared" si="102"/>
        <v>16286</v>
      </c>
      <c r="I192" s="98">
        <f t="shared" si="115"/>
        <v>3982.5333333333333</v>
      </c>
      <c r="J192" s="261">
        <f t="shared" si="103"/>
        <v>3554.837641025641</v>
      </c>
      <c r="K192" s="98">
        <f t="shared" si="104"/>
        <v>677.03066666666666</v>
      </c>
      <c r="L192" s="261">
        <f t="shared" si="105"/>
        <v>3305.5026666666668</v>
      </c>
      <c r="M192" s="98">
        <f t="shared" si="106"/>
        <v>624.97499822485213</v>
      </c>
      <c r="N192" s="261">
        <f t="shared" si="107"/>
        <v>2929.8626428007888</v>
      </c>
      <c r="O192" s="98">
        <f t="shared" si="108"/>
        <v>51396015</v>
      </c>
      <c r="P192" s="261">
        <f t="shared" si="109"/>
        <v>31474497.5</v>
      </c>
      <c r="Q192" s="98">
        <f t="shared" si="110"/>
        <v>23198407.199999999</v>
      </c>
      <c r="R192" s="261">
        <f t="shared" si="111"/>
        <v>8737322.5500000007</v>
      </c>
      <c r="S192" s="98">
        <f t="shared" si="112"/>
        <v>42658692.450000003</v>
      </c>
      <c r="T192" s="261">
        <f t="shared" si="113"/>
        <v>9612027.8809615392</v>
      </c>
      <c r="U192" s="98">
        <f t="shared" si="114"/>
        <v>45060876.819038466</v>
      </c>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0"/>
      <c r="AT192" s="170"/>
      <c r="AU192" s="170"/>
      <c r="AV192" s="170"/>
      <c r="AW192" s="170"/>
      <c r="AX192" s="170"/>
      <c r="AY192" s="170"/>
      <c r="AZ192" s="170"/>
      <c r="BA192" s="170"/>
      <c r="BB192" s="170"/>
      <c r="BC192" s="170"/>
      <c r="BD192" s="170"/>
      <c r="BE192" s="170"/>
      <c r="BF192" s="170"/>
      <c r="BG192" s="170"/>
      <c r="BH192" s="170"/>
      <c r="BI192" s="170"/>
      <c r="BJ192" s="170"/>
      <c r="BK192" s="170"/>
      <c r="BL192" s="170"/>
      <c r="BM192" s="170"/>
      <c r="BN192" s="170"/>
      <c r="BO192" s="170"/>
      <c r="BP192" s="170"/>
      <c r="BQ192" s="170"/>
      <c r="BR192" s="170"/>
      <c r="BS192" s="170"/>
      <c r="BT192" s="170"/>
      <c r="BU192" s="170"/>
      <c r="BV192" s="170"/>
      <c r="BW192" s="170"/>
      <c r="BX192" s="170"/>
      <c r="BY192" s="170"/>
      <c r="BZ192" s="170"/>
    </row>
    <row r="193" spans="1:78" x14ac:dyDescent="0.2">
      <c r="A193" s="84">
        <f t="shared" si="98"/>
        <v>2037</v>
      </c>
      <c r="B193" s="261">
        <f t="shared" si="97"/>
        <v>17341</v>
      </c>
      <c r="C193" s="98">
        <f t="shared" si="95"/>
        <v>2948</v>
      </c>
      <c r="D193" s="261">
        <f t="shared" si="96"/>
        <v>14393</v>
      </c>
      <c r="E193" s="98">
        <f t="shared" si="99"/>
        <v>7992</v>
      </c>
      <c r="F193" s="261">
        <f t="shared" si="100"/>
        <v>12085</v>
      </c>
      <c r="G193" s="98">
        <f t="shared" si="101"/>
        <v>3530</v>
      </c>
      <c r="H193" s="261">
        <f t="shared" si="102"/>
        <v>16547</v>
      </c>
      <c r="I193" s="98">
        <f t="shared" si="115"/>
        <v>4046.2333333333336</v>
      </c>
      <c r="J193" s="261">
        <f t="shared" si="103"/>
        <v>3611.883743589744</v>
      </c>
      <c r="K193" s="98">
        <f t="shared" si="104"/>
        <v>687.85966666666673</v>
      </c>
      <c r="L193" s="261">
        <f t="shared" si="105"/>
        <v>3358.3736666666668</v>
      </c>
      <c r="M193" s="98">
        <f t="shared" si="106"/>
        <v>635.05252850883085</v>
      </c>
      <c r="N193" s="261">
        <f t="shared" si="107"/>
        <v>2976.8312150809134</v>
      </c>
      <c r="O193" s="98">
        <f t="shared" si="108"/>
        <v>52218086.25</v>
      </c>
      <c r="P193" s="261">
        <f t="shared" si="109"/>
        <v>31979931.25</v>
      </c>
      <c r="Q193" s="98">
        <f t="shared" si="110"/>
        <v>23570006.399999999</v>
      </c>
      <c r="R193" s="261">
        <f t="shared" si="111"/>
        <v>8877074.6625000015</v>
      </c>
      <c r="S193" s="98">
        <f t="shared" si="112"/>
        <v>43341011.587499999</v>
      </c>
      <c r="T193" s="261">
        <f t="shared" si="113"/>
        <v>9766961.1946256906</v>
      </c>
      <c r="U193" s="98">
        <f t="shared" si="114"/>
        <v>45782976.455374308</v>
      </c>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c r="AY193" s="170"/>
      <c r="AZ193" s="170"/>
      <c r="BA193" s="170"/>
      <c r="BB193" s="170"/>
      <c r="BC193" s="170"/>
      <c r="BD193" s="170"/>
      <c r="BE193" s="170"/>
      <c r="BF193" s="170"/>
      <c r="BG193" s="170"/>
      <c r="BH193" s="170"/>
      <c r="BI193" s="170"/>
      <c r="BJ193" s="170"/>
      <c r="BK193" s="170"/>
      <c r="BL193" s="170"/>
      <c r="BM193" s="170"/>
      <c r="BN193" s="170"/>
      <c r="BO193" s="170"/>
      <c r="BP193" s="170"/>
      <c r="BQ193" s="170"/>
      <c r="BR193" s="170"/>
      <c r="BS193" s="170"/>
      <c r="BT193" s="170"/>
      <c r="BU193" s="170"/>
      <c r="BV193" s="170"/>
      <c r="BW193" s="170"/>
      <c r="BX193" s="170"/>
      <c r="BY193" s="170"/>
      <c r="BZ193" s="170"/>
    </row>
    <row r="194" spans="1:78" x14ac:dyDescent="0.2">
      <c r="A194" s="84">
        <f t="shared" si="98"/>
        <v>2038</v>
      </c>
      <c r="B194" s="261">
        <f t="shared" si="97"/>
        <v>17618</v>
      </c>
      <c r="C194" s="98">
        <f t="shared" si="95"/>
        <v>2995</v>
      </c>
      <c r="D194" s="261">
        <f t="shared" si="96"/>
        <v>14623</v>
      </c>
      <c r="E194" s="98">
        <f t="shared" si="99"/>
        <v>8120</v>
      </c>
      <c r="F194" s="261">
        <f t="shared" si="100"/>
        <v>12278</v>
      </c>
      <c r="G194" s="98">
        <f t="shared" si="101"/>
        <v>3587</v>
      </c>
      <c r="H194" s="261">
        <f t="shared" si="102"/>
        <v>16811</v>
      </c>
      <c r="I194" s="98">
        <f t="shared" si="115"/>
        <v>4110.8666666666668</v>
      </c>
      <c r="J194" s="261">
        <f t="shared" si="103"/>
        <v>3669.6117948717952</v>
      </c>
      <c r="K194" s="98">
        <f t="shared" si="104"/>
        <v>698.84733333333338</v>
      </c>
      <c r="L194" s="261">
        <f t="shared" si="105"/>
        <v>3412.0193333333336</v>
      </c>
      <c r="M194" s="98">
        <f t="shared" si="106"/>
        <v>645.30333896485581</v>
      </c>
      <c r="N194" s="261">
        <f t="shared" si="107"/>
        <v>3024.3084559069393</v>
      </c>
      <c r="O194" s="98">
        <f t="shared" si="108"/>
        <v>53052202.5</v>
      </c>
      <c r="P194" s="261">
        <f t="shared" si="109"/>
        <v>32490657.5</v>
      </c>
      <c r="Q194" s="98">
        <f t="shared" si="110"/>
        <v>23947504.000000004</v>
      </c>
      <c r="R194" s="261">
        <f t="shared" si="111"/>
        <v>9018874.4250000007</v>
      </c>
      <c r="S194" s="98">
        <f t="shared" si="112"/>
        <v>44033328.075000003</v>
      </c>
      <c r="T194" s="261">
        <f t="shared" si="113"/>
        <v>9924683.071894303</v>
      </c>
      <c r="U194" s="98">
        <f t="shared" si="114"/>
        <v>46513478.428105697</v>
      </c>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0"/>
      <c r="AR194" s="170"/>
      <c r="AS194" s="170"/>
      <c r="AT194" s="170"/>
      <c r="AU194" s="170"/>
      <c r="AV194" s="170"/>
      <c r="AW194" s="170"/>
      <c r="AX194" s="170"/>
      <c r="AY194" s="170"/>
      <c r="AZ194" s="170"/>
      <c r="BA194" s="170"/>
      <c r="BB194" s="170"/>
      <c r="BC194" s="170"/>
      <c r="BD194" s="170"/>
      <c r="BE194" s="170"/>
      <c r="BF194" s="170"/>
      <c r="BG194" s="170"/>
      <c r="BH194" s="170"/>
      <c r="BI194" s="170"/>
      <c r="BJ194" s="170"/>
      <c r="BK194" s="170"/>
      <c r="BL194" s="170"/>
      <c r="BM194" s="170"/>
      <c r="BN194" s="170"/>
      <c r="BO194" s="170"/>
      <c r="BP194" s="170"/>
      <c r="BQ194" s="170"/>
      <c r="BR194" s="170"/>
      <c r="BS194" s="170"/>
      <c r="BT194" s="170"/>
      <c r="BU194" s="170"/>
      <c r="BV194" s="170"/>
      <c r="BW194" s="170"/>
      <c r="BX194" s="170"/>
      <c r="BY194" s="170"/>
      <c r="BZ194" s="170"/>
    </row>
    <row r="195" spans="1:78" x14ac:dyDescent="0.2">
      <c r="A195" s="84">
        <f t="shared" si="98"/>
        <v>2039</v>
      </c>
      <c r="B195" s="261">
        <f t="shared" si="97"/>
        <v>17900</v>
      </c>
      <c r="C195" s="98">
        <f t="shared" si="95"/>
        <v>3043</v>
      </c>
      <c r="D195" s="261">
        <f t="shared" si="96"/>
        <v>14857</v>
      </c>
      <c r="E195" s="98">
        <f t="shared" si="99"/>
        <v>8250</v>
      </c>
      <c r="F195" s="261">
        <f t="shared" si="100"/>
        <v>12475</v>
      </c>
      <c r="G195" s="98">
        <f t="shared" si="101"/>
        <v>3644</v>
      </c>
      <c r="H195" s="261">
        <f t="shared" si="102"/>
        <v>17081</v>
      </c>
      <c r="I195" s="98">
        <f t="shared" si="115"/>
        <v>4176.666666666667</v>
      </c>
      <c r="J195" s="261">
        <f t="shared" si="103"/>
        <v>3728.4551282051284</v>
      </c>
      <c r="K195" s="98">
        <f t="shared" si="104"/>
        <v>710.03333333333342</v>
      </c>
      <c r="L195" s="261">
        <f t="shared" si="105"/>
        <v>3466.6333333333337</v>
      </c>
      <c r="M195" s="98">
        <f t="shared" si="106"/>
        <v>655.56045776499343</v>
      </c>
      <c r="N195" s="261">
        <f t="shared" si="107"/>
        <v>3072.8946704401351</v>
      </c>
      <c r="O195" s="98">
        <f t="shared" si="108"/>
        <v>53901375</v>
      </c>
      <c r="P195" s="261">
        <f t="shared" si="109"/>
        <v>33011968.75</v>
      </c>
      <c r="Q195" s="98">
        <f t="shared" si="110"/>
        <v>24330900</v>
      </c>
      <c r="R195" s="261">
        <f t="shared" si="111"/>
        <v>9163233.75</v>
      </c>
      <c r="S195" s="98">
        <f t="shared" si="112"/>
        <v>44738141.25</v>
      </c>
      <c r="T195" s="261">
        <f t="shared" si="113"/>
        <v>10082384.256936068</v>
      </c>
      <c r="U195" s="98">
        <f t="shared" si="114"/>
        <v>47260484.493063934</v>
      </c>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0"/>
      <c r="AR195" s="170"/>
      <c r="AS195" s="170"/>
      <c r="AT195" s="170"/>
      <c r="AU195" s="170"/>
      <c r="AV195" s="170"/>
      <c r="AW195" s="170"/>
      <c r="AX195" s="170"/>
      <c r="AY195" s="170"/>
      <c r="AZ195" s="170"/>
      <c r="BA195" s="170"/>
      <c r="BB195" s="170"/>
      <c r="BC195" s="170"/>
      <c r="BD195" s="170"/>
      <c r="BE195" s="170"/>
      <c r="BF195" s="170"/>
      <c r="BG195" s="170"/>
      <c r="BH195" s="170"/>
      <c r="BI195" s="170"/>
      <c r="BJ195" s="170"/>
      <c r="BK195" s="170"/>
      <c r="BL195" s="170"/>
      <c r="BM195" s="170"/>
      <c r="BN195" s="170"/>
      <c r="BO195" s="170"/>
      <c r="BP195" s="170"/>
      <c r="BQ195" s="170"/>
      <c r="BR195" s="170"/>
      <c r="BS195" s="170"/>
      <c r="BT195" s="170"/>
      <c r="BU195" s="170"/>
      <c r="BV195" s="170"/>
      <c r="BW195" s="170"/>
      <c r="BX195" s="170"/>
      <c r="BY195" s="170"/>
      <c r="BZ195" s="170"/>
    </row>
    <row r="196" spans="1:78" x14ac:dyDescent="0.2">
      <c r="A196" s="84">
        <f t="shared" si="98"/>
        <v>2040</v>
      </c>
      <c r="B196" s="261">
        <f t="shared" si="97"/>
        <v>18186</v>
      </c>
      <c r="C196" s="98">
        <f t="shared" si="95"/>
        <v>3092</v>
      </c>
      <c r="D196" s="261">
        <f>B196-C196</f>
        <v>15094</v>
      </c>
      <c r="E196" s="98">
        <f>ROUND($E$197*(1+$B$243)^(A196-$A$197),0)</f>
        <v>8382</v>
      </c>
      <c r="F196" s="261">
        <f t="shared" si="100"/>
        <v>12674</v>
      </c>
      <c r="G196" s="98">
        <f t="shared" si="101"/>
        <v>3702</v>
      </c>
      <c r="H196" s="261">
        <f t="shared" si="102"/>
        <v>17354</v>
      </c>
      <c r="I196" s="98">
        <f t="shared" si="115"/>
        <v>4243.3999999999996</v>
      </c>
      <c r="J196" s="261">
        <f t="shared" si="103"/>
        <v>3787.9804102564103</v>
      </c>
      <c r="K196" s="98">
        <f t="shared" si="104"/>
        <v>721.37800000000004</v>
      </c>
      <c r="L196" s="261">
        <f t="shared" si="105"/>
        <v>3522.0219999999995</v>
      </c>
      <c r="M196" s="98">
        <f t="shared" si="106"/>
        <v>665.99085670446584</v>
      </c>
      <c r="N196" s="261">
        <f t="shared" si="107"/>
        <v>3121.9895535519445</v>
      </c>
      <c r="O196" s="98">
        <f t="shared" si="108"/>
        <v>54762592.5</v>
      </c>
      <c r="P196" s="261">
        <f t="shared" si="109"/>
        <v>33538572.5</v>
      </c>
      <c r="Q196" s="98">
        <f t="shared" si="110"/>
        <v>24720194.399999999</v>
      </c>
      <c r="R196" s="261">
        <f t="shared" si="111"/>
        <v>9309640.7250000015</v>
      </c>
      <c r="S196" s="98">
        <f t="shared" si="112"/>
        <v>45452951.774999999</v>
      </c>
      <c r="T196" s="261">
        <f t="shared" si="113"/>
        <v>10242874.005689589</v>
      </c>
      <c r="U196" s="98">
        <f t="shared" si="114"/>
        <v>48015892.894310407</v>
      </c>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c r="AQ196" s="170"/>
      <c r="AR196" s="170"/>
      <c r="AS196" s="170"/>
      <c r="AT196" s="170"/>
      <c r="AU196" s="170"/>
      <c r="AV196" s="170"/>
      <c r="AW196" s="170"/>
      <c r="AX196" s="170"/>
      <c r="AY196" s="170"/>
      <c r="AZ196" s="170"/>
      <c r="BA196" s="170"/>
      <c r="BB196" s="170"/>
      <c r="BC196" s="170"/>
      <c r="BD196" s="170"/>
      <c r="BE196" s="170"/>
      <c r="BF196" s="170"/>
      <c r="BG196" s="170"/>
      <c r="BH196" s="170"/>
      <c r="BI196" s="170"/>
      <c r="BJ196" s="170"/>
      <c r="BK196" s="170"/>
      <c r="BL196" s="170"/>
      <c r="BM196" s="170"/>
      <c r="BN196" s="170"/>
      <c r="BO196" s="170"/>
      <c r="BP196" s="170"/>
      <c r="BQ196" s="170"/>
      <c r="BR196" s="170"/>
      <c r="BS196" s="170"/>
      <c r="BT196" s="170"/>
      <c r="BU196" s="170"/>
      <c r="BV196" s="170"/>
      <c r="BW196" s="170"/>
      <c r="BX196" s="170"/>
      <c r="BY196" s="170"/>
      <c r="BZ196" s="170"/>
    </row>
    <row r="197" spans="1:78" x14ac:dyDescent="0.2">
      <c r="A197" s="84">
        <f t="shared" si="98"/>
        <v>2041</v>
      </c>
      <c r="B197" s="261">
        <f t="shared" ref="B197:B212" si="116">ROUND($B$196*(1+$B$244)^(A197-$A$196),0)</f>
        <v>18350</v>
      </c>
      <c r="C197" s="98">
        <f t="shared" si="95"/>
        <v>3120</v>
      </c>
      <c r="D197" s="261">
        <f t="shared" si="96"/>
        <v>15230</v>
      </c>
      <c r="E197" s="98">
        <f t="shared" ref="E197:E210" si="117">ROUND($E$211*(1+$B$244)^(A197-$A$211),0)</f>
        <v>8516</v>
      </c>
      <c r="F197" s="261">
        <f t="shared" ref="F197:F210" si="118">ROUND($F$211*(1+$B$244)^(A197-$A$211),0)</f>
        <v>12877</v>
      </c>
      <c r="G197" s="98">
        <f t="shared" si="101"/>
        <v>3761</v>
      </c>
      <c r="H197" s="261">
        <f>(E197+F197)-G197</f>
        <v>17632</v>
      </c>
      <c r="I197" s="98">
        <f t="shared" si="115"/>
        <v>4281.666666666667</v>
      </c>
      <c r="J197" s="261">
        <f t="shared" si="103"/>
        <v>3848.6209743589743</v>
      </c>
      <c r="K197" s="98">
        <f t="shared" si="104"/>
        <v>727.88333333333344</v>
      </c>
      <c r="L197" s="261">
        <f>$I197-K197</f>
        <v>3553.7833333333338</v>
      </c>
      <c r="M197" s="98">
        <f>$J197*($G197/($E197+F197))</f>
        <v>676.60746433712438</v>
      </c>
      <c r="N197" s="261">
        <f>$J197-M197</f>
        <v>3172.0135100218499</v>
      </c>
      <c r="O197" s="98">
        <f t="shared" si="108"/>
        <v>55256437.5</v>
      </c>
      <c r="P197" s="261">
        <f t="shared" si="109"/>
        <v>34075761.25</v>
      </c>
      <c r="Q197" s="98">
        <f t="shared" si="110"/>
        <v>25115387.199999999</v>
      </c>
      <c r="R197" s="261">
        <f t="shared" si="111"/>
        <v>9393594.375</v>
      </c>
      <c r="S197" s="98">
        <f>$O197-R197</f>
        <v>45862843.125</v>
      </c>
      <c r="T197" s="261">
        <f t="shared" si="113"/>
        <v>10406109.910739494</v>
      </c>
      <c r="U197" s="98">
        <f t="shared" si="114"/>
        <v>48785038.539260507</v>
      </c>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0"/>
      <c r="AT197" s="170"/>
      <c r="AU197" s="170"/>
      <c r="AV197" s="170"/>
      <c r="AW197" s="170"/>
      <c r="AX197" s="170"/>
      <c r="AY197" s="170"/>
      <c r="AZ197" s="170"/>
      <c r="BA197" s="170"/>
      <c r="BB197" s="170"/>
      <c r="BC197" s="170"/>
      <c r="BD197" s="170"/>
      <c r="BE197" s="170"/>
      <c r="BF197" s="170"/>
      <c r="BG197" s="170"/>
      <c r="BH197" s="170"/>
      <c r="BI197" s="170"/>
      <c r="BJ197" s="170"/>
      <c r="BK197" s="170"/>
      <c r="BL197" s="170"/>
      <c r="BM197" s="170"/>
      <c r="BN197" s="170"/>
      <c r="BO197" s="170"/>
      <c r="BP197" s="170"/>
      <c r="BQ197" s="170"/>
      <c r="BR197" s="170"/>
      <c r="BS197" s="170"/>
      <c r="BT197" s="170"/>
      <c r="BU197" s="170"/>
      <c r="BV197" s="170"/>
      <c r="BW197" s="170"/>
      <c r="BX197" s="170"/>
      <c r="BY197" s="170"/>
      <c r="BZ197" s="170"/>
    </row>
    <row r="198" spans="1:78" x14ac:dyDescent="0.2">
      <c r="A198" s="84">
        <f t="shared" si="98"/>
        <v>2042</v>
      </c>
      <c r="B198" s="261">
        <f t="shared" si="116"/>
        <v>18515</v>
      </c>
      <c r="C198" s="98">
        <f t="shared" si="95"/>
        <v>3148</v>
      </c>
      <c r="D198" s="261">
        <f t="shared" si="96"/>
        <v>15367</v>
      </c>
      <c r="E198" s="98">
        <f t="shared" si="117"/>
        <v>8592</v>
      </c>
      <c r="F198" s="261">
        <f t="shared" si="118"/>
        <v>12993</v>
      </c>
      <c r="G198" s="98">
        <f t="shared" si="101"/>
        <v>3795</v>
      </c>
      <c r="H198" s="261">
        <f t="shared" si="102"/>
        <v>17790</v>
      </c>
      <c r="I198" s="98">
        <f t="shared" si="115"/>
        <v>4320.166666666667</v>
      </c>
      <c r="J198" s="261">
        <f t="shared" si="103"/>
        <v>3883.2016923076926</v>
      </c>
      <c r="K198" s="98">
        <f t="shared" si="104"/>
        <v>734.4283333333334</v>
      </c>
      <c r="L198" s="261">
        <f t="shared" si="105"/>
        <v>3585.7383333333337</v>
      </c>
      <c r="M198" s="98">
        <f t="shared" si="106"/>
        <v>682.73108280322879</v>
      </c>
      <c r="N198" s="261">
        <f t="shared" si="107"/>
        <v>3200.4706095044639</v>
      </c>
      <c r="O198" s="98">
        <f t="shared" si="108"/>
        <v>55753293.75</v>
      </c>
      <c r="P198" s="261">
        <f t="shared" si="109"/>
        <v>34382726.25</v>
      </c>
      <c r="Q198" s="98">
        <f t="shared" si="110"/>
        <v>25339526.399999999</v>
      </c>
      <c r="R198" s="261">
        <f t="shared" si="111"/>
        <v>9478059.9375</v>
      </c>
      <c r="S198" s="98">
        <f t="shared" si="112"/>
        <v>46275233.8125</v>
      </c>
      <c r="T198" s="261">
        <f t="shared" si="113"/>
        <v>10500159.777936066</v>
      </c>
      <c r="U198" s="98">
        <f t="shared" si="114"/>
        <v>49222092.872063935</v>
      </c>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0"/>
      <c r="AT198" s="170"/>
      <c r="AU198" s="170"/>
      <c r="AV198" s="170"/>
      <c r="AW198" s="170"/>
      <c r="AX198" s="170"/>
      <c r="AY198" s="170"/>
      <c r="AZ198" s="170"/>
      <c r="BA198" s="170"/>
      <c r="BB198" s="170"/>
      <c r="BC198" s="170"/>
      <c r="BD198" s="170"/>
      <c r="BE198" s="170"/>
      <c r="BF198" s="170"/>
      <c r="BG198" s="170"/>
      <c r="BH198" s="170"/>
      <c r="BI198" s="170"/>
      <c r="BJ198" s="170"/>
      <c r="BK198" s="170"/>
      <c r="BL198" s="170"/>
      <c r="BM198" s="170"/>
      <c r="BN198" s="170"/>
      <c r="BO198" s="170"/>
      <c r="BP198" s="170"/>
      <c r="BQ198" s="170"/>
      <c r="BR198" s="170"/>
      <c r="BS198" s="170"/>
      <c r="BT198" s="170"/>
      <c r="BU198" s="170"/>
      <c r="BV198" s="170"/>
      <c r="BW198" s="170"/>
      <c r="BX198" s="170"/>
      <c r="BY198" s="170"/>
      <c r="BZ198" s="170"/>
    </row>
    <row r="199" spans="1:78" x14ac:dyDescent="0.2">
      <c r="A199" s="84">
        <f t="shared" si="98"/>
        <v>2043</v>
      </c>
      <c r="B199" s="261">
        <f t="shared" si="116"/>
        <v>18681</v>
      </c>
      <c r="C199" s="98">
        <f t="shared" si="95"/>
        <v>3176</v>
      </c>
      <c r="D199" s="261">
        <f t="shared" si="96"/>
        <v>15505</v>
      </c>
      <c r="E199" s="98">
        <f t="shared" si="117"/>
        <v>8670</v>
      </c>
      <c r="F199" s="261">
        <f t="shared" si="118"/>
        <v>13110</v>
      </c>
      <c r="G199" s="98">
        <f t="shared" si="101"/>
        <v>3830</v>
      </c>
      <c r="H199" s="261">
        <f t="shared" si="102"/>
        <v>17950</v>
      </c>
      <c r="I199" s="98">
        <f t="shared" si="115"/>
        <v>4358.8999999999996</v>
      </c>
      <c r="J199" s="261">
        <f t="shared" si="103"/>
        <v>3918.247692307692</v>
      </c>
      <c r="K199" s="98">
        <f t="shared" si="104"/>
        <v>741.01300000000003</v>
      </c>
      <c r="L199" s="261">
        <f t="shared" si="105"/>
        <v>3617.8869999999997</v>
      </c>
      <c r="M199" s="98">
        <f t="shared" si="106"/>
        <v>689.02151797697252</v>
      </c>
      <c r="N199" s="261">
        <f t="shared" si="107"/>
        <v>3229.2261743307195</v>
      </c>
      <c r="O199" s="98">
        <f t="shared" si="108"/>
        <v>56253161.25</v>
      </c>
      <c r="P199" s="261">
        <f t="shared" si="109"/>
        <v>34692337.5</v>
      </c>
      <c r="Q199" s="98">
        <f t="shared" si="110"/>
        <v>25569564.000000004</v>
      </c>
      <c r="R199" s="261">
        <f t="shared" si="111"/>
        <v>9563037.4125000015</v>
      </c>
      <c r="S199" s="98">
        <f t="shared" si="112"/>
        <v>46690123.837499999</v>
      </c>
      <c r="T199" s="261">
        <f t="shared" si="113"/>
        <v>10597019.409779616</v>
      </c>
      <c r="U199" s="98">
        <f t="shared" si="114"/>
        <v>49664882.090220384</v>
      </c>
      <c r="V199" s="170"/>
      <c r="W199" s="170"/>
      <c r="X199" s="170"/>
      <c r="Y199" s="170"/>
      <c r="Z199" s="170"/>
      <c r="AA199" s="170"/>
      <c r="AB199" s="170"/>
      <c r="AC199" s="170"/>
      <c r="AD199" s="170"/>
      <c r="AE199" s="170"/>
      <c r="AF199" s="170"/>
      <c r="AG199" s="170"/>
      <c r="AH199" s="170"/>
      <c r="AI199" s="170"/>
      <c r="AJ199" s="170"/>
      <c r="AK199" s="170"/>
      <c r="AL199" s="170"/>
      <c r="AM199" s="170"/>
      <c r="AN199" s="170"/>
      <c r="AO199" s="170"/>
      <c r="AP199" s="170"/>
      <c r="AQ199" s="170"/>
      <c r="AR199" s="170"/>
      <c r="AS199" s="170"/>
      <c r="AT199" s="170"/>
      <c r="AU199" s="170"/>
      <c r="AV199" s="170"/>
      <c r="AW199" s="170"/>
      <c r="AX199" s="170"/>
      <c r="AY199" s="170"/>
      <c r="AZ199" s="170"/>
      <c r="BA199" s="170"/>
      <c r="BB199" s="170"/>
      <c r="BC199" s="170"/>
      <c r="BD199" s="170"/>
      <c r="BE199" s="170"/>
      <c r="BF199" s="170"/>
      <c r="BG199" s="170"/>
      <c r="BH199" s="170"/>
      <c r="BI199" s="170"/>
      <c r="BJ199" s="170"/>
      <c r="BK199" s="170"/>
      <c r="BL199" s="170"/>
      <c r="BM199" s="170"/>
      <c r="BN199" s="170"/>
      <c r="BO199" s="170"/>
      <c r="BP199" s="170"/>
      <c r="BQ199" s="170"/>
      <c r="BR199" s="170"/>
      <c r="BS199" s="170"/>
      <c r="BT199" s="170"/>
      <c r="BU199" s="170"/>
      <c r="BV199" s="170"/>
      <c r="BW199" s="170"/>
      <c r="BX199" s="170"/>
      <c r="BY199" s="170"/>
      <c r="BZ199" s="170"/>
    </row>
    <row r="200" spans="1:78" x14ac:dyDescent="0.2">
      <c r="A200" s="84">
        <f t="shared" si="98"/>
        <v>2044</v>
      </c>
      <c r="B200" s="261">
        <f t="shared" si="116"/>
        <v>18850</v>
      </c>
      <c r="C200" s="98">
        <f t="shared" si="95"/>
        <v>3205</v>
      </c>
      <c r="D200" s="261">
        <f t="shared" si="96"/>
        <v>15645</v>
      </c>
      <c r="E200" s="98">
        <f t="shared" si="117"/>
        <v>8748</v>
      </c>
      <c r="F200" s="261">
        <f t="shared" si="118"/>
        <v>13228</v>
      </c>
      <c r="G200" s="98">
        <f t="shared" si="101"/>
        <v>3864</v>
      </c>
      <c r="H200" s="261">
        <f t="shared" si="102"/>
        <v>18112</v>
      </c>
      <c r="I200" s="98">
        <f t="shared" si="115"/>
        <v>4398.333333333333</v>
      </c>
      <c r="J200" s="261">
        <f t="shared" si="103"/>
        <v>3953.510358974359</v>
      </c>
      <c r="K200" s="98">
        <f t="shared" si="104"/>
        <v>747.7166666666667</v>
      </c>
      <c r="L200" s="261">
        <f t="shared" si="105"/>
        <v>3650.6166666666663</v>
      </c>
      <c r="M200" s="98">
        <f t="shared" si="106"/>
        <v>695.13851597546977</v>
      </c>
      <c r="N200" s="261">
        <f t="shared" si="107"/>
        <v>3258.3718429988894</v>
      </c>
      <c r="O200" s="98">
        <f t="shared" si="108"/>
        <v>56762062.5</v>
      </c>
      <c r="P200" s="261">
        <f t="shared" si="109"/>
        <v>35004595</v>
      </c>
      <c r="Q200" s="98">
        <f t="shared" si="110"/>
        <v>25799601.599999998</v>
      </c>
      <c r="R200" s="261">
        <f t="shared" si="111"/>
        <v>9649550.625</v>
      </c>
      <c r="S200" s="98">
        <f t="shared" si="112"/>
        <v>47112511.875</v>
      </c>
      <c r="T200" s="261">
        <f t="shared" si="113"/>
        <v>10691090.993010556</v>
      </c>
      <c r="U200" s="98">
        <f t="shared" si="114"/>
        <v>50113105.606989436</v>
      </c>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c r="AY200" s="170"/>
      <c r="AZ200" s="170"/>
      <c r="BA200" s="170"/>
      <c r="BB200" s="170"/>
      <c r="BC200" s="170"/>
      <c r="BD200" s="170"/>
      <c r="BE200" s="170"/>
      <c r="BF200" s="170"/>
      <c r="BG200" s="170"/>
      <c r="BH200" s="170"/>
      <c r="BI200" s="170"/>
      <c r="BJ200" s="170"/>
      <c r="BK200" s="170"/>
      <c r="BL200" s="170"/>
      <c r="BM200" s="170"/>
      <c r="BN200" s="170"/>
      <c r="BO200" s="170"/>
      <c r="BP200" s="170"/>
      <c r="BQ200" s="170"/>
      <c r="BR200" s="170"/>
      <c r="BS200" s="170"/>
      <c r="BT200" s="170"/>
      <c r="BU200" s="170"/>
      <c r="BV200" s="170"/>
      <c r="BW200" s="170"/>
      <c r="BX200" s="170"/>
      <c r="BY200" s="170"/>
      <c r="BZ200" s="170"/>
    </row>
    <row r="201" spans="1:78" x14ac:dyDescent="0.2">
      <c r="A201" s="84">
        <f t="shared" si="98"/>
        <v>2045</v>
      </c>
      <c r="B201" s="261">
        <f t="shared" si="116"/>
        <v>19019</v>
      </c>
      <c r="C201" s="98">
        <f t="shared" si="95"/>
        <v>3233</v>
      </c>
      <c r="D201" s="261">
        <f t="shared" si="96"/>
        <v>15786</v>
      </c>
      <c r="E201" s="98">
        <f t="shared" si="117"/>
        <v>8826</v>
      </c>
      <c r="F201" s="261">
        <f t="shared" si="118"/>
        <v>13347</v>
      </c>
      <c r="G201" s="98">
        <f t="shared" si="101"/>
        <v>3899</v>
      </c>
      <c r="H201" s="261">
        <f t="shared" si="102"/>
        <v>18274</v>
      </c>
      <c r="I201" s="98">
        <f t="shared" si="115"/>
        <v>4437.7666666666664</v>
      </c>
      <c r="J201" s="261">
        <f t="shared" si="103"/>
        <v>3988.9896923076922</v>
      </c>
      <c r="K201" s="98">
        <f t="shared" si="104"/>
        <v>754.42033333333336</v>
      </c>
      <c r="L201" s="261">
        <f t="shared" si="105"/>
        <v>3683.346333333333</v>
      </c>
      <c r="M201" s="98">
        <f t="shared" si="106"/>
        <v>701.44188022855235</v>
      </c>
      <c r="N201" s="261">
        <f t="shared" si="107"/>
        <v>3287.5478120791399</v>
      </c>
      <c r="O201" s="98">
        <f t="shared" si="108"/>
        <v>57270963.75</v>
      </c>
      <c r="P201" s="261">
        <f t="shared" si="109"/>
        <v>35319498.75</v>
      </c>
      <c r="Q201" s="98">
        <f t="shared" si="110"/>
        <v>26029639.199999999</v>
      </c>
      <c r="R201" s="261">
        <f t="shared" si="111"/>
        <v>9736063.8375000004</v>
      </c>
      <c r="S201" s="98">
        <f t="shared" si="112"/>
        <v>47534899.912500001</v>
      </c>
      <c r="T201" s="261">
        <f t="shared" si="113"/>
        <v>10787908.21571506</v>
      </c>
      <c r="U201" s="98">
        <f t="shared" si="114"/>
        <v>50561229.734284945</v>
      </c>
      <c r="V201" s="170"/>
      <c r="W201" s="170"/>
      <c r="X201" s="170"/>
      <c r="Y201" s="170"/>
      <c r="Z201" s="170"/>
      <c r="AA201" s="170"/>
      <c r="AB201" s="170"/>
      <c r="AC201" s="170"/>
      <c r="AD201" s="170"/>
      <c r="AE201" s="170"/>
      <c r="AF201" s="170"/>
      <c r="AG201" s="170"/>
      <c r="AH201" s="170"/>
      <c r="AI201" s="170"/>
      <c r="AJ201" s="170"/>
      <c r="AK201" s="170"/>
      <c r="AL201" s="170"/>
      <c r="AM201" s="170"/>
      <c r="AN201" s="170"/>
      <c r="AO201" s="170"/>
      <c r="AP201" s="170"/>
      <c r="AQ201" s="170"/>
      <c r="AR201" s="170"/>
      <c r="AS201" s="170"/>
      <c r="AT201" s="170"/>
      <c r="AU201" s="170"/>
      <c r="AV201" s="170"/>
      <c r="AW201" s="170"/>
      <c r="AX201" s="170"/>
      <c r="AY201" s="170"/>
      <c r="AZ201" s="170"/>
      <c r="BA201" s="170"/>
      <c r="BB201" s="170"/>
      <c r="BC201" s="170"/>
      <c r="BD201" s="170"/>
      <c r="BE201" s="170"/>
      <c r="BF201" s="170"/>
      <c r="BG201" s="170"/>
      <c r="BH201" s="170"/>
      <c r="BI201" s="170"/>
      <c r="BJ201" s="170"/>
      <c r="BK201" s="170"/>
      <c r="BL201" s="170"/>
      <c r="BM201" s="170"/>
      <c r="BN201" s="170"/>
      <c r="BO201" s="170"/>
      <c r="BP201" s="170"/>
      <c r="BQ201" s="170"/>
      <c r="BR201" s="170"/>
      <c r="BS201" s="170"/>
      <c r="BT201" s="170"/>
      <c r="BU201" s="170"/>
      <c r="BV201" s="170"/>
      <c r="BW201" s="170"/>
      <c r="BX201" s="170"/>
      <c r="BY201" s="170"/>
      <c r="BZ201" s="170"/>
    </row>
    <row r="202" spans="1:78" x14ac:dyDescent="0.2">
      <c r="A202" s="84">
        <f t="shared" si="98"/>
        <v>2046</v>
      </c>
      <c r="B202" s="261">
        <f t="shared" si="116"/>
        <v>19190</v>
      </c>
      <c r="C202" s="98">
        <f t="shared" si="95"/>
        <v>3262</v>
      </c>
      <c r="D202" s="261">
        <f t="shared" si="96"/>
        <v>15928</v>
      </c>
      <c r="E202" s="98">
        <f t="shared" si="117"/>
        <v>8906</v>
      </c>
      <c r="F202" s="261">
        <f t="shared" si="118"/>
        <v>13467</v>
      </c>
      <c r="G202" s="98">
        <f t="shared" si="101"/>
        <v>3934</v>
      </c>
      <c r="H202" s="261">
        <f t="shared" si="102"/>
        <v>18439</v>
      </c>
      <c r="I202" s="98">
        <f t="shared" si="115"/>
        <v>4477.666666666667</v>
      </c>
      <c r="J202" s="261">
        <f t="shared" si="103"/>
        <v>4024.9343076923078</v>
      </c>
      <c r="K202" s="98">
        <f t="shared" si="104"/>
        <v>761.20333333333349</v>
      </c>
      <c r="L202" s="261">
        <f t="shared" si="105"/>
        <v>3716.4633333333336</v>
      </c>
      <c r="M202" s="98">
        <f t="shared" si="106"/>
        <v>707.73215780009559</v>
      </c>
      <c r="N202" s="261">
        <f t="shared" si="107"/>
        <v>3317.2021498922122</v>
      </c>
      <c r="O202" s="98">
        <f t="shared" si="108"/>
        <v>57785887.5</v>
      </c>
      <c r="P202" s="261">
        <f t="shared" si="109"/>
        <v>35637048.75</v>
      </c>
      <c r="Q202" s="98">
        <f t="shared" si="110"/>
        <v>26265575.199999999</v>
      </c>
      <c r="R202" s="261">
        <f t="shared" si="111"/>
        <v>9823600.875</v>
      </c>
      <c r="S202" s="98">
        <f t="shared" si="112"/>
        <v>47962286.625</v>
      </c>
      <c r="T202" s="261">
        <f t="shared" si="113"/>
        <v>10884768.364515264</v>
      </c>
      <c r="U202" s="98">
        <f t="shared" si="114"/>
        <v>51017855.585484743</v>
      </c>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0"/>
      <c r="AT202" s="170"/>
      <c r="AU202" s="170"/>
      <c r="AV202" s="170"/>
      <c r="AW202" s="170"/>
      <c r="AX202" s="170"/>
      <c r="AY202" s="170"/>
      <c r="AZ202" s="170"/>
      <c r="BA202" s="170"/>
      <c r="BB202" s="170"/>
      <c r="BC202" s="170"/>
      <c r="BD202" s="170"/>
      <c r="BE202" s="170"/>
      <c r="BF202" s="170"/>
      <c r="BG202" s="170"/>
      <c r="BH202" s="170"/>
      <c r="BI202" s="170"/>
      <c r="BJ202" s="170"/>
      <c r="BK202" s="170"/>
      <c r="BL202" s="170"/>
      <c r="BM202" s="170"/>
      <c r="BN202" s="170"/>
      <c r="BO202" s="170"/>
      <c r="BP202" s="170"/>
      <c r="BQ202" s="170"/>
      <c r="BR202" s="170"/>
      <c r="BS202" s="170"/>
      <c r="BT202" s="170"/>
      <c r="BU202" s="170"/>
      <c r="BV202" s="170"/>
      <c r="BW202" s="170"/>
      <c r="BX202" s="170"/>
      <c r="BY202" s="170"/>
      <c r="BZ202" s="170"/>
    </row>
    <row r="203" spans="1:78" x14ac:dyDescent="0.2">
      <c r="A203" s="84">
        <f t="shared" si="98"/>
        <v>2047</v>
      </c>
      <c r="B203" s="261">
        <f t="shared" si="116"/>
        <v>19363</v>
      </c>
      <c r="C203" s="98">
        <f t="shared" si="95"/>
        <v>3292</v>
      </c>
      <c r="D203" s="261">
        <f t="shared" si="96"/>
        <v>16071</v>
      </c>
      <c r="E203" s="98">
        <f t="shared" si="117"/>
        <v>8986</v>
      </c>
      <c r="F203" s="261">
        <f t="shared" si="118"/>
        <v>13589</v>
      </c>
      <c r="G203" s="98">
        <f t="shared" si="101"/>
        <v>3969</v>
      </c>
      <c r="H203" s="261">
        <f t="shared" si="102"/>
        <v>18606</v>
      </c>
      <c r="I203" s="98">
        <f t="shared" si="115"/>
        <v>4518.0333333333338</v>
      </c>
      <c r="J203" s="261">
        <f t="shared" si="103"/>
        <v>4061.3122564102564</v>
      </c>
      <c r="K203" s="98">
        <f t="shared" si="104"/>
        <v>768.06566666666674</v>
      </c>
      <c r="L203" s="261">
        <f t="shared" si="105"/>
        <v>3749.9676666666669</v>
      </c>
      <c r="M203" s="98">
        <f t="shared" si="106"/>
        <v>714.03536415026826</v>
      </c>
      <c r="N203" s="261">
        <f t="shared" si="107"/>
        <v>3347.276892259988</v>
      </c>
      <c r="O203" s="98">
        <f t="shared" si="108"/>
        <v>58306833.75</v>
      </c>
      <c r="P203" s="261">
        <f t="shared" si="109"/>
        <v>35959891.25</v>
      </c>
      <c r="Q203" s="98">
        <f t="shared" si="110"/>
        <v>26501511.200000003</v>
      </c>
      <c r="R203" s="261">
        <f t="shared" si="111"/>
        <v>9912161.7375000007</v>
      </c>
      <c r="S203" s="98">
        <f t="shared" si="112"/>
        <v>48394672.012500003</v>
      </c>
      <c r="T203" s="261">
        <f t="shared" si="113"/>
        <v>10981586.10516279</v>
      </c>
      <c r="U203" s="98">
        <f t="shared" si="114"/>
        <v>51479816.344837211</v>
      </c>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0"/>
      <c r="AT203" s="170"/>
      <c r="AU203" s="170"/>
      <c r="AV203" s="170"/>
      <c r="AW203" s="170"/>
      <c r="AX203" s="170"/>
      <c r="AY203" s="170"/>
      <c r="AZ203" s="170"/>
      <c r="BA203" s="170"/>
      <c r="BB203" s="170"/>
      <c r="BC203" s="170"/>
      <c r="BD203" s="170"/>
      <c r="BE203" s="170"/>
      <c r="BF203" s="170"/>
      <c r="BG203" s="170"/>
      <c r="BH203" s="170"/>
      <c r="BI203" s="170"/>
      <c r="BJ203" s="170"/>
      <c r="BK203" s="170"/>
      <c r="BL203" s="170"/>
      <c r="BM203" s="170"/>
      <c r="BN203" s="170"/>
      <c r="BO203" s="170"/>
      <c r="BP203" s="170"/>
      <c r="BQ203" s="170"/>
      <c r="BR203" s="170"/>
      <c r="BS203" s="170"/>
      <c r="BT203" s="170"/>
      <c r="BU203" s="170"/>
      <c r="BV203" s="170"/>
      <c r="BW203" s="170"/>
      <c r="BX203" s="170"/>
      <c r="BY203" s="170"/>
      <c r="BZ203" s="170"/>
    </row>
    <row r="204" spans="1:78" x14ac:dyDescent="0.2">
      <c r="A204" s="84">
        <f t="shared" si="98"/>
        <v>2048</v>
      </c>
      <c r="B204" s="261">
        <f t="shared" si="116"/>
        <v>19537</v>
      </c>
      <c r="C204" s="98">
        <f t="shared" si="95"/>
        <v>3321</v>
      </c>
      <c r="D204" s="261">
        <f t="shared" si="96"/>
        <v>16216</v>
      </c>
      <c r="E204" s="98">
        <f t="shared" si="117"/>
        <v>9067</v>
      </c>
      <c r="F204" s="261">
        <f t="shared" si="118"/>
        <v>13711</v>
      </c>
      <c r="G204" s="98">
        <f t="shared" si="101"/>
        <v>4005</v>
      </c>
      <c r="H204" s="261">
        <f t="shared" si="102"/>
        <v>18773</v>
      </c>
      <c r="I204" s="98">
        <f t="shared" si="115"/>
        <v>4558.6333333333332</v>
      </c>
      <c r="J204" s="261">
        <f t="shared" si="103"/>
        <v>4097.8145128205124</v>
      </c>
      <c r="K204" s="98">
        <f t="shared" si="104"/>
        <v>774.96766666666667</v>
      </c>
      <c r="L204" s="261">
        <f t="shared" si="105"/>
        <v>3783.6656666666668</v>
      </c>
      <c r="M204" s="98">
        <f t="shared" si="106"/>
        <v>720.50869803521607</v>
      </c>
      <c r="N204" s="261">
        <f t="shared" si="107"/>
        <v>3377.3058147852962</v>
      </c>
      <c r="O204" s="98">
        <f t="shared" si="108"/>
        <v>58830791.25</v>
      </c>
      <c r="P204" s="261">
        <f t="shared" si="109"/>
        <v>36282733.75</v>
      </c>
      <c r="Q204" s="98">
        <f t="shared" si="110"/>
        <v>26740396.399999999</v>
      </c>
      <c r="R204" s="261">
        <f t="shared" si="111"/>
        <v>10001234.512500001</v>
      </c>
      <c r="S204" s="98">
        <f t="shared" si="112"/>
        <v>48829556.737499997</v>
      </c>
      <c r="T204" s="261">
        <f t="shared" si="113"/>
        <v>11081202.750493897</v>
      </c>
      <c r="U204" s="98">
        <f t="shared" si="114"/>
        <v>51941927.3995061</v>
      </c>
      <c r="V204" s="170"/>
      <c r="W204" s="170"/>
      <c r="X204" s="170"/>
      <c r="Y204" s="170"/>
      <c r="Z204" s="170"/>
      <c r="AA204" s="170"/>
      <c r="AB204" s="170"/>
      <c r="AC204" s="170"/>
      <c r="AD204" s="170"/>
      <c r="AE204" s="170"/>
      <c r="AF204" s="170"/>
      <c r="AG204" s="170"/>
      <c r="AH204" s="170"/>
      <c r="AI204" s="170"/>
      <c r="AJ204" s="170"/>
      <c r="AK204" s="170"/>
      <c r="AL204" s="170"/>
      <c r="AM204" s="170"/>
      <c r="AN204" s="170"/>
      <c r="AO204" s="170"/>
      <c r="AP204" s="170"/>
      <c r="AQ204" s="170"/>
      <c r="AR204" s="170"/>
      <c r="AS204" s="170"/>
      <c r="AT204" s="170"/>
      <c r="AU204" s="170"/>
      <c r="AV204" s="170"/>
      <c r="AW204" s="170"/>
      <c r="AX204" s="170"/>
      <c r="AY204" s="170"/>
      <c r="AZ204" s="170"/>
      <c r="BA204" s="170"/>
      <c r="BB204" s="170"/>
      <c r="BC204" s="170"/>
      <c r="BD204" s="170"/>
      <c r="BE204" s="170"/>
      <c r="BF204" s="170"/>
      <c r="BG204" s="170"/>
      <c r="BH204" s="170"/>
      <c r="BI204" s="170"/>
      <c r="BJ204" s="170"/>
      <c r="BK204" s="170"/>
      <c r="BL204" s="170"/>
      <c r="BM204" s="170"/>
      <c r="BN204" s="170"/>
      <c r="BO204" s="170"/>
      <c r="BP204" s="170"/>
      <c r="BQ204" s="170"/>
      <c r="BR204" s="170"/>
      <c r="BS204" s="170"/>
      <c r="BT204" s="170"/>
      <c r="BU204" s="170"/>
      <c r="BV204" s="170"/>
      <c r="BW204" s="170"/>
      <c r="BX204" s="170"/>
      <c r="BY204" s="170"/>
      <c r="BZ204" s="170"/>
    </row>
    <row r="205" spans="1:78" x14ac:dyDescent="0.2">
      <c r="A205" s="84">
        <f t="shared" si="98"/>
        <v>2049</v>
      </c>
      <c r="B205" s="261">
        <f t="shared" si="116"/>
        <v>19713</v>
      </c>
      <c r="C205" s="98">
        <f t="shared" si="95"/>
        <v>3351</v>
      </c>
      <c r="D205" s="261">
        <f t="shared" si="96"/>
        <v>16362</v>
      </c>
      <c r="E205" s="98">
        <f t="shared" si="117"/>
        <v>9149</v>
      </c>
      <c r="F205" s="261">
        <f t="shared" si="118"/>
        <v>13834</v>
      </c>
      <c r="G205" s="98">
        <f t="shared" si="101"/>
        <v>4041</v>
      </c>
      <c r="H205" s="261">
        <f t="shared" si="102"/>
        <v>18942</v>
      </c>
      <c r="I205" s="98">
        <f t="shared" si="115"/>
        <v>4599.7</v>
      </c>
      <c r="J205" s="261">
        <f t="shared" si="103"/>
        <v>4134.6577435897434</v>
      </c>
      <c r="K205" s="98">
        <f t="shared" si="104"/>
        <v>781.94900000000007</v>
      </c>
      <c r="L205" s="261">
        <f t="shared" si="105"/>
        <v>3817.7509999999997</v>
      </c>
      <c r="M205" s="98">
        <f t="shared" si="106"/>
        <v>726.97872087395695</v>
      </c>
      <c r="N205" s="261">
        <f t="shared" si="107"/>
        <v>3407.6790227157862</v>
      </c>
      <c r="O205" s="98">
        <f t="shared" si="108"/>
        <v>59360771.25</v>
      </c>
      <c r="P205" s="261">
        <f t="shared" si="109"/>
        <v>36608222.5</v>
      </c>
      <c r="Q205" s="98">
        <f t="shared" si="110"/>
        <v>26982230.800000001</v>
      </c>
      <c r="R205" s="261">
        <f t="shared" si="111"/>
        <v>10091331.112500001</v>
      </c>
      <c r="S205" s="98">
        <f t="shared" si="112"/>
        <v>49269440.137500003</v>
      </c>
      <c r="T205" s="261">
        <f t="shared" si="113"/>
        <v>11180830.256506983</v>
      </c>
      <c r="U205" s="98">
        <f t="shared" si="114"/>
        <v>52409623.043493018</v>
      </c>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c r="AY205" s="170"/>
      <c r="AZ205" s="170"/>
      <c r="BA205" s="170"/>
      <c r="BB205" s="170"/>
      <c r="BC205" s="170"/>
      <c r="BD205" s="170"/>
      <c r="BE205" s="170"/>
      <c r="BF205" s="170"/>
      <c r="BG205" s="170"/>
      <c r="BH205" s="170"/>
      <c r="BI205" s="170"/>
      <c r="BJ205" s="170"/>
      <c r="BK205" s="170"/>
      <c r="BL205" s="170"/>
      <c r="BM205" s="170"/>
      <c r="BN205" s="170"/>
      <c r="BO205" s="170"/>
      <c r="BP205" s="170"/>
      <c r="BQ205" s="170"/>
      <c r="BR205" s="170"/>
      <c r="BS205" s="170"/>
      <c r="BT205" s="170"/>
      <c r="BU205" s="170"/>
      <c r="BV205" s="170"/>
      <c r="BW205" s="170"/>
      <c r="BX205" s="170"/>
      <c r="BY205" s="170"/>
      <c r="BZ205" s="170"/>
    </row>
    <row r="206" spans="1:78" x14ac:dyDescent="0.2">
      <c r="A206" s="84">
        <f t="shared" si="98"/>
        <v>2050</v>
      </c>
      <c r="B206" s="261">
        <f t="shared" si="116"/>
        <v>19891</v>
      </c>
      <c r="C206" s="98">
        <f t="shared" si="95"/>
        <v>3381</v>
      </c>
      <c r="D206" s="261">
        <f t="shared" si="96"/>
        <v>16510</v>
      </c>
      <c r="E206" s="98">
        <f t="shared" si="117"/>
        <v>9231</v>
      </c>
      <c r="F206" s="261">
        <f t="shared" si="118"/>
        <v>13959</v>
      </c>
      <c r="G206" s="98">
        <f t="shared" si="101"/>
        <v>4077</v>
      </c>
      <c r="H206" s="261">
        <f>(E206+F206)-G206</f>
        <v>19113</v>
      </c>
      <c r="I206" s="98">
        <f t="shared" si="115"/>
        <v>4641.2333333333336</v>
      </c>
      <c r="J206" s="261">
        <f t="shared" si="103"/>
        <v>4171.9343076923078</v>
      </c>
      <c r="K206" s="98">
        <f t="shared" si="104"/>
        <v>789.00966666666682</v>
      </c>
      <c r="L206" s="261">
        <f t="shared" si="105"/>
        <v>3852.2236666666668</v>
      </c>
      <c r="M206" s="98">
        <f t="shared" si="106"/>
        <v>733.46167194745749</v>
      </c>
      <c r="N206" s="261">
        <f t="shared" si="107"/>
        <v>3438.4726357448503</v>
      </c>
      <c r="O206" s="98">
        <f t="shared" si="108"/>
        <v>59896773.75</v>
      </c>
      <c r="P206" s="261">
        <f t="shared" si="109"/>
        <v>36939003.75</v>
      </c>
      <c r="Q206" s="98">
        <f t="shared" si="110"/>
        <v>27224065.199999999</v>
      </c>
      <c r="R206" s="261">
        <f t="shared" si="111"/>
        <v>10182451.537500001</v>
      </c>
      <c r="S206" s="98">
        <f t="shared" si="112"/>
        <v>49714322.212499999</v>
      </c>
      <c r="T206" s="261">
        <f t="shared" si="113"/>
        <v>11280415.356151359</v>
      </c>
      <c r="U206" s="98">
        <f t="shared" si="114"/>
        <v>52882653.593848646</v>
      </c>
      <c r="V206" s="170"/>
      <c r="W206" s="170"/>
      <c r="X206" s="170"/>
      <c r="Y206" s="170"/>
      <c r="Z206" s="170"/>
      <c r="AA206" s="170"/>
      <c r="AB206" s="170"/>
      <c r="AC206" s="170"/>
      <c r="AD206" s="170"/>
      <c r="AE206" s="170"/>
      <c r="AF206" s="170"/>
      <c r="AG206" s="170"/>
      <c r="AH206" s="170"/>
      <c r="AI206" s="170"/>
      <c r="AJ206" s="170"/>
      <c r="AK206" s="170"/>
      <c r="AL206" s="170"/>
      <c r="AM206" s="170"/>
      <c r="AN206" s="170"/>
      <c r="AO206" s="170"/>
      <c r="AP206" s="170"/>
      <c r="AQ206" s="170"/>
      <c r="AR206" s="170"/>
      <c r="AS206" s="170"/>
      <c r="AT206" s="170"/>
      <c r="AU206" s="170"/>
      <c r="AV206" s="170"/>
      <c r="AW206" s="170"/>
      <c r="AX206" s="170"/>
      <c r="AY206" s="170"/>
      <c r="AZ206" s="170"/>
      <c r="BA206" s="170"/>
      <c r="BB206" s="170"/>
      <c r="BC206" s="170"/>
      <c r="BD206" s="170"/>
      <c r="BE206" s="170"/>
      <c r="BF206" s="170"/>
      <c r="BG206" s="170"/>
      <c r="BH206" s="170"/>
      <c r="BI206" s="170"/>
      <c r="BJ206" s="170"/>
      <c r="BK206" s="170"/>
      <c r="BL206" s="170"/>
      <c r="BM206" s="170"/>
      <c r="BN206" s="170"/>
      <c r="BO206" s="170"/>
      <c r="BP206" s="170"/>
      <c r="BQ206" s="170"/>
      <c r="BR206" s="170"/>
      <c r="BS206" s="170"/>
      <c r="BT206" s="170"/>
      <c r="BU206" s="170"/>
      <c r="BV206" s="170"/>
      <c r="BW206" s="170"/>
      <c r="BX206" s="170"/>
      <c r="BY206" s="170"/>
      <c r="BZ206" s="170"/>
    </row>
    <row r="207" spans="1:78" x14ac:dyDescent="0.2">
      <c r="A207" s="84">
        <f t="shared" si="98"/>
        <v>2051</v>
      </c>
      <c r="B207" s="261">
        <f t="shared" si="116"/>
        <v>20070</v>
      </c>
      <c r="C207" s="98">
        <f t="shared" si="95"/>
        <v>3412</v>
      </c>
      <c r="D207" s="261">
        <f t="shared" si="96"/>
        <v>16658</v>
      </c>
      <c r="E207" s="98">
        <f t="shared" si="117"/>
        <v>9314</v>
      </c>
      <c r="F207" s="261">
        <f t="shared" si="118"/>
        <v>14084</v>
      </c>
      <c r="G207" s="98">
        <f t="shared" si="101"/>
        <v>4114</v>
      </c>
      <c r="H207" s="261">
        <f t="shared" si="102"/>
        <v>19284</v>
      </c>
      <c r="I207" s="98">
        <f t="shared" si="115"/>
        <v>4683</v>
      </c>
      <c r="J207" s="261">
        <f t="shared" si="103"/>
        <v>4209.3351794871796</v>
      </c>
      <c r="K207" s="98">
        <f t="shared" si="104"/>
        <v>796.11</v>
      </c>
      <c r="L207" s="261">
        <f t="shared" si="105"/>
        <v>3886.89</v>
      </c>
      <c r="M207" s="98">
        <f t="shared" si="106"/>
        <v>740.11475033807403</v>
      </c>
      <c r="N207" s="261">
        <f t="shared" si="107"/>
        <v>3469.2204291491057</v>
      </c>
      <c r="O207" s="98">
        <f t="shared" si="108"/>
        <v>60435787.5</v>
      </c>
      <c r="P207" s="261">
        <f t="shared" si="109"/>
        <v>37269785</v>
      </c>
      <c r="Q207" s="98">
        <f t="shared" si="110"/>
        <v>27468848.799999997</v>
      </c>
      <c r="R207" s="261">
        <f t="shared" si="111"/>
        <v>10274083.875</v>
      </c>
      <c r="S207" s="98">
        <f t="shared" si="112"/>
        <v>50161703.625</v>
      </c>
      <c r="T207" s="261">
        <f t="shared" si="113"/>
        <v>11382799.361193264</v>
      </c>
      <c r="U207" s="98">
        <f t="shared" si="114"/>
        <v>53355834.438806735</v>
      </c>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0"/>
      <c r="AT207" s="170"/>
      <c r="AU207" s="170"/>
      <c r="AV207" s="170"/>
      <c r="AW207" s="170"/>
      <c r="AX207" s="170"/>
      <c r="AY207" s="170"/>
      <c r="AZ207" s="170"/>
      <c r="BA207" s="170"/>
      <c r="BB207" s="170"/>
      <c r="BC207" s="170"/>
      <c r="BD207" s="170"/>
      <c r="BE207" s="170"/>
      <c r="BF207" s="170"/>
      <c r="BG207" s="170"/>
      <c r="BH207" s="170"/>
      <c r="BI207" s="170"/>
      <c r="BJ207" s="170"/>
      <c r="BK207" s="170"/>
      <c r="BL207" s="170"/>
      <c r="BM207" s="170"/>
      <c r="BN207" s="170"/>
      <c r="BO207" s="170"/>
      <c r="BP207" s="170"/>
      <c r="BQ207" s="170"/>
      <c r="BR207" s="170"/>
      <c r="BS207" s="170"/>
      <c r="BT207" s="170"/>
      <c r="BU207" s="170"/>
      <c r="BV207" s="170"/>
      <c r="BW207" s="170"/>
      <c r="BX207" s="170"/>
      <c r="BY207" s="170"/>
      <c r="BZ207" s="170"/>
    </row>
    <row r="208" spans="1:78" x14ac:dyDescent="0.2">
      <c r="A208" s="84">
        <f t="shared" si="98"/>
        <v>2052</v>
      </c>
      <c r="B208" s="261">
        <f t="shared" si="116"/>
        <v>20250</v>
      </c>
      <c r="C208" s="98">
        <f t="shared" si="95"/>
        <v>3443</v>
      </c>
      <c r="D208" s="261">
        <f t="shared" si="96"/>
        <v>16807</v>
      </c>
      <c r="E208" s="98">
        <f t="shared" si="117"/>
        <v>9398</v>
      </c>
      <c r="F208" s="261">
        <f t="shared" si="118"/>
        <v>14211</v>
      </c>
      <c r="G208" s="98">
        <f t="shared" si="101"/>
        <v>4151</v>
      </c>
      <c r="H208" s="261">
        <f>(E208+F208)-G208</f>
        <v>19458</v>
      </c>
      <c r="I208" s="98">
        <f t="shared" si="115"/>
        <v>4725</v>
      </c>
      <c r="J208" s="261">
        <f t="shared" si="103"/>
        <v>4247.2936923076923</v>
      </c>
      <c r="K208" s="98">
        <f t="shared" si="104"/>
        <v>803.25000000000011</v>
      </c>
      <c r="L208" s="261">
        <f t="shared" si="105"/>
        <v>3921.75</v>
      </c>
      <c r="M208" s="98">
        <f t="shared" si="106"/>
        <v>746.77098211568602</v>
      </c>
      <c r="N208" s="261">
        <f t="shared" si="107"/>
        <v>3500.5227101920063</v>
      </c>
      <c r="O208" s="98">
        <f t="shared" si="108"/>
        <v>60977812.5</v>
      </c>
      <c r="P208" s="261">
        <f t="shared" si="109"/>
        <v>37605858.75</v>
      </c>
      <c r="Q208" s="98">
        <f t="shared" si="110"/>
        <v>27716581.599999998</v>
      </c>
      <c r="R208" s="261">
        <f t="shared" si="111"/>
        <v>10366228.125</v>
      </c>
      <c r="S208" s="98">
        <f t="shared" si="112"/>
        <v>50611584.375</v>
      </c>
      <c r="T208" s="261">
        <f t="shared" si="113"/>
        <v>11485173.022696853</v>
      </c>
      <c r="U208" s="98">
        <f t="shared" si="114"/>
        <v>53837267.327303141</v>
      </c>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0"/>
      <c r="AT208" s="170"/>
      <c r="AU208" s="170"/>
      <c r="AV208" s="170"/>
      <c r="AW208" s="170"/>
      <c r="AX208" s="170"/>
      <c r="AY208" s="170"/>
      <c r="AZ208" s="170"/>
      <c r="BA208" s="170"/>
      <c r="BB208" s="170"/>
      <c r="BC208" s="170"/>
      <c r="BD208" s="170"/>
      <c r="BE208" s="170"/>
      <c r="BF208" s="170"/>
      <c r="BG208" s="170"/>
      <c r="BH208" s="170"/>
      <c r="BI208" s="170"/>
      <c r="BJ208" s="170"/>
      <c r="BK208" s="170"/>
      <c r="BL208" s="170"/>
      <c r="BM208" s="170"/>
      <c r="BN208" s="170"/>
      <c r="BO208" s="170"/>
      <c r="BP208" s="170"/>
      <c r="BQ208" s="170"/>
      <c r="BR208" s="170"/>
      <c r="BS208" s="170"/>
      <c r="BT208" s="170"/>
      <c r="BU208" s="170"/>
      <c r="BV208" s="170"/>
      <c r="BW208" s="170"/>
      <c r="BX208" s="170"/>
      <c r="BY208" s="170"/>
      <c r="BZ208" s="170"/>
    </row>
    <row r="209" spans="1:78" x14ac:dyDescent="0.2">
      <c r="A209" s="84">
        <f t="shared" si="98"/>
        <v>2053</v>
      </c>
      <c r="B209" s="261">
        <f t="shared" si="116"/>
        <v>20433</v>
      </c>
      <c r="C209" s="98">
        <f t="shared" si="95"/>
        <v>3474</v>
      </c>
      <c r="D209" s="261">
        <f t="shared" si="96"/>
        <v>16959</v>
      </c>
      <c r="E209" s="98">
        <f t="shared" si="117"/>
        <v>9482</v>
      </c>
      <c r="F209" s="261">
        <f t="shared" si="118"/>
        <v>14339</v>
      </c>
      <c r="G209" s="98">
        <f t="shared" si="101"/>
        <v>4188</v>
      </c>
      <c r="H209" s="261">
        <f t="shared" si="102"/>
        <v>19633</v>
      </c>
      <c r="I209" s="98">
        <f t="shared" si="115"/>
        <v>4767.7</v>
      </c>
      <c r="J209" s="261">
        <f t="shared" si="103"/>
        <v>4285.468871794872</v>
      </c>
      <c r="K209" s="98">
        <f t="shared" si="104"/>
        <v>810.50900000000001</v>
      </c>
      <c r="L209" s="261">
        <f t="shared" si="105"/>
        <v>3957.1909999999998</v>
      </c>
      <c r="M209" s="98">
        <f t="shared" si="106"/>
        <v>753.43367764060804</v>
      </c>
      <c r="N209" s="261">
        <f t="shared" si="107"/>
        <v>3532.035194154264</v>
      </c>
      <c r="O209" s="98">
        <f t="shared" si="108"/>
        <v>61528871.25</v>
      </c>
      <c r="P209" s="261">
        <f t="shared" si="109"/>
        <v>37944578.75</v>
      </c>
      <c r="Q209" s="98">
        <f t="shared" si="110"/>
        <v>27964314.399999999</v>
      </c>
      <c r="R209" s="261">
        <f t="shared" si="111"/>
        <v>10459908.112500001</v>
      </c>
      <c r="S209" s="98">
        <f t="shared" si="112"/>
        <v>51068963.137500003</v>
      </c>
      <c r="T209" s="261">
        <f t="shared" si="113"/>
        <v>11587525.482229965</v>
      </c>
      <c r="U209" s="98">
        <f t="shared" si="114"/>
        <v>54321367.667770036</v>
      </c>
      <c r="V209" s="170"/>
      <c r="W209" s="170"/>
      <c r="X209" s="170"/>
      <c r="Y209" s="170"/>
      <c r="Z209" s="170"/>
      <c r="AA209" s="170"/>
      <c r="AB209" s="170"/>
      <c r="AC209" s="170"/>
      <c r="AD209" s="170"/>
      <c r="AE209" s="170"/>
      <c r="AF209" s="170"/>
      <c r="AG209" s="170"/>
      <c r="AH209" s="170"/>
      <c r="AI209" s="170"/>
      <c r="AJ209" s="170"/>
      <c r="AK209" s="170"/>
      <c r="AL209" s="170"/>
      <c r="AM209" s="170"/>
      <c r="AN209" s="170"/>
      <c r="AO209" s="170"/>
      <c r="AP209" s="170"/>
      <c r="AQ209" s="170"/>
      <c r="AR209" s="170"/>
      <c r="AS209" s="170"/>
      <c r="AT209" s="170"/>
      <c r="AU209" s="170"/>
      <c r="AV209" s="170"/>
      <c r="AW209" s="170"/>
      <c r="AX209" s="170"/>
      <c r="AY209" s="170"/>
      <c r="AZ209" s="170"/>
      <c r="BA209" s="170"/>
      <c r="BB209" s="170"/>
      <c r="BC209" s="170"/>
      <c r="BD209" s="170"/>
      <c r="BE209" s="170"/>
      <c r="BF209" s="170"/>
      <c r="BG209" s="170"/>
      <c r="BH209" s="170"/>
      <c r="BI209" s="170"/>
      <c r="BJ209" s="170"/>
      <c r="BK209" s="170"/>
      <c r="BL209" s="170"/>
      <c r="BM209" s="170"/>
      <c r="BN209" s="170"/>
      <c r="BO209" s="170"/>
      <c r="BP209" s="170"/>
      <c r="BQ209" s="170"/>
      <c r="BR209" s="170"/>
      <c r="BS209" s="170"/>
      <c r="BT209" s="170"/>
      <c r="BU209" s="170"/>
      <c r="BV209" s="170"/>
      <c r="BW209" s="170"/>
      <c r="BX209" s="170"/>
      <c r="BY209" s="170"/>
      <c r="BZ209" s="170"/>
    </row>
    <row r="210" spans="1:78" x14ac:dyDescent="0.2">
      <c r="A210" s="84">
        <f t="shared" si="98"/>
        <v>2054</v>
      </c>
      <c r="B210" s="261">
        <f t="shared" si="116"/>
        <v>20616</v>
      </c>
      <c r="C210" s="98">
        <f t="shared" si="95"/>
        <v>3505</v>
      </c>
      <c r="D210" s="261">
        <f t="shared" si="96"/>
        <v>17111</v>
      </c>
      <c r="E210" s="98">
        <f t="shared" si="117"/>
        <v>9568</v>
      </c>
      <c r="F210" s="261">
        <f t="shared" si="118"/>
        <v>14468</v>
      </c>
      <c r="G210" s="98">
        <f t="shared" si="101"/>
        <v>4226</v>
      </c>
      <c r="H210" s="261">
        <f>(E210+F210)-G210</f>
        <v>19810</v>
      </c>
      <c r="I210" s="98">
        <f t="shared" si="115"/>
        <v>4810.3999999999996</v>
      </c>
      <c r="J210" s="261">
        <f t="shared" si="103"/>
        <v>4324.1093333333338</v>
      </c>
      <c r="K210" s="98">
        <f t="shared" si="104"/>
        <v>817.76800000000003</v>
      </c>
      <c r="L210" s="261">
        <f t="shared" si="105"/>
        <v>3992.6319999999996</v>
      </c>
      <c r="M210" s="98">
        <f>$J210*($G210/($E210+F210))</f>
        <v>760.26319032562276</v>
      </c>
      <c r="N210" s="261">
        <f>$J210-M210</f>
        <v>3563.8461430077109</v>
      </c>
      <c r="O210" s="98">
        <f t="shared" si="108"/>
        <v>62079930</v>
      </c>
      <c r="P210" s="261">
        <f t="shared" si="109"/>
        <v>38285945</v>
      </c>
      <c r="Q210" s="98">
        <f t="shared" si="110"/>
        <v>28217945.600000001</v>
      </c>
      <c r="R210" s="261">
        <f t="shared" si="111"/>
        <v>10553588.100000001</v>
      </c>
      <c r="S210" s="98">
        <f t="shared" si="112"/>
        <v>51526341.899999999</v>
      </c>
      <c r="T210" s="261">
        <f t="shared" si="113"/>
        <v>11692687.704925945</v>
      </c>
      <c r="U210" s="98">
        <f t="shared" si="114"/>
        <v>54811202.895074055</v>
      </c>
      <c r="V210" s="170"/>
      <c r="W210" s="170"/>
      <c r="X210" s="170"/>
      <c r="Y210" s="170"/>
      <c r="Z210" s="170"/>
      <c r="AA210" s="170"/>
      <c r="AB210" s="170"/>
      <c r="AC210" s="170"/>
      <c r="AD210" s="170"/>
      <c r="AE210" s="170"/>
      <c r="AF210" s="170"/>
      <c r="AG210" s="170"/>
      <c r="AH210" s="170"/>
      <c r="AI210" s="170"/>
      <c r="AJ210" s="170"/>
      <c r="AK210" s="170"/>
      <c r="AL210" s="170"/>
      <c r="AM210" s="170"/>
      <c r="AN210" s="170"/>
      <c r="AO210" s="170"/>
      <c r="AP210" s="170"/>
      <c r="AQ210" s="170"/>
      <c r="AR210" s="170"/>
      <c r="AS210" s="170"/>
      <c r="AT210" s="170"/>
      <c r="AU210" s="170"/>
      <c r="AV210" s="170"/>
      <c r="AW210" s="170"/>
      <c r="AX210" s="170"/>
      <c r="AY210" s="170"/>
      <c r="AZ210" s="170"/>
      <c r="BA210" s="170"/>
      <c r="BB210" s="170"/>
      <c r="BC210" s="170"/>
      <c r="BD210" s="170"/>
      <c r="BE210" s="170"/>
      <c r="BF210" s="170"/>
      <c r="BG210" s="170"/>
      <c r="BH210" s="170"/>
      <c r="BI210" s="170"/>
      <c r="BJ210" s="170"/>
      <c r="BK210" s="170"/>
      <c r="BL210" s="170"/>
      <c r="BM210" s="170"/>
      <c r="BN210" s="170"/>
      <c r="BO210" s="170"/>
      <c r="BP210" s="170"/>
      <c r="BQ210" s="170"/>
      <c r="BR210" s="170"/>
      <c r="BS210" s="170"/>
      <c r="BT210" s="170"/>
      <c r="BU210" s="170"/>
      <c r="BV210" s="170"/>
      <c r="BW210" s="170"/>
      <c r="BX210" s="170"/>
      <c r="BY210" s="170"/>
      <c r="BZ210" s="170"/>
    </row>
    <row r="211" spans="1:78" x14ac:dyDescent="0.2">
      <c r="A211" s="84">
        <f t="shared" si="98"/>
        <v>2055</v>
      </c>
      <c r="B211" s="261">
        <f t="shared" si="116"/>
        <v>20802</v>
      </c>
      <c r="C211" s="98">
        <f t="shared" si="95"/>
        <v>3536</v>
      </c>
      <c r="D211" s="261">
        <f t="shared" si="96"/>
        <v>17266</v>
      </c>
      <c r="E211" s="343">
        <f>K226</f>
        <v>9653.8366336633662</v>
      </c>
      <c r="F211" s="261">
        <f>K234</f>
        <v>14598.317241379311</v>
      </c>
      <c r="G211" s="98">
        <f t="shared" si="101"/>
        <v>4264</v>
      </c>
      <c r="H211" s="261">
        <f t="shared" ref="H211:H212" si="119">(E211+F211)-G211</f>
        <v>19988.153875042677</v>
      </c>
      <c r="I211" s="98">
        <f t="shared" si="115"/>
        <v>4853.8</v>
      </c>
      <c r="J211" s="261">
        <f t="shared" si="103"/>
        <v>4363.0148894783379</v>
      </c>
      <c r="K211" s="98">
        <f t="shared" si="104"/>
        <v>825.14600000000007</v>
      </c>
      <c r="L211" s="261">
        <f t="shared" si="105"/>
        <v>4028.654</v>
      </c>
      <c r="M211" s="98">
        <f>$J211*($G211/($E211+F211))</f>
        <v>767.10281423211916</v>
      </c>
      <c r="N211" s="261">
        <f>$J211-M211</f>
        <v>3595.9120752462186</v>
      </c>
      <c r="O211" s="98">
        <f t="shared" si="108"/>
        <v>62640022.5</v>
      </c>
      <c r="P211" s="261">
        <f t="shared" si="109"/>
        <v>38630797</v>
      </c>
      <c r="Q211" s="98">
        <f t="shared" si="110"/>
        <v>28471095</v>
      </c>
      <c r="R211" s="261">
        <f t="shared" si="111"/>
        <v>10648803.825000001</v>
      </c>
      <c r="S211" s="98">
        <f t="shared" si="112"/>
        <v>51991218.674999997</v>
      </c>
      <c r="T211" s="261">
        <f t="shared" si="113"/>
        <v>11797816.761439977</v>
      </c>
      <c r="U211" s="98">
        <f t="shared" si="114"/>
        <v>55304075.238560021</v>
      </c>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c r="AY211" s="170"/>
      <c r="AZ211" s="170"/>
      <c r="BA211" s="170"/>
      <c r="BB211" s="170"/>
      <c r="BC211" s="170"/>
      <c r="BD211" s="170"/>
      <c r="BE211" s="170"/>
      <c r="BF211" s="170"/>
      <c r="BG211" s="170"/>
      <c r="BH211" s="170"/>
      <c r="BI211" s="170"/>
      <c r="BJ211" s="170"/>
      <c r="BK211" s="170"/>
      <c r="BL211" s="170"/>
      <c r="BM211" s="170"/>
      <c r="BN211" s="170"/>
      <c r="BO211" s="170"/>
      <c r="BP211" s="170"/>
      <c r="BQ211" s="170"/>
      <c r="BR211" s="170"/>
      <c r="BS211" s="170"/>
      <c r="BT211" s="170"/>
      <c r="BU211" s="170"/>
      <c r="BV211" s="170"/>
      <c r="BW211" s="170"/>
      <c r="BX211" s="170"/>
      <c r="BY211" s="170"/>
      <c r="BZ211" s="170"/>
    </row>
    <row r="212" spans="1:78" x14ac:dyDescent="0.2">
      <c r="A212" s="95">
        <f t="shared" si="98"/>
        <v>2056</v>
      </c>
      <c r="B212" s="263">
        <f t="shared" si="116"/>
        <v>20989</v>
      </c>
      <c r="C212" s="99">
        <f t="shared" si="95"/>
        <v>3568</v>
      </c>
      <c r="D212" s="263">
        <f t="shared" si="96"/>
        <v>17421</v>
      </c>
      <c r="E212" s="99">
        <f>ROUND($E$211*(1+$B$244)^(A212-$A$211),0)</f>
        <v>9741</v>
      </c>
      <c r="F212" s="263">
        <f>ROUND($F$211*(1+$B$244)^(A212-$A$211),0)</f>
        <v>14730</v>
      </c>
      <c r="G212" s="99">
        <f t="shared" si="101"/>
        <v>4303</v>
      </c>
      <c r="H212" s="263">
        <f t="shared" si="119"/>
        <v>20168</v>
      </c>
      <c r="I212" s="99">
        <f t="shared" si="115"/>
        <v>4897.4333333333334</v>
      </c>
      <c r="J212" s="263">
        <f t="shared" si="103"/>
        <v>4402.3812307692306</v>
      </c>
      <c r="K212" s="99">
        <f t="shared" si="104"/>
        <v>832.56366666666679</v>
      </c>
      <c r="L212" s="263">
        <f t="shared" si="105"/>
        <v>4064.8696666666665</v>
      </c>
      <c r="M212" s="99">
        <f>$J212*($G212/($E212+F212))</f>
        <v>774.11819852069789</v>
      </c>
      <c r="N212" s="263">
        <f>$J212-M212</f>
        <v>3628.2630322485329</v>
      </c>
      <c r="O212" s="99">
        <f t="shared" si="108"/>
        <v>63203126.25</v>
      </c>
      <c r="P212" s="263">
        <f t="shared" si="109"/>
        <v>38979262.5</v>
      </c>
      <c r="Q212" s="99">
        <f t="shared" si="110"/>
        <v>28728157.199999999</v>
      </c>
      <c r="R212" s="263">
        <f t="shared" si="111"/>
        <v>10744531.4625</v>
      </c>
      <c r="S212" s="99">
        <f t="shared" si="112"/>
        <v>52458594.787500001</v>
      </c>
      <c r="T212" s="263">
        <f t="shared" si="113"/>
        <v>11905726.246132158</v>
      </c>
      <c r="U212" s="99">
        <f t="shared" si="114"/>
        <v>55801693.453867845</v>
      </c>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c r="AY212" s="170"/>
      <c r="AZ212" s="170"/>
      <c r="BA212" s="170"/>
      <c r="BB212" s="170"/>
      <c r="BC212" s="170"/>
      <c r="BD212" s="170"/>
      <c r="BE212" s="170"/>
      <c r="BF212" s="170"/>
      <c r="BG212" s="170"/>
      <c r="BH212" s="170"/>
      <c r="BI212" s="170"/>
      <c r="BJ212" s="170"/>
      <c r="BK212" s="170"/>
      <c r="BL212" s="170"/>
      <c r="BM212" s="170"/>
      <c r="BN212" s="170"/>
      <c r="BO212" s="170"/>
      <c r="BP212" s="170"/>
      <c r="BQ212" s="170"/>
      <c r="BR212" s="170"/>
      <c r="BS212" s="170"/>
      <c r="BT212" s="170"/>
      <c r="BU212" s="170"/>
      <c r="BV212" s="170"/>
      <c r="BW212" s="170"/>
      <c r="BX212" s="170"/>
      <c r="BY212" s="170"/>
      <c r="BZ212" s="170"/>
    </row>
    <row r="213" spans="1:78" x14ac:dyDescent="0.2">
      <c r="A213" s="266"/>
      <c r="B213" s="185"/>
      <c r="C213" s="269"/>
      <c r="D213" s="264"/>
      <c r="E213" s="264"/>
      <c r="F213" s="185"/>
      <c r="G213" s="269"/>
      <c r="H213" s="264"/>
      <c r="I213" s="264"/>
      <c r="J213" s="257"/>
      <c r="K213" s="257"/>
      <c r="L213" s="257"/>
      <c r="M213" s="257"/>
      <c r="N213" s="257"/>
      <c r="O213" s="257"/>
      <c r="P213" s="257"/>
      <c r="Q213" s="257"/>
      <c r="R213" s="257"/>
      <c r="S213" s="257"/>
      <c r="T213" s="257"/>
      <c r="U213" s="257"/>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c r="AY213" s="170"/>
      <c r="AZ213" s="170"/>
      <c r="BA213" s="170"/>
      <c r="BB213" s="170"/>
      <c r="BC213" s="170"/>
      <c r="BD213" s="170"/>
      <c r="BE213" s="170"/>
      <c r="BF213" s="170"/>
      <c r="BG213" s="170"/>
      <c r="BH213" s="170"/>
      <c r="BI213" s="170"/>
      <c r="BJ213" s="170"/>
      <c r="BK213" s="170"/>
      <c r="BL213" s="170"/>
      <c r="BM213" s="170"/>
      <c r="BN213" s="170"/>
      <c r="BO213" s="170"/>
      <c r="BP213" s="170"/>
      <c r="BQ213" s="170"/>
      <c r="BR213" s="170"/>
      <c r="BS213" s="170"/>
      <c r="BT213" s="170"/>
      <c r="BU213" s="170"/>
      <c r="BV213" s="170"/>
      <c r="BW213" s="170"/>
      <c r="BX213" s="170"/>
      <c r="BY213" s="170"/>
      <c r="BZ213" s="170"/>
    </row>
    <row r="214" spans="1:78" x14ac:dyDescent="0.2">
      <c r="A214" s="270"/>
      <c r="B214" s="270"/>
      <c r="C214" s="271"/>
      <c r="D214" s="264"/>
      <c r="E214" s="264"/>
      <c r="F214" s="185"/>
      <c r="G214" s="272"/>
      <c r="H214" s="271"/>
      <c r="I214" s="271"/>
      <c r="J214" s="271"/>
      <c r="K214" s="271"/>
      <c r="L214" s="273"/>
      <c r="M214" s="273"/>
      <c r="N214" s="273"/>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c r="AY214" s="170"/>
      <c r="AZ214" s="170"/>
      <c r="BA214" s="170"/>
      <c r="BB214" s="170"/>
      <c r="BC214" s="170"/>
      <c r="BD214" s="170"/>
      <c r="BE214" s="170"/>
      <c r="BF214" s="170"/>
      <c r="BG214" s="170"/>
      <c r="BH214" s="170"/>
      <c r="BI214" s="170"/>
      <c r="BJ214" s="170"/>
      <c r="BK214" s="170"/>
      <c r="BL214" s="170"/>
      <c r="BM214" s="170"/>
      <c r="BN214" s="170"/>
      <c r="BO214" s="170"/>
      <c r="BP214" s="170"/>
      <c r="BQ214" s="170"/>
      <c r="BR214" s="170"/>
      <c r="BS214" s="170"/>
      <c r="BT214" s="170"/>
      <c r="BU214" s="170"/>
      <c r="BV214" s="170"/>
      <c r="BW214" s="170"/>
      <c r="BX214" s="170"/>
      <c r="BY214" s="170"/>
      <c r="BZ214" s="170"/>
    </row>
    <row r="215" spans="1:78" ht="13.9" customHeight="1" x14ac:dyDescent="0.2">
      <c r="A215" s="471" t="s">
        <v>118</v>
      </c>
      <c r="B215" s="484"/>
      <c r="C215" s="484"/>
      <c r="D215" s="484"/>
      <c r="E215" s="484"/>
      <c r="F215" s="484"/>
      <c r="G215" s="484"/>
      <c r="H215" s="484"/>
      <c r="I215" s="484"/>
      <c r="J215" s="484"/>
      <c r="K215" s="472"/>
      <c r="L215" s="170"/>
      <c r="M215" s="184" t="s">
        <v>126</v>
      </c>
      <c r="N215" s="184" t="s">
        <v>28</v>
      </c>
      <c r="O215" s="103"/>
      <c r="P215" s="184"/>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c r="AY215" s="170"/>
      <c r="AZ215" s="170"/>
      <c r="BA215" s="170"/>
      <c r="BB215" s="170"/>
      <c r="BC215" s="170"/>
      <c r="BD215" s="170"/>
      <c r="BE215" s="170"/>
      <c r="BF215" s="170"/>
      <c r="BG215" s="170"/>
      <c r="BH215" s="170"/>
      <c r="BI215" s="170"/>
      <c r="BJ215" s="170"/>
      <c r="BK215" s="170"/>
      <c r="BL215" s="170"/>
      <c r="BM215" s="170"/>
      <c r="BN215" s="170"/>
      <c r="BO215" s="170"/>
      <c r="BP215" s="170"/>
      <c r="BQ215" s="170"/>
      <c r="BR215" s="170"/>
      <c r="BS215" s="170"/>
      <c r="BT215" s="170"/>
      <c r="BU215" s="170"/>
      <c r="BV215" s="170"/>
      <c r="BW215" s="170"/>
      <c r="BX215" s="170"/>
      <c r="BY215" s="170"/>
      <c r="BZ215" s="170"/>
    </row>
    <row r="216" spans="1:78" ht="13.9" customHeight="1" x14ac:dyDescent="0.2">
      <c r="A216" s="478"/>
      <c r="B216" s="397" t="s">
        <v>236</v>
      </c>
      <c r="C216" s="398"/>
      <c r="D216" s="398"/>
      <c r="E216" s="398"/>
      <c r="F216" s="398"/>
      <c r="G216" s="398"/>
      <c r="H216" s="398"/>
      <c r="I216" s="398"/>
      <c r="J216" s="398"/>
      <c r="K216" s="399"/>
      <c r="L216" s="170"/>
      <c r="M216" s="184">
        <v>1</v>
      </c>
      <c r="N216" s="328" t="s">
        <v>128</v>
      </c>
      <c r="O216" s="103"/>
      <c r="P216" s="103"/>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0"/>
      <c r="BD216" s="170"/>
      <c r="BE216" s="170"/>
      <c r="BF216" s="170"/>
      <c r="BG216" s="170"/>
      <c r="BH216" s="170"/>
      <c r="BI216" s="170"/>
      <c r="BJ216" s="170"/>
      <c r="BK216" s="170"/>
      <c r="BL216" s="170"/>
      <c r="BM216" s="170"/>
      <c r="BN216" s="170"/>
      <c r="BO216" s="170"/>
      <c r="BP216" s="170"/>
      <c r="BQ216" s="170"/>
      <c r="BR216" s="170"/>
      <c r="BS216" s="170"/>
      <c r="BT216" s="170"/>
      <c r="BU216" s="170"/>
      <c r="BV216" s="170"/>
      <c r="BW216" s="170"/>
      <c r="BX216" s="170"/>
      <c r="BY216" s="170"/>
      <c r="BZ216" s="170"/>
    </row>
    <row r="217" spans="1:78" ht="27" customHeight="1" x14ac:dyDescent="0.2">
      <c r="A217" s="478"/>
      <c r="B217" s="242">
        <v>1</v>
      </c>
      <c r="C217" s="242">
        <v>2</v>
      </c>
      <c r="D217" s="242">
        <v>3</v>
      </c>
      <c r="E217" s="242">
        <v>4</v>
      </c>
      <c r="F217" s="242">
        <v>5</v>
      </c>
      <c r="G217" s="242">
        <v>6</v>
      </c>
      <c r="H217" s="242">
        <v>7</v>
      </c>
      <c r="I217" s="242">
        <v>8</v>
      </c>
      <c r="J217" s="242">
        <v>9</v>
      </c>
      <c r="K217" s="177" t="s">
        <v>125</v>
      </c>
      <c r="L217" s="170"/>
      <c r="M217" s="184">
        <v>2</v>
      </c>
      <c r="N217" s="144" t="s">
        <v>131</v>
      </c>
      <c r="O217" s="103"/>
      <c r="P217" s="103"/>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0"/>
      <c r="BD217" s="170"/>
      <c r="BE217" s="170"/>
      <c r="BF217" s="170"/>
      <c r="BG217" s="170"/>
      <c r="BH217" s="170"/>
      <c r="BI217" s="170"/>
      <c r="BJ217" s="170"/>
      <c r="BK217" s="170"/>
      <c r="BL217" s="170"/>
      <c r="BM217" s="170"/>
      <c r="BN217" s="170"/>
      <c r="BO217" s="170"/>
      <c r="BP217" s="170"/>
      <c r="BQ217" s="170"/>
      <c r="BR217" s="170"/>
      <c r="BS217" s="170"/>
      <c r="BT217" s="170"/>
      <c r="BU217" s="170"/>
      <c r="BV217" s="170"/>
      <c r="BW217" s="170"/>
      <c r="BX217" s="170"/>
      <c r="BY217" s="170"/>
      <c r="BZ217" s="170"/>
    </row>
    <row r="218" spans="1:78" ht="13.9" customHeight="1" x14ac:dyDescent="0.2">
      <c r="A218" s="274" t="s">
        <v>130</v>
      </c>
      <c r="B218" s="275">
        <f>B220-B219</f>
        <v>8300</v>
      </c>
      <c r="C218" s="276">
        <f t="shared" ref="C218:J218" si="120">C220-C219</f>
        <v>11786</v>
      </c>
      <c r="D218" s="275">
        <f t="shared" si="120"/>
        <v>14442</v>
      </c>
      <c r="E218" s="276">
        <f t="shared" si="120"/>
        <v>15355</v>
      </c>
      <c r="F218" s="275">
        <f t="shared" si="120"/>
        <v>14525</v>
      </c>
      <c r="G218" s="276">
        <f t="shared" si="120"/>
        <v>10209</v>
      </c>
      <c r="H218" s="275">
        <f t="shared" si="120"/>
        <v>12035</v>
      </c>
      <c r="I218" s="276">
        <f t="shared" si="120"/>
        <v>10541</v>
      </c>
      <c r="J218" s="275">
        <f t="shared" si="120"/>
        <v>5229</v>
      </c>
      <c r="K218" s="479">
        <f>SUM(B223:J223)</f>
        <v>13031.030303030302</v>
      </c>
      <c r="L218" s="170"/>
      <c r="M218" s="184">
        <v>3</v>
      </c>
      <c r="N218" s="144" t="s">
        <v>300</v>
      </c>
      <c r="O218" s="103"/>
      <c r="P218" s="103"/>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170"/>
      <c r="BC218" s="170"/>
      <c r="BD218" s="170"/>
      <c r="BE218" s="170"/>
      <c r="BF218" s="170"/>
      <c r="BG218" s="170"/>
      <c r="BH218" s="170"/>
      <c r="BI218" s="170"/>
      <c r="BJ218" s="170"/>
      <c r="BK218" s="170"/>
      <c r="BL218" s="170"/>
      <c r="BM218" s="170"/>
      <c r="BN218" s="170"/>
      <c r="BO218" s="170"/>
      <c r="BP218" s="170"/>
      <c r="BQ218" s="170"/>
      <c r="BR218" s="170"/>
      <c r="BS218" s="170"/>
      <c r="BT218" s="170"/>
      <c r="BU218" s="170"/>
      <c r="BV218" s="170"/>
      <c r="BW218" s="170"/>
      <c r="BX218" s="170"/>
      <c r="BY218" s="170"/>
      <c r="BZ218" s="170"/>
    </row>
    <row r="219" spans="1:78" ht="13.9" customHeight="1" x14ac:dyDescent="0.2">
      <c r="A219" s="274" t="s">
        <v>133</v>
      </c>
      <c r="B219" s="275">
        <f t="shared" ref="B219:J219" si="121">B220*$B$245</f>
        <v>1700.0000000000002</v>
      </c>
      <c r="C219" s="276">
        <f t="shared" si="121"/>
        <v>2414</v>
      </c>
      <c r="D219" s="275">
        <f t="shared" si="121"/>
        <v>2958</v>
      </c>
      <c r="E219" s="276">
        <f t="shared" si="121"/>
        <v>3145</v>
      </c>
      <c r="F219" s="275">
        <f t="shared" si="121"/>
        <v>2975</v>
      </c>
      <c r="G219" s="276">
        <f t="shared" si="121"/>
        <v>2091</v>
      </c>
      <c r="H219" s="275">
        <f t="shared" si="121"/>
        <v>2465</v>
      </c>
      <c r="I219" s="276">
        <f t="shared" si="121"/>
        <v>2159</v>
      </c>
      <c r="J219" s="275">
        <f t="shared" si="121"/>
        <v>1071</v>
      </c>
      <c r="K219" s="479"/>
      <c r="L219" s="170"/>
      <c r="M219" s="184">
        <v>4</v>
      </c>
      <c r="N219" s="144" t="s">
        <v>301</v>
      </c>
      <c r="O219" s="103"/>
      <c r="P219" s="103"/>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c r="BN219" s="170"/>
      <c r="BO219" s="170"/>
      <c r="BP219" s="170"/>
      <c r="BQ219" s="170"/>
      <c r="BR219" s="170"/>
      <c r="BS219" s="170"/>
      <c r="BT219" s="170"/>
      <c r="BU219" s="170"/>
      <c r="BV219" s="170"/>
      <c r="BW219" s="170"/>
      <c r="BX219" s="170"/>
      <c r="BY219" s="170"/>
      <c r="BZ219" s="170"/>
    </row>
    <row r="220" spans="1:78" ht="13.9" customHeight="1" x14ac:dyDescent="0.2">
      <c r="A220" s="274" t="s">
        <v>135</v>
      </c>
      <c r="B220" s="277">
        <v>10000</v>
      </c>
      <c r="C220" s="277">
        <v>14200</v>
      </c>
      <c r="D220" s="277">
        <v>17400</v>
      </c>
      <c r="E220" s="277">
        <v>18500</v>
      </c>
      <c r="F220" s="277">
        <v>17500</v>
      </c>
      <c r="G220" s="277">
        <v>12300</v>
      </c>
      <c r="H220" s="277">
        <v>14500</v>
      </c>
      <c r="I220" s="277">
        <v>12700</v>
      </c>
      <c r="J220" s="277">
        <v>6300</v>
      </c>
      <c r="K220" s="479"/>
      <c r="L220" s="170"/>
      <c r="M220" s="184">
        <v>5</v>
      </c>
      <c r="N220" s="144" t="s">
        <v>302</v>
      </c>
      <c r="O220" s="103"/>
      <c r="P220" s="103"/>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c r="BN220" s="170"/>
      <c r="BO220" s="170"/>
      <c r="BP220" s="170"/>
      <c r="BQ220" s="170"/>
      <c r="BR220" s="170"/>
      <c r="BS220" s="170"/>
      <c r="BT220" s="170"/>
      <c r="BU220" s="170"/>
      <c r="BV220" s="170"/>
      <c r="BW220" s="170"/>
      <c r="BX220" s="170"/>
      <c r="BY220" s="170"/>
      <c r="BZ220" s="170"/>
    </row>
    <row r="221" spans="1:78" ht="13.9" customHeight="1" x14ac:dyDescent="0.2">
      <c r="A221" s="274" t="s">
        <v>137</v>
      </c>
      <c r="B221" s="309">
        <v>1.42</v>
      </c>
      <c r="C221" s="249">
        <v>1.5</v>
      </c>
      <c r="D221" s="309">
        <v>0.67</v>
      </c>
      <c r="E221" s="249">
        <v>0.57999999999999996</v>
      </c>
      <c r="F221" s="309">
        <v>0.77</v>
      </c>
      <c r="G221" s="249">
        <v>0.57999999999999996</v>
      </c>
      <c r="H221" s="309">
        <v>0.41</v>
      </c>
      <c r="I221" s="249">
        <v>1.32</v>
      </c>
      <c r="J221" s="309">
        <v>1</v>
      </c>
      <c r="K221" s="479"/>
      <c r="L221" s="170"/>
      <c r="M221" s="184">
        <v>6</v>
      </c>
      <c r="N221" s="144" t="s">
        <v>303</v>
      </c>
      <c r="O221" s="103"/>
      <c r="P221" s="103"/>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c r="BN221" s="170"/>
      <c r="BO221" s="170"/>
      <c r="BP221" s="170"/>
      <c r="BQ221" s="170"/>
      <c r="BR221" s="170"/>
      <c r="BS221" s="170"/>
      <c r="BT221" s="170"/>
      <c r="BU221" s="170"/>
      <c r="BV221" s="170"/>
      <c r="BW221" s="170"/>
      <c r="BX221" s="170"/>
      <c r="BY221" s="170"/>
      <c r="BZ221" s="170"/>
    </row>
    <row r="222" spans="1:78" ht="13.9" customHeight="1" x14ac:dyDescent="0.2">
      <c r="A222" s="274" t="s">
        <v>139</v>
      </c>
      <c r="B222" s="279">
        <f t="shared" ref="B222:J222" si="122">B221/SUM($B$221:$J$221)</f>
        <v>0.17212121212121212</v>
      </c>
      <c r="C222" s="245">
        <f t="shared" si="122"/>
        <v>0.18181818181818182</v>
      </c>
      <c r="D222" s="279">
        <f t="shared" si="122"/>
        <v>8.1212121212121222E-2</v>
      </c>
      <c r="E222" s="245">
        <f t="shared" si="122"/>
        <v>7.0303030303030298E-2</v>
      </c>
      <c r="F222" s="279">
        <f t="shared" si="122"/>
        <v>9.3333333333333338E-2</v>
      </c>
      <c r="G222" s="245">
        <f t="shared" si="122"/>
        <v>7.0303030303030298E-2</v>
      </c>
      <c r="H222" s="279">
        <f t="shared" si="122"/>
        <v>4.9696969696969691E-2</v>
      </c>
      <c r="I222" s="245">
        <f t="shared" si="122"/>
        <v>0.16</v>
      </c>
      <c r="J222" s="279">
        <f t="shared" si="122"/>
        <v>0.12121212121212122</v>
      </c>
      <c r="K222" s="479"/>
      <c r="L222" s="170"/>
      <c r="M222" s="184">
        <v>7</v>
      </c>
      <c r="N222" s="144" t="s">
        <v>304</v>
      </c>
      <c r="O222" s="103"/>
      <c r="P222" s="103"/>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c r="BN222" s="170"/>
      <c r="BO222" s="170"/>
      <c r="BP222" s="170"/>
      <c r="BQ222" s="170"/>
      <c r="BR222" s="170"/>
      <c r="BS222" s="170"/>
      <c r="BT222" s="170"/>
      <c r="BU222" s="170"/>
      <c r="BV222" s="170"/>
      <c r="BW222" s="170"/>
      <c r="BX222" s="170"/>
      <c r="BY222" s="170"/>
      <c r="BZ222" s="170"/>
    </row>
    <row r="223" spans="1:78" ht="13.9" customHeight="1" x14ac:dyDescent="0.2">
      <c r="A223" s="274" t="s">
        <v>141</v>
      </c>
      <c r="B223" s="275">
        <f>B220*B222</f>
        <v>1721.2121212121212</v>
      </c>
      <c r="C223" s="276">
        <f t="shared" ref="C223:J223" si="123">C220*C222</f>
        <v>2581.818181818182</v>
      </c>
      <c r="D223" s="275">
        <f t="shared" si="123"/>
        <v>1413.0909090909092</v>
      </c>
      <c r="E223" s="276">
        <f t="shared" si="123"/>
        <v>1300.6060606060605</v>
      </c>
      <c r="F223" s="275">
        <f t="shared" si="123"/>
        <v>1633.3333333333335</v>
      </c>
      <c r="G223" s="276">
        <f t="shared" si="123"/>
        <v>864.72727272727263</v>
      </c>
      <c r="H223" s="275">
        <f t="shared" si="123"/>
        <v>720.60606060606051</v>
      </c>
      <c r="I223" s="276">
        <f t="shared" si="123"/>
        <v>2032</v>
      </c>
      <c r="J223" s="275">
        <f t="shared" si="123"/>
        <v>763.63636363636363</v>
      </c>
      <c r="K223" s="479"/>
      <c r="L223" s="170"/>
      <c r="M223" s="184">
        <v>8</v>
      </c>
      <c r="N223" s="144" t="s">
        <v>305</v>
      </c>
      <c r="O223" s="103"/>
      <c r="P223" s="103"/>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c r="AY223" s="170"/>
      <c r="AZ223" s="170"/>
      <c r="BA223" s="170"/>
      <c r="BB223" s="170"/>
      <c r="BC223" s="170"/>
      <c r="BD223" s="170"/>
      <c r="BE223" s="170"/>
      <c r="BF223" s="170"/>
      <c r="BG223" s="170"/>
      <c r="BH223" s="170"/>
      <c r="BI223" s="170"/>
      <c r="BJ223" s="170"/>
      <c r="BK223" s="170"/>
      <c r="BL223" s="170"/>
      <c r="BM223" s="170"/>
      <c r="BN223" s="170"/>
      <c r="BO223" s="170"/>
      <c r="BP223" s="170"/>
      <c r="BQ223" s="170"/>
      <c r="BR223" s="170"/>
      <c r="BS223" s="170"/>
      <c r="BT223" s="170"/>
      <c r="BU223" s="170"/>
      <c r="BV223" s="170"/>
      <c r="BW223" s="170"/>
      <c r="BX223" s="170"/>
      <c r="BY223" s="170"/>
      <c r="BZ223" s="170"/>
    </row>
    <row r="224" spans="1:78" ht="13.9" customHeight="1" x14ac:dyDescent="0.2">
      <c r="A224" s="478"/>
      <c r="B224" s="397" t="s">
        <v>293</v>
      </c>
      <c r="C224" s="398"/>
      <c r="D224" s="398"/>
      <c r="E224" s="398"/>
      <c r="F224" s="398"/>
      <c r="G224" s="398"/>
      <c r="H224" s="398"/>
      <c r="I224" s="398"/>
      <c r="J224" s="398"/>
      <c r="K224" s="399"/>
      <c r="L224" s="170"/>
      <c r="M224" s="184">
        <v>9</v>
      </c>
      <c r="N224" s="144" t="s">
        <v>306</v>
      </c>
      <c r="O224" s="103"/>
      <c r="P224" s="103"/>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c r="AY224" s="170"/>
      <c r="AZ224" s="170"/>
      <c r="BA224" s="170"/>
      <c r="BB224" s="170"/>
      <c r="BC224" s="170"/>
      <c r="BD224" s="170"/>
      <c r="BE224" s="170"/>
      <c r="BF224" s="170"/>
      <c r="BG224" s="170"/>
      <c r="BH224" s="170"/>
      <c r="BI224" s="170"/>
      <c r="BJ224" s="170"/>
      <c r="BK224" s="170"/>
      <c r="BL224" s="170"/>
      <c r="BM224" s="170"/>
      <c r="BN224" s="170"/>
      <c r="BO224" s="170"/>
      <c r="BP224" s="170"/>
      <c r="BQ224" s="170"/>
      <c r="BR224" s="170"/>
      <c r="BS224" s="170"/>
      <c r="BT224" s="170"/>
      <c r="BU224" s="170"/>
      <c r="BV224" s="170"/>
      <c r="BW224" s="170"/>
      <c r="BX224" s="170"/>
      <c r="BY224" s="170"/>
      <c r="BZ224" s="170"/>
    </row>
    <row r="225" spans="1:78" ht="27" customHeight="1" x14ac:dyDescent="0.2">
      <c r="A225" s="478"/>
      <c r="B225" s="242">
        <v>1</v>
      </c>
      <c r="C225" s="295">
        <v>2</v>
      </c>
      <c r="D225" s="485">
        <v>3</v>
      </c>
      <c r="E225" s="486"/>
      <c r="F225" s="295">
        <v>4</v>
      </c>
      <c r="G225" s="485">
        <v>5</v>
      </c>
      <c r="H225" s="487"/>
      <c r="I225" s="486"/>
      <c r="J225" s="247">
        <v>6</v>
      </c>
      <c r="K225" s="177" t="s">
        <v>125</v>
      </c>
      <c r="L225" s="170"/>
      <c r="M225" s="184"/>
      <c r="N225" s="103"/>
      <c r="O225" s="103"/>
      <c r="P225" s="103"/>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c r="BX225" s="170"/>
      <c r="BY225" s="170"/>
      <c r="BZ225" s="170"/>
    </row>
    <row r="226" spans="1:78" ht="13.9" customHeight="1" x14ac:dyDescent="0.2">
      <c r="A226" s="274" t="s">
        <v>130</v>
      </c>
      <c r="B226" s="275">
        <f t="shared" ref="B226:D226" si="124">B228-B227</f>
        <v>8470</v>
      </c>
      <c r="C226" s="298">
        <f t="shared" si="124"/>
        <v>7007</v>
      </c>
      <c r="D226" s="433">
        <f t="shared" si="124"/>
        <v>6930</v>
      </c>
      <c r="E226" s="435"/>
      <c r="F226" s="298">
        <f t="shared" ref="F226" si="125">F228-F227</f>
        <v>7469</v>
      </c>
      <c r="G226" s="433">
        <f>G228-G227</f>
        <v>7161</v>
      </c>
      <c r="H226" s="434"/>
      <c r="I226" s="435"/>
      <c r="J226" s="276">
        <f t="shared" ref="J226" si="126">J228-J227</f>
        <v>7392</v>
      </c>
      <c r="K226" s="479">
        <f>SUM(B231:J231)</f>
        <v>9653.8366336633662</v>
      </c>
      <c r="L226" s="170"/>
      <c r="M226" s="184" t="s">
        <v>127</v>
      </c>
      <c r="N226" s="184" t="s">
        <v>42</v>
      </c>
      <c r="O226" s="103"/>
      <c r="P226" s="103"/>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c r="BN226" s="170"/>
      <c r="BO226" s="170"/>
      <c r="BP226" s="170"/>
      <c r="BQ226" s="170"/>
      <c r="BR226" s="170"/>
      <c r="BS226" s="170"/>
      <c r="BT226" s="170"/>
      <c r="BU226" s="170"/>
      <c r="BV226" s="170"/>
      <c r="BW226" s="170"/>
      <c r="BX226" s="170"/>
      <c r="BY226" s="170"/>
      <c r="BZ226" s="170"/>
    </row>
    <row r="227" spans="1:78" ht="13.9" customHeight="1" x14ac:dyDescent="0.2">
      <c r="A227" s="274" t="s">
        <v>133</v>
      </c>
      <c r="B227" s="275">
        <f>B228*$B$246</f>
        <v>2530</v>
      </c>
      <c r="C227" s="298">
        <f>C228*$B$246</f>
        <v>2093</v>
      </c>
      <c r="D227" s="433">
        <f>D228*$B$246</f>
        <v>2070</v>
      </c>
      <c r="E227" s="435"/>
      <c r="F227" s="298">
        <f>F228*$B$246</f>
        <v>2231</v>
      </c>
      <c r="G227" s="433">
        <f>G228*$B$246</f>
        <v>2139</v>
      </c>
      <c r="H227" s="434"/>
      <c r="I227" s="435"/>
      <c r="J227" s="276">
        <f t="shared" ref="J227" si="127">J228*$B$246</f>
        <v>2208</v>
      </c>
      <c r="K227" s="479"/>
      <c r="L227" s="170"/>
      <c r="M227" s="184">
        <v>1</v>
      </c>
      <c r="N227" s="103" t="s">
        <v>129</v>
      </c>
      <c r="O227" s="103"/>
      <c r="P227" s="103"/>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c r="BA227" s="170"/>
      <c r="BB227" s="170"/>
      <c r="BC227" s="170"/>
      <c r="BD227" s="170"/>
      <c r="BE227" s="170"/>
      <c r="BF227" s="170"/>
      <c r="BG227" s="170"/>
      <c r="BH227" s="170"/>
      <c r="BI227" s="170"/>
      <c r="BJ227" s="170"/>
      <c r="BK227" s="170"/>
      <c r="BL227" s="170"/>
      <c r="BM227" s="170"/>
      <c r="BN227" s="170"/>
      <c r="BO227" s="170"/>
      <c r="BP227" s="170"/>
      <c r="BQ227" s="170"/>
      <c r="BR227" s="170"/>
      <c r="BS227" s="170"/>
      <c r="BT227" s="170"/>
      <c r="BU227" s="170"/>
      <c r="BV227" s="170"/>
      <c r="BW227" s="170"/>
      <c r="BX227" s="170"/>
      <c r="BY227" s="170"/>
      <c r="BZ227" s="170"/>
    </row>
    <row r="228" spans="1:78" ht="13.9" customHeight="1" x14ac:dyDescent="0.2">
      <c r="A228" s="274" t="s">
        <v>135</v>
      </c>
      <c r="B228" s="277">
        <v>11000</v>
      </c>
      <c r="C228" s="296">
        <v>9100</v>
      </c>
      <c r="D228" s="442">
        <v>9000</v>
      </c>
      <c r="E228" s="444"/>
      <c r="F228" s="296">
        <v>9700</v>
      </c>
      <c r="G228" s="442">
        <v>9300</v>
      </c>
      <c r="H228" s="443"/>
      <c r="I228" s="444"/>
      <c r="J228" s="277">
        <v>9600</v>
      </c>
      <c r="K228" s="479"/>
      <c r="L228" s="170"/>
      <c r="M228" s="184">
        <v>2</v>
      </c>
      <c r="N228" s="103" t="s">
        <v>132</v>
      </c>
      <c r="O228" s="103"/>
      <c r="P228" s="103"/>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c r="AY228" s="170"/>
      <c r="AZ228" s="170"/>
      <c r="BA228" s="170"/>
      <c r="BB228" s="170"/>
      <c r="BC228" s="170"/>
      <c r="BD228" s="170"/>
      <c r="BE228" s="170"/>
      <c r="BF228" s="170"/>
      <c r="BG228" s="170"/>
      <c r="BH228" s="170"/>
      <c r="BI228" s="170"/>
      <c r="BJ228" s="170"/>
      <c r="BK228" s="170"/>
      <c r="BL228" s="170"/>
      <c r="BM228" s="170"/>
      <c r="BN228" s="170"/>
      <c r="BO228" s="170"/>
      <c r="BP228" s="170"/>
      <c r="BQ228" s="170"/>
      <c r="BR228" s="170"/>
      <c r="BS228" s="170"/>
      <c r="BT228" s="170"/>
      <c r="BU228" s="170"/>
      <c r="BV228" s="170"/>
      <c r="BW228" s="170"/>
      <c r="BX228" s="170"/>
      <c r="BY228" s="170"/>
      <c r="BZ228" s="170"/>
    </row>
    <row r="229" spans="1:78" ht="13.9" customHeight="1" x14ac:dyDescent="0.2">
      <c r="A229" s="274" t="s">
        <v>137</v>
      </c>
      <c r="B229" s="278">
        <v>1.56</v>
      </c>
      <c r="C229" s="299">
        <v>1.65</v>
      </c>
      <c r="D229" s="439">
        <v>1.05</v>
      </c>
      <c r="E229" s="441"/>
      <c r="F229" s="299">
        <v>1.38</v>
      </c>
      <c r="G229" s="439">
        <v>1.44</v>
      </c>
      <c r="H229" s="440"/>
      <c r="I229" s="441"/>
      <c r="J229" s="249">
        <v>1</v>
      </c>
      <c r="K229" s="479"/>
      <c r="L229" s="170"/>
      <c r="M229" s="184">
        <v>3</v>
      </c>
      <c r="N229" s="103" t="s">
        <v>134</v>
      </c>
      <c r="O229" s="103"/>
      <c r="P229" s="103"/>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c r="AY229" s="170"/>
      <c r="AZ229" s="170"/>
      <c r="BA229" s="170"/>
      <c r="BB229" s="170"/>
      <c r="BC229" s="170"/>
      <c r="BD229" s="170"/>
      <c r="BE229" s="170"/>
      <c r="BF229" s="170"/>
      <c r="BG229" s="170"/>
      <c r="BH229" s="170"/>
      <c r="BI229" s="170"/>
      <c r="BJ229" s="170"/>
      <c r="BK229" s="170"/>
      <c r="BL229" s="170"/>
      <c r="BM229" s="170"/>
      <c r="BN229" s="170"/>
      <c r="BO229" s="170"/>
      <c r="BP229" s="170"/>
      <c r="BQ229" s="170"/>
      <c r="BR229" s="170"/>
      <c r="BS229" s="170"/>
      <c r="BT229" s="170"/>
      <c r="BU229" s="170"/>
      <c r="BV229" s="170"/>
      <c r="BW229" s="170"/>
      <c r="BX229" s="170"/>
      <c r="BY229" s="170"/>
      <c r="BZ229" s="170"/>
    </row>
    <row r="230" spans="1:78" ht="13.9" customHeight="1" x14ac:dyDescent="0.2">
      <c r="A230" s="274" t="s">
        <v>139</v>
      </c>
      <c r="B230" s="279">
        <f>B229/SUM($B$229:$J$229)</f>
        <v>0.19306930693069307</v>
      </c>
      <c r="C230" s="297">
        <f>C229/SUM($B$229:$J$229)</f>
        <v>0.2042079207920792</v>
      </c>
      <c r="D230" s="436">
        <f>D229/SUM($B$229:$J$229)</f>
        <v>0.12995049504950495</v>
      </c>
      <c r="E230" s="438"/>
      <c r="F230" s="297">
        <f>F229/SUM($B$229:$J$229)</f>
        <v>0.17079207920792078</v>
      </c>
      <c r="G230" s="436">
        <f>G229/SUM($B$229:$J$229)</f>
        <v>0.17821782178217821</v>
      </c>
      <c r="H230" s="437"/>
      <c r="I230" s="438"/>
      <c r="J230" s="248">
        <f t="shared" ref="J230" si="128">J229/SUM($B$229:$J$229)</f>
        <v>0.12376237623762376</v>
      </c>
      <c r="K230" s="479"/>
      <c r="L230" s="170"/>
      <c r="M230" s="184">
        <v>4</v>
      </c>
      <c r="N230" s="103" t="s">
        <v>136</v>
      </c>
      <c r="O230" s="103"/>
      <c r="P230" s="103"/>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c r="AY230" s="170"/>
      <c r="AZ230" s="170"/>
      <c r="BA230" s="170"/>
      <c r="BB230" s="170"/>
      <c r="BC230" s="170"/>
      <c r="BD230" s="170"/>
      <c r="BE230" s="170"/>
      <c r="BF230" s="170"/>
      <c r="BG230" s="170"/>
      <c r="BH230" s="170"/>
      <c r="BI230" s="170"/>
      <c r="BJ230" s="170"/>
      <c r="BK230" s="170"/>
      <c r="BL230" s="170"/>
      <c r="BM230" s="170"/>
      <c r="BN230" s="170"/>
      <c r="BO230" s="170"/>
      <c r="BP230" s="170"/>
      <c r="BQ230" s="170"/>
      <c r="BR230" s="170"/>
      <c r="BS230" s="170"/>
      <c r="BT230" s="170"/>
      <c r="BU230" s="170"/>
      <c r="BV230" s="170"/>
      <c r="BW230" s="170"/>
      <c r="BX230" s="170"/>
      <c r="BY230" s="170"/>
      <c r="BZ230" s="170"/>
    </row>
    <row r="231" spans="1:78" ht="13.9" customHeight="1" x14ac:dyDescent="0.2">
      <c r="A231" s="274" t="s">
        <v>141</v>
      </c>
      <c r="B231" s="275">
        <f>B228*B230</f>
        <v>2123.7623762376238</v>
      </c>
      <c r="C231" s="276">
        <f>C228*C230</f>
        <v>1858.2920792079208</v>
      </c>
      <c r="D231" s="433">
        <f>D228*D230</f>
        <v>1169.5544554455446</v>
      </c>
      <c r="E231" s="435"/>
      <c r="F231" s="298">
        <f>F228*F230</f>
        <v>1656.6831683168316</v>
      </c>
      <c r="G231" s="433">
        <f>G228*G230</f>
        <v>1657.4257425742574</v>
      </c>
      <c r="H231" s="434"/>
      <c r="I231" s="435"/>
      <c r="J231" s="276">
        <f>J228*J230</f>
        <v>1188.1188118811881</v>
      </c>
      <c r="K231" s="479"/>
      <c r="L231" s="170"/>
      <c r="M231" s="184">
        <v>5</v>
      </c>
      <c r="N231" s="103" t="s">
        <v>138</v>
      </c>
      <c r="O231" s="103"/>
      <c r="P231" s="103"/>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c r="BN231" s="170"/>
      <c r="BO231" s="170"/>
      <c r="BP231" s="170"/>
      <c r="BQ231" s="170"/>
      <c r="BR231" s="170"/>
      <c r="BS231" s="170"/>
      <c r="BT231" s="170"/>
      <c r="BU231" s="170"/>
      <c r="BV231" s="170"/>
      <c r="BW231" s="170"/>
      <c r="BX231" s="170"/>
      <c r="BY231" s="170"/>
      <c r="BZ231" s="170"/>
    </row>
    <row r="232" spans="1:78" ht="13.9" customHeight="1" x14ac:dyDescent="0.2">
      <c r="A232" s="478"/>
      <c r="B232" s="397" t="s">
        <v>292</v>
      </c>
      <c r="C232" s="398"/>
      <c r="D232" s="398"/>
      <c r="E232" s="398"/>
      <c r="F232" s="398"/>
      <c r="G232" s="398"/>
      <c r="H232" s="398"/>
      <c r="I232" s="398"/>
      <c r="J232" s="398"/>
      <c r="K232" s="399"/>
      <c r="L232" s="170"/>
      <c r="M232" s="184">
        <v>6</v>
      </c>
      <c r="N232" s="103" t="s">
        <v>140</v>
      </c>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c r="BN232" s="170"/>
      <c r="BO232" s="170"/>
      <c r="BP232" s="170"/>
      <c r="BQ232" s="170"/>
      <c r="BR232" s="170"/>
      <c r="BS232" s="170"/>
      <c r="BT232" s="170"/>
      <c r="BU232" s="170"/>
      <c r="BV232" s="170"/>
      <c r="BW232" s="170"/>
      <c r="BX232" s="170"/>
      <c r="BY232" s="170"/>
      <c r="BZ232" s="170"/>
    </row>
    <row r="233" spans="1:78" ht="27" customHeight="1" x14ac:dyDescent="0.2">
      <c r="A233" s="478"/>
      <c r="B233" s="242">
        <v>1</v>
      </c>
      <c r="C233" s="242">
        <v>2</v>
      </c>
      <c r="D233" s="242">
        <v>3</v>
      </c>
      <c r="E233" s="242">
        <v>4</v>
      </c>
      <c r="F233" s="242">
        <v>5</v>
      </c>
      <c r="G233" s="242">
        <v>6</v>
      </c>
      <c r="H233" s="242">
        <v>7</v>
      </c>
      <c r="I233" s="242">
        <v>8</v>
      </c>
      <c r="J233" s="247"/>
      <c r="K233" s="177" t="s">
        <v>125</v>
      </c>
      <c r="L233" s="170"/>
      <c r="M233" s="184"/>
      <c r="N233" s="184"/>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c r="AY233" s="170"/>
      <c r="AZ233" s="170"/>
      <c r="BA233" s="170"/>
      <c r="BB233" s="170"/>
      <c r="BC233" s="170"/>
      <c r="BD233" s="170"/>
      <c r="BE233" s="170"/>
      <c r="BF233" s="170"/>
      <c r="BG233" s="170"/>
      <c r="BH233" s="170"/>
      <c r="BI233" s="170"/>
      <c r="BJ233" s="170"/>
      <c r="BK233" s="170"/>
      <c r="BL233" s="170"/>
      <c r="BM233" s="170"/>
      <c r="BN233" s="170"/>
      <c r="BO233" s="170"/>
      <c r="BP233" s="170"/>
      <c r="BQ233" s="170"/>
      <c r="BR233" s="170"/>
      <c r="BS233" s="170"/>
      <c r="BT233" s="170"/>
      <c r="BU233" s="170"/>
      <c r="BV233" s="170"/>
      <c r="BW233" s="170"/>
      <c r="BX233" s="170"/>
      <c r="BY233" s="170"/>
      <c r="BZ233" s="170"/>
    </row>
    <row r="234" spans="1:78" ht="13.9" customHeight="1" x14ac:dyDescent="0.2">
      <c r="A234" s="274" t="s">
        <v>130</v>
      </c>
      <c r="B234" s="275">
        <f t="shared" ref="B234:I234" si="129">B236-B235</f>
        <v>7880.5517241379312</v>
      </c>
      <c r="C234" s="276">
        <f t="shared" si="129"/>
        <v>13589.931034482759</v>
      </c>
      <c r="D234" s="275">
        <f t="shared" si="129"/>
        <v>17047.724137931036</v>
      </c>
      <c r="E234" s="276">
        <f t="shared" si="129"/>
        <v>16605.448275862069</v>
      </c>
      <c r="F234" s="275">
        <f t="shared" si="129"/>
        <v>14635.310344827587</v>
      </c>
      <c r="G234" s="276">
        <f t="shared" si="129"/>
        <v>9810.4827586206902</v>
      </c>
      <c r="H234" s="275">
        <f t="shared" si="129"/>
        <v>11965.572413793103</v>
      </c>
      <c r="I234" s="276">
        <f t="shared" si="129"/>
        <v>8041.3793103448279</v>
      </c>
      <c r="J234" s="488"/>
      <c r="K234" s="479">
        <f>SUM(B239:J239)</f>
        <v>14598.317241379311</v>
      </c>
      <c r="L234" s="170"/>
      <c r="M234" s="184"/>
      <c r="N234" s="103"/>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c r="AY234" s="170"/>
      <c r="AZ234" s="170"/>
      <c r="BA234" s="170"/>
      <c r="BB234" s="170"/>
      <c r="BC234" s="170"/>
      <c r="BD234" s="170"/>
      <c r="BE234" s="170"/>
      <c r="BF234" s="170"/>
      <c r="BG234" s="170"/>
      <c r="BH234" s="170"/>
      <c r="BI234" s="170"/>
      <c r="BJ234" s="170"/>
      <c r="BK234" s="170"/>
      <c r="BL234" s="170"/>
      <c r="BM234" s="170"/>
      <c r="BN234" s="170"/>
      <c r="BO234" s="170"/>
      <c r="BP234" s="170"/>
      <c r="BQ234" s="170"/>
      <c r="BR234" s="170"/>
      <c r="BS234" s="170"/>
      <c r="BT234" s="170"/>
      <c r="BU234" s="170"/>
      <c r="BV234" s="170"/>
      <c r="BW234" s="170"/>
      <c r="BX234" s="170"/>
      <c r="BY234" s="170"/>
      <c r="BZ234" s="170"/>
    </row>
    <row r="235" spans="1:78" ht="13.9" customHeight="1" x14ac:dyDescent="0.2">
      <c r="A235" s="274" t="s">
        <v>133</v>
      </c>
      <c r="B235" s="275">
        <f t="shared" ref="B235:I235" si="130">B236*$B$238</f>
        <v>1919.4482758620688</v>
      </c>
      <c r="C235" s="276">
        <f t="shared" si="130"/>
        <v>3310.0689655172409</v>
      </c>
      <c r="D235" s="275">
        <f t="shared" si="130"/>
        <v>4152.2758620689647</v>
      </c>
      <c r="E235" s="276">
        <f t="shared" si="130"/>
        <v>4044.5517241379307</v>
      </c>
      <c r="F235" s="275">
        <f t="shared" si="130"/>
        <v>3564.6896551724135</v>
      </c>
      <c r="G235" s="276">
        <f t="shared" si="130"/>
        <v>2389.5172413793102</v>
      </c>
      <c r="H235" s="275">
        <f t="shared" si="130"/>
        <v>2914.4275862068962</v>
      </c>
      <c r="I235" s="276">
        <f t="shared" si="130"/>
        <v>1958.6206896551723</v>
      </c>
      <c r="J235" s="489"/>
      <c r="K235" s="479"/>
      <c r="L235" s="170"/>
      <c r="M235" s="184"/>
      <c r="N235" s="103"/>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c r="AY235" s="170"/>
      <c r="AZ235" s="170"/>
      <c r="BA235" s="170"/>
      <c r="BB235" s="170"/>
      <c r="BC235" s="170"/>
      <c r="BD235" s="170"/>
      <c r="BE235" s="170"/>
      <c r="BF235" s="170"/>
      <c r="BG235" s="170"/>
      <c r="BH235" s="170"/>
      <c r="BI235" s="170"/>
      <c r="BJ235" s="170"/>
      <c r="BK235" s="170"/>
      <c r="BL235" s="170"/>
      <c r="BM235" s="170"/>
      <c r="BN235" s="170"/>
      <c r="BO235" s="170"/>
      <c r="BP235" s="170"/>
      <c r="BQ235" s="170"/>
      <c r="BR235" s="170"/>
      <c r="BS235" s="170"/>
      <c r="BT235" s="170"/>
      <c r="BU235" s="170"/>
      <c r="BV235" s="170"/>
      <c r="BW235" s="170"/>
      <c r="BX235" s="170"/>
      <c r="BY235" s="170"/>
      <c r="BZ235" s="170"/>
    </row>
    <row r="236" spans="1:78" ht="13.9" customHeight="1" x14ac:dyDescent="0.2">
      <c r="A236" s="274" t="s">
        <v>135</v>
      </c>
      <c r="B236" s="277">
        <v>9800</v>
      </c>
      <c r="C236" s="277">
        <v>16900</v>
      </c>
      <c r="D236" s="277">
        <v>21200</v>
      </c>
      <c r="E236" s="277">
        <v>20650</v>
      </c>
      <c r="F236" s="277">
        <v>18200</v>
      </c>
      <c r="G236" s="277">
        <v>12200</v>
      </c>
      <c r="H236" s="277">
        <v>14880</v>
      </c>
      <c r="I236" s="277">
        <v>10000</v>
      </c>
      <c r="J236" s="489"/>
      <c r="K236" s="479"/>
      <c r="L236" s="170"/>
      <c r="M236" s="184"/>
      <c r="N236" s="103"/>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c r="AY236" s="170"/>
      <c r="AZ236" s="170"/>
      <c r="BA236" s="170"/>
      <c r="BB236" s="170"/>
      <c r="BC236" s="170"/>
      <c r="BD236" s="170"/>
      <c r="BE236" s="170"/>
      <c r="BF236" s="170"/>
      <c r="BG236" s="170"/>
      <c r="BH236" s="170"/>
      <c r="BI236" s="170"/>
      <c r="BJ236" s="170"/>
      <c r="BK236" s="170"/>
      <c r="BL236" s="170"/>
      <c r="BM236" s="170"/>
      <c r="BN236" s="170"/>
      <c r="BO236" s="170"/>
      <c r="BP236" s="170"/>
      <c r="BQ236" s="170"/>
      <c r="BR236" s="170"/>
      <c r="BS236" s="170"/>
      <c r="BT236" s="170"/>
      <c r="BU236" s="170"/>
      <c r="BV236" s="170"/>
      <c r="BW236" s="170"/>
      <c r="BX236" s="170"/>
      <c r="BY236" s="170"/>
      <c r="BZ236" s="170"/>
    </row>
    <row r="237" spans="1:78" ht="13.9" customHeight="1" x14ac:dyDescent="0.2">
      <c r="A237" s="274" t="s">
        <v>137</v>
      </c>
      <c r="B237" s="278">
        <f>B221</f>
        <v>1.42</v>
      </c>
      <c r="C237" s="249">
        <f t="shared" ref="C237:I237" si="131">C221</f>
        <v>1.5</v>
      </c>
      <c r="D237" s="278">
        <f t="shared" si="131"/>
        <v>0.67</v>
      </c>
      <c r="E237" s="249">
        <f t="shared" si="131"/>
        <v>0.57999999999999996</v>
      </c>
      <c r="F237" s="278">
        <f t="shared" si="131"/>
        <v>0.77</v>
      </c>
      <c r="G237" s="249">
        <f t="shared" si="131"/>
        <v>0.57999999999999996</v>
      </c>
      <c r="H237" s="278">
        <f t="shared" si="131"/>
        <v>0.41</v>
      </c>
      <c r="I237" s="249">
        <f t="shared" si="131"/>
        <v>1.32</v>
      </c>
      <c r="J237" s="489"/>
      <c r="K237" s="479"/>
      <c r="L237" s="170"/>
      <c r="M237" s="184"/>
      <c r="N237" s="103"/>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0"/>
      <c r="BC237" s="170"/>
      <c r="BD237" s="170"/>
      <c r="BE237" s="170"/>
      <c r="BF237" s="170"/>
      <c r="BG237" s="170"/>
      <c r="BH237" s="170"/>
      <c r="BI237" s="170"/>
      <c r="BJ237" s="170"/>
      <c r="BK237" s="170"/>
      <c r="BL237" s="170"/>
      <c r="BM237" s="170"/>
      <c r="BN237" s="170"/>
      <c r="BO237" s="170"/>
      <c r="BP237" s="170"/>
      <c r="BQ237" s="170"/>
      <c r="BR237" s="170"/>
      <c r="BS237" s="170"/>
      <c r="BT237" s="170"/>
      <c r="BU237" s="170"/>
      <c r="BV237" s="170"/>
      <c r="BW237" s="170"/>
      <c r="BX237" s="170"/>
      <c r="BY237" s="170"/>
      <c r="BZ237" s="170"/>
    </row>
    <row r="238" spans="1:78" ht="13.9" customHeight="1" x14ac:dyDescent="0.2">
      <c r="A238" s="274" t="s">
        <v>139</v>
      </c>
      <c r="B238" s="279">
        <f t="shared" ref="B238:I238" si="132">B$237/SUM($B$237:$J$237)</f>
        <v>0.19586206896551722</v>
      </c>
      <c r="C238" s="245">
        <f t="shared" si="132"/>
        <v>0.20689655172413793</v>
      </c>
      <c r="D238" s="279">
        <f t="shared" si="132"/>
        <v>9.2413793103448286E-2</v>
      </c>
      <c r="E238" s="245">
        <f t="shared" si="132"/>
        <v>7.9999999999999988E-2</v>
      </c>
      <c r="F238" s="279">
        <f t="shared" si="132"/>
        <v>0.10620689655172413</v>
      </c>
      <c r="G238" s="245">
        <f t="shared" si="132"/>
        <v>7.9999999999999988E-2</v>
      </c>
      <c r="H238" s="279">
        <f t="shared" si="132"/>
        <v>5.6551724137931032E-2</v>
      </c>
      <c r="I238" s="245">
        <f t="shared" si="132"/>
        <v>0.18206896551724139</v>
      </c>
      <c r="J238" s="489"/>
      <c r="K238" s="479"/>
      <c r="L238" s="170"/>
      <c r="M238" s="184"/>
      <c r="N238" s="103"/>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c r="AY238" s="170"/>
      <c r="AZ238" s="170"/>
      <c r="BA238" s="170"/>
      <c r="BB238" s="170"/>
      <c r="BC238" s="170"/>
      <c r="BD238" s="170"/>
      <c r="BE238" s="170"/>
      <c r="BF238" s="170"/>
      <c r="BG238" s="170"/>
      <c r="BH238" s="170"/>
      <c r="BI238" s="170"/>
      <c r="BJ238" s="170"/>
      <c r="BK238" s="170"/>
      <c r="BL238" s="170"/>
      <c r="BM238" s="170"/>
      <c r="BN238" s="170"/>
      <c r="BO238" s="170"/>
      <c r="BP238" s="170"/>
      <c r="BQ238" s="170"/>
      <c r="BR238" s="170"/>
      <c r="BS238" s="170"/>
      <c r="BT238" s="170"/>
      <c r="BU238" s="170"/>
      <c r="BV238" s="170"/>
      <c r="BW238" s="170"/>
      <c r="BX238" s="170"/>
      <c r="BY238" s="170"/>
      <c r="BZ238" s="170"/>
    </row>
    <row r="239" spans="1:78" ht="13.9" customHeight="1" x14ac:dyDescent="0.2">
      <c r="A239" s="274" t="s">
        <v>141</v>
      </c>
      <c r="B239" s="275">
        <f t="shared" ref="B239:I239" si="133">B236*B238</f>
        <v>1919.4482758620688</v>
      </c>
      <c r="C239" s="276">
        <f t="shared" si="133"/>
        <v>3496.5517241379312</v>
      </c>
      <c r="D239" s="275">
        <f t="shared" si="133"/>
        <v>1959.1724137931037</v>
      </c>
      <c r="E239" s="276">
        <f t="shared" si="133"/>
        <v>1651.9999999999998</v>
      </c>
      <c r="F239" s="275">
        <f t="shared" si="133"/>
        <v>1932.9655172413793</v>
      </c>
      <c r="G239" s="276">
        <f t="shared" si="133"/>
        <v>975.99999999999989</v>
      </c>
      <c r="H239" s="275">
        <f t="shared" si="133"/>
        <v>841.48965517241379</v>
      </c>
      <c r="I239" s="276">
        <f t="shared" si="133"/>
        <v>1820.6896551724139</v>
      </c>
      <c r="J239" s="490"/>
      <c r="K239" s="479"/>
      <c r="L239" s="170"/>
      <c r="M239" s="184"/>
      <c r="N239" s="103"/>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70"/>
      <c r="AP239" s="170"/>
      <c r="AQ239" s="170"/>
      <c r="AR239" s="170"/>
      <c r="AS239" s="170"/>
      <c r="AT239" s="170"/>
      <c r="AU239" s="170"/>
      <c r="AV239" s="170"/>
      <c r="AW239" s="170"/>
      <c r="AX239" s="170"/>
      <c r="AY239" s="170"/>
      <c r="AZ239" s="170"/>
      <c r="BA239" s="170"/>
      <c r="BB239" s="170"/>
      <c r="BC239" s="170"/>
      <c r="BD239" s="170"/>
      <c r="BE239" s="170"/>
      <c r="BF239" s="170"/>
      <c r="BG239" s="170"/>
      <c r="BH239" s="170"/>
      <c r="BI239" s="170"/>
      <c r="BJ239" s="170"/>
      <c r="BK239" s="170"/>
      <c r="BL239" s="170"/>
      <c r="BM239" s="170"/>
      <c r="BN239" s="170"/>
      <c r="BO239" s="170"/>
      <c r="BP239" s="170"/>
      <c r="BQ239" s="170"/>
      <c r="BR239" s="170"/>
      <c r="BS239" s="170"/>
      <c r="BT239" s="170"/>
      <c r="BU239" s="170"/>
      <c r="BV239" s="170"/>
      <c r="BW239" s="170"/>
      <c r="BX239" s="170"/>
      <c r="BY239" s="170"/>
      <c r="BZ239" s="170"/>
    </row>
    <row r="240" spans="1:78" ht="13.9" customHeight="1" x14ac:dyDescent="0.2">
      <c r="A240" s="452" t="s">
        <v>235</v>
      </c>
      <c r="B240" s="453"/>
      <c r="C240" s="453"/>
      <c r="D240" s="453"/>
      <c r="E240" s="453"/>
      <c r="F240" s="453"/>
      <c r="G240" s="453"/>
      <c r="H240" s="453"/>
      <c r="I240" s="453"/>
      <c r="J240" s="453"/>
      <c r="K240" s="454"/>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70"/>
      <c r="AP240" s="170"/>
      <c r="AQ240" s="170"/>
      <c r="AR240" s="170"/>
      <c r="AS240" s="170"/>
      <c r="AT240" s="170"/>
      <c r="AU240" s="170"/>
      <c r="AV240" s="170"/>
      <c r="AW240" s="170"/>
      <c r="AX240" s="170"/>
      <c r="AY240" s="170"/>
      <c r="AZ240" s="170"/>
      <c r="BA240" s="170"/>
      <c r="BB240" s="170"/>
      <c r="BC240" s="170"/>
      <c r="BD240" s="170"/>
      <c r="BE240" s="170"/>
      <c r="BF240" s="170"/>
      <c r="BG240" s="170"/>
      <c r="BH240" s="170"/>
      <c r="BI240" s="170"/>
      <c r="BJ240" s="170"/>
      <c r="BK240" s="170"/>
      <c r="BL240" s="170"/>
      <c r="BM240" s="170"/>
      <c r="BN240" s="170"/>
      <c r="BO240" s="170"/>
      <c r="BP240" s="170"/>
      <c r="BQ240" s="170"/>
      <c r="BR240" s="170"/>
      <c r="BS240" s="170"/>
      <c r="BT240" s="170"/>
      <c r="BU240" s="170"/>
      <c r="BV240" s="170"/>
      <c r="BW240" s="170"/>
      <c r="BX240" s="170"/>
      <c r="BY240" s="170"/>
      <c r="BZ240" s="170"/>
    </row>
    <row r="241" spans="1:78" ht="13.9" customHeight="1" x14ac:dyDescent="0.2">
      <c r="A241" s="211"/>
      <c r="B241" s="211"/>
      <c r="C241" s="211"/>
      <c r="D241" s="270"/>
      <c r="E241" s="270"/>
      <c r="F241" s="270"/>
      <c r="G241" s="270"/>
      <c r="H241" s="270"/>
      <c r="I241" s="270"/>
      <c r="J241" s="270"/>
      <c r="K241" s="270"/>
      <c r="L241" s="270"/>
      <c r="M241" s="270"/>
      <c r="N241" s="270"/>
      <c r="O241" s="270"/>
      <c r="P241" s="270"/>
      <c r="Q241" s="270"/>
      <c r="R241" s="2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c r="AN241" s="170"/>
      <c r="AO241" s="170"/>
      <c r="AP241" s="170"/>
      <c r="AQ241" s="170"/>
      <c r="AR241" s="170"/>
      <c r="AS241" s="170"/>
      <c r="AT241" s="170"/>
      <c r="AU241" s="170"/>
      <c r="AV241" s="170"/>
      <c r="AW241" s="170"/>
      <c r="AX241" s="170"/>
      <c r="AY241" s="170"/>
      <c r="AZ241" s="170"/>
      <c r="BA241" s="170"/>
      <c r="BB241" s="170"/>
      <c r="BC241" s="170"/>
      <c r="BD241" s="170"/>
      <c r="BE241" s="170"/>
      <c r="BF241" s="170"/>
      <c r="BG241" s="170"/>
      <c r="BH241" s="170"/>
      <c r="BI241" s="170"/>
      <c r="BJ241" s="170"/>
      <c r="BK241" s="170"/>
      <c r="BL241" s="170"/>
      <c r="BM241" s="170"/>
      <c r="BN241" s="170"/>
      <c r="BO241" s="170"/>
      <c r="BP241" s="170"/>
      <c r="BQ241" s="170"/>
      <c r="BR241" s="170"/>
      <c r="BS241" s="170"/>
      <c r="BT241" s="170"/>
      <c r="BU241" s="170"/>
      <c r="BV241" s="170"/>
      <c r="BW241" s="170"/>
      <c r="BX241" s="170"/>
      <c r="BY241" s="170"/>
      <c r="BZ241" s="170"/>
    </row>
    <row r="242" spans="1:78" ht="13.9" customHeight="1" x14ac:dyDescent="0.2">
      <c r="A242" s="450" t="s">
        <v>117</v>
      </c>
      <c r="B242" s="455"/>
      <c r="C242" s="210"/>
      <c r="D242" s="270"/>
      <c r="E242" s="270"/>
      <c r="F242" s="270"/>
      <c r="G242" s="270"/>
      <c r="H242" s="270"/>
      <c r="I242" s="270"/>
      <c r="J242" s="270"/>
      <c r="K242" s="270"/>
      <c r="L242" s="270"/>
      <c r="M242" s="270"/>
      <c r="N242" s="270"/>
      <c r="O242" s="270"/>
      <c r="P242" s="270"/>
      <c r="Q242" s="270"/>
      <c r="R242" s="270"/>
      <c r="S242" s="170"/>
      <c r="T242" s="170"/>
      <c r="U242" s="170"/>
      <c r="V242" s="170"/>
      <c r="W242" s="170"/>
      <c r="X242" s="170"/>
      <c r="Y242" s="170"/>
      <c r="Z242" s="170"/>
      <c r="AA242" s="170"/>
      <c r="AB242" s="170"/>
      <c r="AC242" s="170"/>
      <c r="AD242" s="170"/>
      <c r="AE242" s="170"/>
      <c r="AF242" s="170"/>
      <c r="AG242" s="170"/>
      <c r="AH242" s="170"/>
      <c r="AI242" s="170"/>
      <c r="AJ242" s="170"/>
      <c r="AK242" s="170"/>
      <c r="AL242" s="170"/>
      <c r="AM242" s="170"/>
      <c r="AN242" s="170"/>
      <c r="AO242" s="170"/>
      <c r="AP242" s="170"/>
      <c r="AQ242" s="170"/>
      <c r="AR242" s="170"/>
      <c r="AS242" s="170"/>
      <c r="AT242" s="170"/>
      <c r="AU242" s="170"/>
      <c r="AV242" s="170"/>
      <c r="AW242" s="170"/>
      <c r="AX242" s="170"/>
      <c r="AY242" s="170"/>
      <c r="AZ242" s="170"/>
      <c r="BA242" s="170"/>
      <c r="BB242" s="170"/>
      <c r="BC242" s="170"/>
      <c r="BD242" s="170"/>
      <c r="BE242" s="170"/>
      <c r="BF242" s="170"/>
      <c r="BG242" s="170"/>
      <c r="BH242" s="170"/>
      <c r="BI242" s="170"/>
      <c r="BJ242" s="170"/>
      <c r="BK242" s="170"/>
      <c r="BL242" s="170"/>
      <c r="BM242" s="170"/>
      <c r="BN242" s="170"/>
      <c r="BO242" s="170"/>
      <c r="BP242" s="170"/>
      <c r="BQ242" s="170"/>
      <c r="BR242" s="170"/>
      <c r="BS242" s="170"/>
      <c r="BT242" s="170"/>
      <c r="BU242" s="170"/>
      <c r="BV242" s="170"/>
      <c r="BW242" s="170"/>
      <c r="BX242" s="170"/>
      <c r="BY242" s="170"/>
      <c r="BZ242" s="170"/>
    </row>
    <row r="243" spans="1:78" ht="13.9" customHeight="1" x14ac:dyDescent="0.2">
      <c r="A243" s="274" t="s">
        <v>167</v>
      </c>
      <c r="B243" s="280">
        <v>1.6E-2</v>
      </c>
      <c r="C243" s="210"/>
      <c r="D243" s="270"/>
      <c r="E243" s="270"/>
      <c r="F243" s="270"/>
      <c r="G243" s="270"/>
      <c r="H243" s="270"/>
      <c r="I243" s="270"/>
      <c r="J243" s="270"/>
      <c r="K243" s="270"/>
      <c r="L243" s="270"/>
      <c r="M243" s="270"/>
      <c r="N243" s="270"/>
      <c r="O243" s="270"/>
      <c r="P243" s="270"/>
      <c r="Q243" s="270"/>
      <c r="R243" s="270"/>
      <c r="S243" s="170"/>
      <c r="T243" s="170"/>
      <c r="U243" s="170"/>
      <c r="V243" s="170"/>
      <c r="W243" s="170"/>
      <c r="X243" s="170"/>
      <c r="Y243" s="170"/>
      <c r="Z243" s="170"/>
      <c r="AA243" s="170"/>
      <c r="AB243" s="170"/>
      <c r="AC243" s="170"/>
      <c r="AD243" s="170"/>
      <c r="AE243" s="170"/>
      <c r="AF243" s="170"/>
      <c r="AG243" s="170"/>
      <c r="AH243" s="170"/>
      <c r="AI243" s="170"/>
      <c r="AJ243" s="170"/>
      <c r="AK243" s="170"/>
      <c r="AL243" s="170"/>
      <c r="AM243" s="170"/>
      <c r="AN243" s="170"/>
      <c r="AO243" s="170"/>
      <c r="AP243" s="170"/>
      <c r="AQ243" s="170"/>
      <c r="AR243" s="170"/>
      <c r="AS243" s="170"/>
      <c r="AT243" s="170"/>
      <c r="AU243" s="170"/>
      <c r="AV243" s="170"/>
      <c r="AW243" s="170"/>
      <c r="AX243" s="170"/>
      <c r="AY243" s="170"/>
      <c r="AZ243" s="170"/>
      <c r="BA243" s="170"/>
      <c r="BB243" s="170"/>
      <c r="BC243" s="170"/>
      <c r="BD243" s="170"/>
      <c r="BE243" s="170"/>
      <c r="BF243" s="170"/>
      <c r="BG243" s="170"/>
      <c r="BH243" s="170"/>
      <c r="BI243" s="170"/>
      <c r="BJ243" s="170"/>
      <c r="BK243" s="170"/>
      <c r="BL243" s="170"/>
      <c r="BM243" s="170"/>
      <c r="BN243" s="170"/>
      <c r="BO243" s="170"/>
      <c r="BP243" s="170"/>
      <c r="BQ243" s="170"/>
      <c r="BR243" s="170"/>
      <c r="BS243" s="170"/>
      <c r="BT243" s="170"/>
      <c r="BU243" s="170"/>
      <c r="BV243" s="170"/>
      <c r="BW243" s="170"/>
      <c r="BX243" s="170"/>
      <c r="BY243" s="170"/>
      <c r="BZ243" s="170"/>
    </row>
    <row r="244" spans="1:78" ht="13.9" customHeight="1" x14ac:dyDescent="0.2">
      <c r="A244" s="274" t="s">
        <v>309</v>
      </c>
      <c r="B244" s="280">
        <v>8.9999999999999993E-3</v>
      </c>
      <c r="C244" s="210"/>
      <c r="D244" s="270"/>
      <c r="E244" s="270"/>
      <c r="F244" s="270"/>
      <c r="G244" s="270"/>
      <c r="H244" s="270"/>
      <c r="I244" s="270"/>
      <c r="J244" s="270"/>
      <c r="K244" s="270"/>
      <c r="L244" s="270"/>
      <c r="M244" s="270"/>
      <c r="N244" s="270"/>
      <c r="O244" s="270"/>
      <c r="P244" s="270"/>
      <c r="Q244" s="270"/>
      <c r="R244" s="270"/>
      <c r="S244" s="170"/>
      <c r="T244" s="170"/>
      <c r="U244" s="170"/>
      <c r="V244" s="170"/>
      <c r="W244" s="170"/>
      <c r="X244" s="170"/>
      <c r="Y244" s="170"/>
      <c r="Z244" s="170"/>
      <c r="AA244" s="170"/>
      <c r="AB244" s="170"/>
      <c r="AC244" s="170"/>
      <c r="AD244" s="170"/>
      <c r="AE244" s="170"/>
      <c r="AF244" s="170"/>
      <c r="AG244" s="170"/>
      <c r="AH244" s="170"/>
      <c r="AI244" s="170"/>
      <c r="AJ244" s="170"/>
      <c r="AK244" s="170"/>
      <c r="AL244" s="170"/>
      <c r="AM244" s="170"/>
      <c r="AN244" s="170"/>
      <c r="AO244" s="170"/>
      <c r="AP244" s="170"/>
      <c r="AQ244" s="170"/>
      <c r="AR244" s="170"/>
      <c r="AS244" s="170"/>
      <c r="AT244" s="170"/>
      <c r="AU244" s="170"/>
      <c r="AV244" s="170"/>
      <c r="AW244" s="170"/>
      <c r="AX244" s="170"/>
      <c r="AY244" s="170"/>
      <c r="AZ244" s="170"/>
      <c r="BA244" s="170"/>
      <c r="BB244" s="170"/>
      <c r="BC244" s="170"/>
      <c r="BD244" s="170"/>
      <c r="BE244" s="170"/>
      <c r="BF244" s="170"/>
      <c r="BG244" s="170"/>
      <c r="BH244" s="170"/>
      <c r="BI244" s="170"/>
      <c r="BJ244" s="170"/>
      <c r="BK244" s="170"/>
      <c r="BL244" s="170"/>
      <c r="BM244" s="170"/>
      <c r="BN244" s="170"/>
      <c r="BO244" s="170"/>
      <c r="BP244" s="170"/>
      <c r="BQ244" s="170"/>
      <c r="BR244" s="170"/>
      <c r="BS244" s="170"/>
      <c r="BT244" s="170"/>
      <c r="BU244" s="170"/>
      <c r="BV244" s="170"/>
      <c r="BW244" s="170"/>
      <c r="BX244" s="170"/>
      <c r="BY244" s="170"/>
      <c r="BZ244" s="170"/>
    </row>
    <row r="245" spans="1:78" ht="13.9" customHeight="1" x14ac:dyDescent="0.2">
      <c r="A245" s="274" t="s">
        <v>170</v>
      </c>
      <c r="B245" s="280">
        <v>0.17</v>
      </c>
      <c r="C245" s="210"/>
      <c r="D245" s="270"/>
      <c r="E245" s="270"/>
      <c r="F245" s="270"/>
      <c r="G245" s="270"/>
      <c r="H245" s="270"/>
      <c r="I245" s="270"/>
      <c r="J245" s="270"/>
      <c r="K245" s="270"/>
      <c r="L245" s="270"/>
      <c r="M245" s="270"/>
      <c r="N245" s="270"/>
      <c r="O245" s="270"/>
      <c r="P245" s="270"/>
      <c r="Q245" s="270"/>
      <c r="R245" s="270"/>
      <c r="S245" s="170"/>
      <c r="T245" s="170"/>
      <c r="U245" s="170"/>
      <c r="V245" s="170"/>
      <c r="W245" s="170"/>
      <c r="X245" s="170"/>
      <c r="Y245" s="170"/>
      <c r="Z245" s="170"/>
      <c r="AA245" s="170"/>
      <c r="AB245" s="170"/>
      <c r="AC245" s="170"/>
      <c r="AD245" s="170"/>
      <c r="AE245" s="170"/>
      <c r="AF245" s="170"/>
      <c r="AG245" s="170"/>
      <c r="AH245" s="170"/>
      <c r="AI245" s="170"/>
      <c r="AJ245" s="170"/>
      <c r="AK245" s="170"/>
      <c r="AL245" s="170"/>
      <c r="AM245" s="170"/>
      <c r="AN245" s="170"/>
      <c r="AO245" s="170"/>
      <c r="AP245" s="170"/>
      <c r="AQ245" s="170"/>
      <c r="AR245" s="170"/>
      <c r="AS245" s="170"/>
      <c r="AT245" s="170"/>
      <c r="AU245" s="170"/>
      <c r="AV245" s="170"/>
      <c r="AW245" s="170"/>
      <c r="AX245" s="170"/>
      <c r="AY245" s="170"/>
      <c r="AZ245" s="170"/>
      <c r="BA245" s="170"/>
      <c r="BB245" s="170"/>
      <c r="BC245" s="170"/>
      <c r="BD245" s="170"/>
      <c r="BE245" s="170"/>
      <c r="BF245" s="170"/>
      <c r="BG245" s="170"/>
      <c r="BH245" s="170"/>
      <c r="BI245" s="170"/>
      <c r="BJ245" s="170"/>
      <c r="BK245" s="170"/>
      <c r="BL245" s="170"/>
      <c r="BM245" s="170"/>
      <c r="BN245" s="170"/>
      <c r="BO245" s="170"/>
      <c r="BP245" s="170"/>
      <c r="BQ245" s="170"/>
      <c r="BR245" s="170"/>
      <c r="BS245" s="170"/>
      <c r="BT245" s="170"/>
      <c r="BU245" s="170"/>
      <c r="BV245" s="170"/>
      <c r="BW245" s="170"/>
      <c r="BX245" s="170"/>
      <c r="BY245" s="170"/>
      <c r="BZ245" s="170"/>
    </row>
    <row r="246" spans="1:78" ht="13.9" customHeight="1" x14ac:dyDescent="0.2">
      <c r="A246" s="274" t="s">
        <v>168</v>
      </c>
      <c r="B246" s="280">
        <v>0.23</v>
      </c>
      <c r="C246" s="210"/>
      <c r="D246" s="270"/>
      <c r="E246" s="270"/>
      <c r="F246" s="270"/>
      <c r="G246" s="270"/>
      <c r="H246" s="270"/>
      <c r="I246" s="270"/>
      <c r="J246" s="270"/>
      <c r="K246" s="270"/>
      <c r="L246" s="270"/>
      <c r="M246" s="270"/>
      <c r="N246" s="270"/>
      <c r="O246" s="270"/>
      <c r="P246" s="270"/>
      <c r="Q246" s="270"/>
      <c r="R246" s="270"/>
      <c r="S246" s="170"/>
      <c r="T246" s="170"/>
      <c r="U246" s="170"/>
      <c r="V246" s="170"/>
      <c r="W246" s="170"/>
      <c r="X246" s="170"/>
      <c r="Y246" s="170"/>
      <c r="Z246" s="170"/>
      <c r="AA246" s="170"/>
      <c r="AB246" s="170"/>
      <c r="AC246" s="170"/>
      <c r="AD246" s="170"/>
      <c r="AE246" s="170"/>
      <c r="AF246" s="170"/>
      <c r="AG246" s="170"/>
      <c r="AH246" s="170"/>
      <c r="AI246" s="170"/>
      <c r="AJ246" s="170"/>
      <c r="AK246" s="170"/>
      <c r="AL246" s="170"/>
      <c r="AM246" s="170"/>
      <c r="AN246" s="170"/>
      <c r="AO246" s="170"/>
      <c r="AP246" s="170"/>
      <c r="AQ246" s="170"/>
      <c r="AR246" s="170"/>
      <c r="AS246" s="170"/>
      <c r="AT246" s="170"/>
      <c r="AU246" s="170"/>
      <c r="AV246" s="170"/>
      <c r="AW246" s="170"/>
      <c r="AX246" s="170"/>
      <c r="AY246" s="170"/>
      <c r="AZ246" s="170"/>
      <c r="BA246" s="170"/>
      <c r="BB246" s="170"/>
      <c r="BC246" s="170"/>
      <c r="BD246" s="170"/>
      <c r="BE246" s="170"/>
      <c r="BF246" s="170"/>
      <c r="BG246" s="170"/>
      <c r="BH246" s="170"/>
      <c r="BI246" s="170"/>
      <c r="BJ246" s="170"/>
      <c r="BK246" s="170"/>
      <c r="BL246" s="170"/>
      <c r="BM246" s="170"/>
      <c r="BN246" s="170"/>
      <c r="BO246" s="170"/>
      <c r="BP246" s="170"/>
      <c r="BQ246" s="170"/>
      <c r="BR246" s="170"/>
      <c r="BS246" s="170"/>
      <c r="BT246" s="170"/>
      <c r="BU246" s="170"/>
      <c r="BV246" s="170"/>
      <c r="BW246" s="170"/>
      <c r="BX246" s="170"/>
      <c r="BY246" s="170"/>
      <c r="BZ246" s="170"/>
    </row>
    <row r="247" spans="1:78" ht="13.9" customHeight="1" x14ac:dyDescent="0.2">
      <c r="A247" s="274" t="s">
        <v>169</v>
      </c>
      <c r="B247" s="280">
        <v>0.14000000000000001</v>
      </c>
      <c r="C247" s="210"/>
      <c r="D247" s="270"/>
      <c r="E247" s="270"/>
      <c r="F247" s="270"/>
      <c r="G247" s="270"/>
      <c r="H247" s="270"/>
      <c r="I247" s="270"/>
      <c r="J247" s="270"/>
      <c r="K247" s="270"/>
      <c r="L247" s="270"/>
      <c r="M247" s="270"/>
      <c r="N247" s="270"/>
      <c r="O247" s="270"/>
      <c r="P247" s="270"/>
      <c r="Q247" s="270"/>
      <c r="R247" s="270"/>
      <c r="S247" s="170"/>
      <c r="T247" s="170"/>
      <c r="U247" s="170"/>
      <c r="V247" s="170"/>
      <c r="W247" s="170"/>
      <c r="X247" s="170"/>
      <c r="Y247" s="170"/>
      <c r="Z247" s="170"/>
      <c r="AA247" s="170"/>
      <c r="AB247" s="170"/>
      <c r="AC247" s="170"/>
      <c r="AD247" s="170"/>
      <c r="AE247" s="170"/>
      <c r="AF247" s="170"/>
      <c r="AG247" s="170"/>
      <c r="AH247" s="170"/>
      <c r="AI247" s="170"/>
      <c r="AJ247" s="170"/>
      <c r="AK247" s="170"/>
      <c r="AL247" s="170"/>
      <c r="AM247" s="170"/>
      <c r="AN247" s="170"/>
      <c r="AO247" s="170"/>
      <c r="AP247" s="170"/>
      <c r="AQ247" s="170"/>
      <c r="AR247" s="170"/>
      <c r="AS247" s="170"/>
      <c r="AT247" s="170"/>
      <c r="AU247" s="170"/>
      <c r="AV247" s="170"/>
      <c r="AW247" s="170"/>
      <c r="AX247" s="170"/>
      <c r="AY247" s="170"/>
      <c r="AZ247" s="170"/>
      <c r="BA247" s="170"/>
      <c r="BB247" s="170"/>
      <c r="BC247" s="170"/>
      <c r="BD247" s="170"/>
      <c r="BE247" s="170"/>
      <c r="BF247" s="170"/>
      <c r="BG247" s="170"/>
      <c r="BH247" s="170"/>
      <c r="BI247" s="170"/>
      <c r="BJ247" s="170"/>
      <c r="BK247" s="170"/>
      <c r="BL247" s="170"/>
      <c r="BM247" s="170"/>
      <c r="BN247" s="170"/>
      <c r="BO247" s="170"/>
      <c r="BP247" s="170"/>
      <c r="BQ247" s="170"/>
      <c r="BR247" s="170"/>
      <c r="BS247" s="170"/>
      <c r="BT247" s="170"/>
      <c r="BU247" s="170"/>
      <c r="BV247" s="170"/>
      <c r="BW247" s="170"/>
      <c r="BX247" s="170"/>
      <c r="BY247" s="170"/>
      <c r="BZ247" s="170"/>
    </row>
    <row r="248" spans="1:78" ht="13.9" customHeight="1" x14ac:dyDescent="0.2">
      <c r="A248" s="452" t="s">
        <v>119</v>
      </c>
      <c r="B248" s="454"/>
      <c r="C248" s="210"/>
      <c r="D248" s="270"/>
      <c r="E248" s="270"/>
      <c r="F248" s="270"/>
      <c r="G248" s="270"/>
      <c r="H248" s="270"/>
      <c r="I248" s="270"/>
      <c r="J248" s="270"/>
      <c r="K248" s="270"/>
      <c r="L248" s="270"/>
      <c r="M248" s="270"/>
      <c r="N248" s="270"/>
      <c r="O248" s="270"/>
      <c r="P248" s="270"/>
      <c r="Q248" s="270"/>
      <c r="R248" s="270"/>
      <c r="S248" s="170"/>
      <c r="T248" s="170"/>
      <c r="U248" s="170"/>
      <c r="V248" s="170"/>
      <c r="W248" s="170"/>
      <c r="X248" s="170"/>
      <c r="Y248" s="170"/>
      <c r="Z248" s="170"/>
      <c r="AA248" s="170"/>
      <c r="AB248" s="170"/>
      <c r="AC248" s="170"/>
      <c r="AD248" s="170"/>
      <c r="AE248" s="170"/>
      <c r="AF248" s="170"/>
      <c r="AG248" s="170"/>
      <c r="AH248" s="170"/>
      <c r="AI248" s="170"/>
      <c r="AJ248" s="170"/>
      <c r="AK248" s="170"/>
      <c r="AL248" s="170"/>
      <c r="AM248" s="170"/>
      <c r="AN248" s="170"/>
      <c r="AO248" s="170"/>
      <c r="AP248" s="170"/>
      <c r="AQ248" s="170"/>
      <c r="AR248" s="170"/>
      <c r="AS248" s="170"/>
      <c r="AT248" s="170"/>
      <c r="AU248" s="170"/>
      <c r="AV248" s="170"/>
      <c r="AW248" s="170"/>
      <c r="AX248" s="170"/>
      <c r="AY248" s="170"/>
      <c r="AZ248" s="170"/>
      <c r="BA248" s="170"/>
      <c r="BB248" s="170"/>
      <c r="BC248" s="170"/>
      <c r="BD248" s="170"/>
      <c r="BE248" s="170"/>
      <c r="BF248" s="170"/>
      <c r="BG248" s="170"/>
      <c r="BH248" s="170"/>
      <c r="BI248" s="170"/>
      <c r="BJ248" s="170"/>
      <c r="BK248" s="170"/>
      <c r="BL248" s="170"/>
      <c r="BM248" s="170"/>
      <c r="BN248" s="170"/>
      <c r="BO248" s="170"/>
      <c r="BP248" s="170"/>
      <c r="BQ248" s="170"/>
      <c r="BR248" s="170"/>
      <c r="BS248" s="170"/>
      <c r="BT248" s="170"/>
      <c r="BU248" s="170"/>
      <c r="BV248" s="170"/>
      <c r="BW248" s="170"/>
      <c r="BX248" s="170"/>
      <c r="BY248" s="170"/>
      <c r="BZ248" s="170"/>
    </row>
    <row r="249" spans="1:78" ht="13.9" customHeight="1" x14ac:dyDescent="0.2">
      <c r="A249" s="270"/>
      <c r="B249" s="270"/>
      <c r="C249" s="270"/>
      <c r="D249" s="270"/>
      <c r="E249" s="270"/>
      <c r="F249" s="270"/>
      <c r="G249" s="270"/>
      <c r="H249" s="270"/>
      <c r="I249" s="270"/>
      <c r="J249" s="270"/>
      <c r="K249" s="270"/>
      <c r="L249" s="270"/>
      <c r="M249" s="270"/>
      <c r="N249" s="270"/>
      <c r="O249" s="270"/>
      <c r="P249" s="270"/>
      <c r="Q249" s="270"/>
      <c r="R249" s="270"/>
      <c r="S249" s="170"/>
      <c r="T249" s="170"/>
      <c r="U249" s="170"/>
      <c r="V249" s="170"/>
      <c r="W249" s="170"/>
      <c r="X249" s="170"/>
      <c r="Y249" s="170"/>
      <c r="Z249" s="170"/>
      <c r="AA249" s="170"/>
      <c r="AB249" s="170"/>
      <c r="AC249" s="170"/>
      <c r="AD249" s="170"/>
      <c r="AE249" s="170"/>
      <c r="AF249" s="170"/>
      <c r="AG249" s="170"/>
      <c r="AH249" s="170"/>
      <c r="AI249" s="170"/>
      <c r="AJ249" s="170"/>
      <c r="AK249" s="170"/>
      <c r="AL249" s="170"/>
      <c r="AM249" s="170"/>
      <c r="AN249" s="170"/>
      <c r="AO249" s="170"/>
      <c r="AP249" s="170"/>
      <c r="AQ249" s="170"/>
      <c r="AR249" s="170"/>
      <c r="AS249" s="170"/>
      <c r="AT249" s="170"/>
      <c r="AU249" s="170"/>
      <c r="AV249" s="170"/>
      <c r="AW249" s="170"/>
      <c r="AX249" s="170"/>
      <c r="AY249" s="170"/>
      <c r="AZ249" s="170"/>
      <c r="BA249" s="170"/>
      <c r="BB249" s="170"/>
      <c r="BC249" s="170"/>
      <c r="BD249" s="170"/>
      <c r="BE249" s="170"/>
      <c r="BF249" s="170"/>
      <c r="BG249" s="170"/>
      <c r="BH249" s="170"/>
      <c r="BI249" s="170"/>
      <c r="BJ249" s="170"/>
      <c r="BK249" s="170"/>
      <c r="BL249" s="170"/>
      <c r="BM249" s="170"/>
      <c r="BN249" s="170"/>
      <c r="BO249" s="170"/>
      <c r="BP249" s="170"/>
      <c r="BQ249" s="170"/>
      <c r="BR249" s="170"/>
      <c r="BS249" s="170"/>
      <c r="BT249" s="170"/>
      <c r="BU249" s="170"/>
      <c r="BV249" s="170"/>
      <c r="BW249" s="170"/>
      <c r="BX249" s="170"/>
      <c r="BY249" s="170"/>
      <c r="BZ249" s="170"/>
    </row>
    <row r="250" spans="1:78" ht="13.9" customHeight="1" x14ac:dyDescent="0.2">
      <c r="A250" s="450" t="s">
        <v>120</v>
      </c>
      <c r="B250" s="455"/>
      <c r="C250" s="270"/>
      <c r="D250" s="270"/>
      <c r="E250" s="270"/>
      <c r="F250" s="270"/>
      <c r="G250" s="270"/>
      <c r="H250" s="270"/>
      <c r="I250" s="270"/>
      <c r="J250" s="270"/>
      <c r="K250" s="270"/>
      <c r="L250" s="270"/>
      <c r="M250" s="270"/>
      <c r="N250" s="270"/>
      <c r="O250" s="270"/>
      <c r="P250" s="270"/>
      <c r="Q250" s="270"/>
      <c r="R250" s="2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0"/>
      <c r="BC250" s="170"/>
      <c r="BD250" s="170"/>
      <c r="BE250" s="170"/>
      <c r="BF250" s="170"/>
      <c r="BG250" s="170"/>
      <c r="BH250" s="170"/>
      <c r="BI250" s="170"/>
      <c r="BJ250" s="170"/>
      <c r="BK250" s="170"/>
      <c r="BL250" s="170"/>
      <c r="BM250" s="170"/>
      <c r="BN250" s="170"/>
      <c r="BO250" s="170"/>
      <c r="BP250" s="170"/>
      <c r="BQ250" s="170"/>
      <c r="BR250" s="170"/>
      <c r="BS250" s="170"/>
      <c r="BT250" s="170"/>
      <c r="BU250" s="170"/>
      <c r="BV250" s="170"/>
      <c r="BW250" s="170"/>
      <c r="BX250" s="170"/>
      <c r="BY250" s="170"/>
      <c r="BZ250" s="170"/>
    </row>
    <row r="251" spans="1:78" ht="13.9" customHeight="1" x14ac:dyDescent="0.2">
      <c r="A251" s="281" t="s">
        <v>174</v>
      </c>
      <c r="B251" s="282">
        <v>4</v>
      </c>
      <c r="C251" s="270"/>
      <c r="D251" s="270"/>
      <c r="E251" s="270"/>
      <c r="F251" s="270"/>
      <c r="G251" s="270"/>
      <c r="H251" s="270"/>
      <c r="I251" s="270"/>
      <c r="J251" s="270"/>
      <c r="K251" s="270"/>
      <c r="L251" s="270"/>
      <c r="M251" s="270"/>
      <c r="N251" s="270"/>
      <c r="O251" s="270"/>
      <c r="P251" s="270"/>
      <c r="Q251" s="270"/>
      <c r="R251" s="2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c r="AY251" s="170"/>
      <c r="AZ251" s="170"/>
      <c r="BA251" s="170"/>
      <c r="BB251" s="170"/>
      <c r="BC251" s="170"/>
      <c r="BD251" s="170"/>
      <c r="BE251" s="170"/>
      <c r="BF251" s="170"/>
      <c r="BG251" s="170"/>
      <c r="BH251" s="170"/>
      <c r="BI251" s="170"/>
      <c r="BJ251" s="170"/>
      <c r="BK251" s="170"/>
      <c r="BL251" s="170"/>
      <c r="BM251" s="170"/>
      <c r="BN251" s="170"/>
      <c r="BO251" s="170"/>
      <c r="BP251" s="170"/>
      <c r="BQ251" s="170"/>
      <c r="BR251" s="170"/>
      <c r="BS251" s="170"/>
      <c r="BT251" s="170"/>
      <c r="BU251" s="170"/>
      <c r="BV251" s="170"/>
      <c r="BW251" s="170"/>
      <c r="BX251" s="170"/>
      <c r="BY251" s="170"/>
      <c r="BZ251" s="170"/>
    </row>
    <row r="252" spans="1:78" ht="13.9" customHeight="1" x14ac:dyDescent="0.2">
      <c r="A252" s="281" t="s">
        <v>121</v>
      </c>
      <c r="B252" s="283" t="s">
        <v>175</v>
      </c>
      <c r="C252" s="270"/>
      <c r="D252" s="270"/>
      <c r="E252" s="270"/>
      <c r="F252" s="270"/>
      <c r="G252" s="270"/>
      <c r="H252" s="270"/>
      <c r="I252" s="270"/>
      <c r="J252" s="270"/>
      <c r="K252" s="270"/>
      <c r="L252" s="270"/>
      <c r="M252" s="270"/>
      <c r="N252" s="270"/>
      <c r="O252" s="270"/>
      <c r="P252" s="270"/>
      <c r="Q252" s="270"/>
      <c r="R252" s="2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c r="AY252" s="170"/>
      <c r="AZ252" s="170"/>
      <c r="BA252" s="170"/>
      <c r="BB252" s="170"/>
      <c r="BC252" s="170"/>
      <c r="BD252" s="170"/>
      <c r="BE252" s="170"/>
      <c r="BF252" s="170"/>
      <c r="BG252" s="170"/>
      <c r="BH252" s="170"/>
      <c r="BI252" s="170"/>
      <c r="BJ252" s="170"/>
      <c r="BK252" s="170"/>
      <c r="BL252" s="170"/>
      <c r="BM252" s="170"/>
      <c r="BN252" s="170"/>
      <c r="BO252" s="170"/>
      <c r="BP252" s="170"/>
      <c r="BQ252" s="170"/>
      <c r="BR252" s="170"/>
      <c r="BS252" s="170"/>
      <c r="BT252" s="170"/>
      <c r="BU252" s="170"/>
      <c r="BV252" s="170"/>
      <c r="BW252" s="170"/>
      <c r="BX252" s="170"/>
      <c r="BY252" s="170"/>
      <c r="BZ252" s="170"/>
    </row>
    <row r="253" spans="1:78" ht="13.9" customHeight="1" x14ac:dyDescent="0.2">
      <c r="A253" s="281" t="s">
        <v>176</v>
      </c>
      <c r="B253" s="282">
        <v>30</v>
      </c>
      <c r="C253" s="270"/>
      <c r="D253" s="270"/>
      <c r="E253" s="270"/>
      <c r="F253" s="270"/>
      <c r="G253" s="270"/>
      <c r="H253" s="270"/>
      <c r="I253" s="270"/>
      <c r="J253" s="270"/>
      <c r="K253" s="270"/>
      <c r="L253" s="270"/>
      <c r="M253" s="270"/>
      <c r="N253" s="270"/>
      <c r="O253" s="270"/>
      <c r="P253" s="270"/>
      <c r="Q253" s="270"/>
      <c r="R253" s="2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c r="AY253" s="170"/>
      <c r="AZ253" s="170"/>
      <c r="BA253" s="170"/>
      <c r="BB253" s="170"/>
      <c r="BC253" s="170"/>
      <c r="BD253" s="170"/>
      <c r="BE253" s="170"/>
      <c r="BF253" s="170"/>
      <c r="BG253" s="170"/>
      <c r="BH253" s="170"/>
      <c r="BI253" s="170"/>
      <c r="BJ253" s="170"/>
      <c r="BK253" s="170"/>
      <c r="BL253" s="170"/>
      <c r="BM253" s="170"/>
      <c r="BN253" s="170"/>
      <c r="BO253" s="170"/>
      <c r="BP253" s="170"/>
      <c r="BQ253" s="170"/>
      <c r="BR253" s="170"/>
      <c r="BS253" s="170"/>
      <c r="BT253" s="170"/>
      <c r="BU253" s="170"/>
      <c r="BV253" s="170"/>
      <c r="BW253" s="170"/>
      <c r="BX253" s="170"/>
      <c r="BY253" s="170"/>
      <c r="BZ253" s="170"/>
    </row>
    <row r="254" spans="1:78" ht="13.9" customHeight="1" x14ac:dyDescent="0.2">
      <c r="A254" s="281" t="s">
        <v>177</v>
      </c>
      <c r="B254" s="282">
        <v>60</v>
      </c>
      <c r="C254" s="270"/>
      <c r="D254" s="270"/>
      <c r="E254" s="270"/>
      <c r="F254" s="270"/>
      <c r="G254" s="270"/>
      <c r="H254" s="270"/>
      <c r="I254" s="270"/>
      <c r="J254" s="270"/>
      <c r="K254" s="270"/>
      <c r="L254" s="270"/>
      <c r="M254" s="270"/>
      <c r="N254" s="270"/>
      <c r="O254" s="270"/>
      <c r="P254" s="270"/>
      <c r="Q254" s="270"/>
      <c r="R254" s="2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c r="AY254" s="170"/>
      <c r="AZ254" s="170"/>
      <c r="BA254" s="170"/>
      <c r="BB254" s="170"/>
      <c r="BC254" s="170"/>
      <c r="BD254" s="170"/>
      <c r="BE254" s="170"/>
      <c r="BF254" s="170"/>
      <c r="BG254" s="170"/>
      <c r="BH254" s="170"/>
      <c r="BI254" s="170"/>
      <c r="BJ254" s="170"/>
      <c r="BK254" s="170"/>
      <c r="BL254" s="170"/>
      <c r="BM254" s="170"/>
      <c r="BN254" s="170"/>
      <c r="BO254" s="170"/>
      <c r="BP254" s="170"/>
      <c r="BQ254" s="170"/>
      <c r="BR254" s="170"/>
      <c r="BS254" s="170"/>
      <c r="BT254" s="170"/>
      <c r="BU254" s="170"/>
      <c r="BV254" s="170"/>
      <c r="BW254" s="170"/>
      <c r="BX254" s="170"/>
      <c r="BY254" s="170"/>
      <c r="BZ254" s="170"/>
    </row>
    <row r="255" spans="1:78" ht="13.9" customHeight="1" x14ac:dyDescent="0.2">
      <c r="A255" s="281" t="s">
        <v>183</v>
      </c>
      <c r="B255" s="282">
        <v>100</v>
      </c>
      <c r="C255" s="270"/>
      <c r="D255" s="270"/>
      <c r="E255" s="270"/>
      <c r="F255" s="270"/>
      <c r="G255" s="270"/>
      <c r="H255" s="270"/>
      <c r="I255" s="270"/>
      <c r="J255" s="270"/>
      <c r="K255" s="270"/>
      <c r="L255" s="270"/>
      <c r="M255" s="270"/>
      <c r="N255" s="270"/>
      <c r="O255" s="270"/>
      <c r="P255" s="270"/>
      <c r="Q255" s="270"/>
      <c r="R255" s="2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c r="AY255" s="170"/>
      <c r="AZ255" s="170"/>
      <c r="BA255" s="170"/>
      <c r="BB255" s="170"/>
      <c r="BC255" s="170"/>
      <c r="BD255" s="170"/>
      <c r="BE255" s="170"/>
      <c r="BF255" s="170"/>
      <c r="BG255" s="170"/>
      <c r="BH255" s="170"/>
      <c r="BI255" s="170"/>
      <c r="BJ255" s="170"/>
      <c r="BK255" s="170"/>
      <c r="BL255" s="170"/>
      <c r="BM255" s="170"/>
      <c r="BN255" s="170"/>
      <c r="BO255" s="170"/>
      <c r="BP255" s="170"/>
      <c r="BQ255" s="170"/>
      <c r="BR255" s="170"/>
      <c r="BS255" s="170"/>
      <c r="BT255" s="170"/>
      <c r="BU255" s="170"/>
      <c r="BV255" s="170"/>
      <c r="BW255" s="170"/>
      <c r="BX255" s="170"/>
      <c r="BY255" s="170"/>
      <c r="BZ255" s="170"/>
    </row>
    <row r="256" spans="1:78" ht="13.9" customHeight="1" x14ac:dyDescent="0.2">
      <c r="A256" s="281" t="s">
        <v>184</v>
      </c>
      <c r="B256" s="284" t="s">
        <v>122</v>
      </c>
      <c r="C256" s="270"/>
      <c r="D256" s="270"/>
      <c r="E256" s="270"/>
      <c r="F256" s="270"/>
      <c r="G256" s="270"/>
      <c r="H256" s="270"/>
      <c r="I256" s="270"/>
      <c r="J256" s="270"/>
      <c r="K256" s="270"/>
      <c r="L256" s="270"/>
      <c r="M256" s="270"/>
      <c r="N256" s="270"/>
      <c r="O256" s="270"/>
      <c r="P256" s="270"/>
      <c r="Q256" s="270"/>
      <c r="R256" s="2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c r="AN256" s="170"/>
      <c r="AO256" s="170"/>
      <c r="AP256" s="170"/>
      <c r="AQ256" s="170"/>
      <c r="AR256" s="170"/>
      <c r="AS256" s="170"/>
      <c r="AT256" s="170"/>
      <c r="AU256" s="170"/>
      <c r="AV256" s="170"/>
      <c r="AW256" s="170"/>
      <c r="AX256" s="170"/>
      <c r="AY256" s="170"/>
      <c r="AZ256" s="170"/>
      <c r="BA256" s="170"/>
      <c r="BB256" s="170"/>
      <c r="BC256" s="170"/>
      <c r="BD256" s="170"/>
      <c r="BE256" s="170"/>
      <c r="BF256" s="170"/>
      <c r="BG256" s="170"/>
      <c r="BH256" s="170"/>
      <c r="BI256" s="170"/>
      <c r="BJ256" s="170"/>
      <c r="BK256" s="170"/>
      <c r="BL256" s="170"/>
      <c r="BM256" s="170"/>
      <c r="BN256" s="170"/>
      <c r="BO256" s="170"/>
      <c r="BP256" s="170"/>
      <c r="BQ256" s="170"/>
      <c r="BR256" s="170"/>
      <c r="BS256" s="170"/>
      <c r="BT256" s="170"/>
      <c r="BU256" s="170"/>
      <c r="BV256" s="170"/>
      <c r="BW256" s="170"/>
      <c r="BX256" s="170"/>
      <c r="BY256" s="170"/>
      <c r="BZ256" s="170"/>
    </row>
    <row r="257" spans="1:78" ht="13.9" customHeight="1" x14ac:dyDescent="0.2">
      <c r="A257" s="281" t="s">
        <v>185</v>
      </c>
      <c r="B257" s="284">
        <v>60.5</v>
      </c>
      <c r="C257" s="270"/>
      <c r="D257" s="270"/>
      <c r="E257" s="270"/>
      <c r="F257" s="270"/>
      <c r="G257" s="270"/>
      <c r="H257" s="270"/>
      <c r="I257" s="270"/>
      <c r="J257" s="270"/>
      <c r="K257" s="270"/>
      <c r="L257" s="270"/>
      <c r="M257" s="270"/>
      <c r="N257" s="270"/>
      <c r="O257" s="270"/>
      <c r="P257" s="270"/>
      <c r="Q257" s="270"/>
      <c r="R257" s="2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c r="AN257" s="170"/>
      <c r="AO257" s="170"/>
      <c r="AP257" s="170"/>
      <c r="AQ257" s="170"/>
      <c r="AR257" s="170"/>
      <c r="AS257" s="170"/>
      <c r="AT257" s="170"/>
      <c r="AU257" s="170"/>
      <c r="AV257" s="170"/>
      <c r="AW257" s="170"/>
      <c r="AX257" s="170"/>
      <c r="AY257" s="170"/>
      <c r="AZ257" s="170"/>
      <c r="BA257" s="170"/>
      <c r="BB257" s="170"/>
      <c r="BC257" s="170"/>
      <c r="BD257" s="170"/>
      <c r="BE257" s="170"/>
      <c r="BF257" s="170"/>
      <c r="BG257" s="170"/>
      <c r="BH257" s="170"/>
      <c r="BI257" s="170"/>
      <c r="BJ257" s="170"/>
      <c r="BK257" s="170"/>
      <c r="BL257" s="170"/>
      <c r="BM257" s="170"/>
      <c r="BN257" s="170"/>
      <c r="BO257" s="170"/>
      <c r="BP257" s="170"/>
      <c r="BQ257" s="170"/>
      <c r="BR257" s="170"/>
      <c r="BS257" s="170"/>
      <c r="BT257" s="170"/>
      <c r="BU257" s="170"/>
      <c r="BV257" s="170"/>
      <c r="BW257" s="170"/>
      <c r="BX257" s="170"/>
      <c r="BY257" s="170"/>
      <c r="BZ257" s="170"/>
    </row>
    <row r="258" spans="1:78" ht="13.9" customHeight="1" x14ac:dyDescent="0.2">
      <c r="A258" s="281" t="s">
        <v>178</v>
      </c>
      <c r="B258" s="282">
        <f>B255*B257</f>
        <v>6050</v>
      </c>
      <c r="C258" s="270"/>
      <c r="D258" s="270"/>
      <c r="E258" s="270"/>
      <c r="F258" s="270"/>
      <c r="G258" s="270"/>
      <c r="H258" s="270"/>
      <c r="I258" s="270"/>
      <c r="J258" s="270"/>
      <c r="K258" s="270"/>
      <c r="L258" s="270"/>
      <c r="M258" s="270"/>
      <c r="N258" s="270"/>
      <c r="O258" s="270"/>
      <c r="P258" s="270"/>
      <c r="Q258" s="270"/>
      <c r="R258" s="2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c r="AN258" s="170"/>
      <c r="AO258" s="170"/>
      <c r="AP258" s="170"/>
      <c r="AQ258" s="170"/>
      <c r="AR258" s="170"/>
      <c r="AS258" s="170"/>
      <c r="AT258" s="170"/>
      <c r="AU258" s="170"/>
      <c r="AV258" s="170"/>
      <c r="AW258" s="170"/>
      <c r="AX258" s="170"/>
      <c r="AY258" s="170"/>
      <c r="AZ258" s="170"/>
      <c r="BA258" s="170"/>
      <c r="BB258" s="170"/>
      <c r="BC258" s="170"/>
      <c r="BD258" s="170"/>
      <c r="BE258" s="170"/>
      <c r="BF258" s="170"/>
      <c r="BG258" s="170"/>
      <c r="BH258" s="170"/>
      <c r="BI258" s="170"/>
      <c r="BJ258" s="170"/>
      <c r="BK258" s="170"/>
      <c r="BL258" s="170"/>
      <c r="BM258" s="170"/>
      <c r="BN258" s="170"/>
      <c r="BO258" s="170"/>
      <c r="BP258" s="170"/>
      <c r="BQ258" s="170"/>
      <c r="BR258" s="170"/>
      <c r="BS258" s="170"/>
      <c r="BT258" s="170"/>
      <c r="BU258" s="170"/>
      <c r="BV258" s="170"/>
      <c r="BW258" s="170"/>
      <c r="BX258" s="170"/>
      <c r="BY258" s="170"/>
      <c r="BZ258" s="170"/>
    </row>
    <row r="259" spans="1:78" ht="13.9" customHeight="1" x14ac:dyDescent="0.2">
      <c r="A259" s="281" t="s">
        <v>179</v>
      </c>
      <c r="B259" s="284">
        <f>B258/5280</f>
        <v>1.1458333333333333</v>
      </c>
      <c r="C259" s="270"/>
      <c r="D259" s="270"/>
      <c r="E259" s="270"/>
      <c r="F259" s="270"/>
      <c r="G259" s="270"/>
      <c r="H259" s="270"/>
      <c r="I259" s="270"/>
      <c r="J259" s="270"/>
      <c r="K259" s="270"/>
      <c r="L259" s="270"/>
      <c r="M259" s="270"/>
      <c r="N259" s="270"/>
      <c r="O259" s="270"/>
      <c r="P259" s="270"/>
      <c r="Q259" s="270"/>
      <c r="R259" s="2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c r="AN259" s="170"/>
      <c r="AO259" s="170"/>
      <c r="AP259" s="170"/>
      <c r="AQ259" s="170"/>
      <c r="AR259" s="170"/>
      <c r="AS259" s="170"/>
      <c r="AT259" s="170"/>
      <c r="AU259" s="170"/>
      <c r="AV259" s="170"/>
      <c r="AW259" s="170"/>
      <c r="AX259" s="170"/>
      <c r="AY259" s="170"/>
      <c r="AZ259" s="170"/>
      <c r="BA259" s="170"/>
      <c r="BB259" s="170"/>
      <c r="BC259" s="170"/>
      <c r="BD259" s="170"/>
      <c r="BE259" s="170"/>
      <c r="BF259" s="170"/>
      <c r="BG259" s="170"/>
      <c r="BH259" s="170"/>
      <c r="BI259" s="170"/>
      <c r="BJ259" s="170"/>
      <c r="BK259" s="170"/>
      <c r="BL259" s="170"/>
      <c r="BM259" s="170"/>
      <c r="BN259" s="170"/>
      <c r="BO259" s="170"/>
      <c r="BP259" s="170"/>
      <c r="BQ259" s="170"/>
      <c r="BR259" s="170"/>
      <c r="BS259" s="170"/>
      <c r="BT259" s="170"/>
      <c r="BU259" s="170"/>
      <c r="BV259" s="170"/>
      <c r="BW259" s="170"/>
      <c r="BX259" s="170"/>
      <c r="BY259" s="170"/>
      <c r="BZ259" s="170"/>
    </row>
    <row r="260" spans="1:78" ht="13.9" customHeight="1" x14ac:dyDescent="0.2">
      <c r="A260" s="450" t="s">
        <v>186</v>
      </c>
      <c r="B260" s="455"/>
      <c r="C260" s="270"/>
      <c r="D260" s="270"/>
      <c r="E260" s="270"/>
      <c r="F260" s="270"/>
      <c r="G260" s="270"/>
      <c r="H260" s="270"/>
      <c r="I260" s="270"/>
      <c r="J260" s="270"/>
      <c r="K260" s="270"/>
      <c r="L260" s="270"/>
      <c r="M260" s="270"/>
      <c r="N260" s="270"/>
      <c r="O260" s="270"/>
      <c r="P260" s="270"/>
      <c r="Q260" s="270"/>
      <c r="R260" s="2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c r="AN260" s="170"/>
      <c r="AO260" s="170"/>
      <c r="AP260" s="170"/>
      <c r="AQ260" s="170"/>
      <c r="AR260" s="170"/>
      <c r="AS260" s="170"/>
      <c r="AT260" s="170"/>
      <c r="AU260" s="170"/>
      <c r="AV260" s="170"/>
      <c r="AW260" s="170"/>
      <c r="AX260" s="170"/>
      <c r="AY260" s="170"/>
      <c r="AZ260" s="170"/>
      <c r="BA260" s="170"/>
      <c r="BB260" s="170"/>
      <c r="BC260" s="170"/>
      <c r="BD260" s="170"/>
      <c r="BE260" s="170"/>
      <c r="BF260" s="170"/>
      <c r="BG260" s="170"/>
      <c r="BH260" s="170"/>
      <c r="BI260" s="170"/>
      <c r="BJ260" s="170"/>
      <c r="BK260" s="170"/>
      <c r="BL260" s="170"/>
      <c r="BM260" s="170"/>
      <c r="BN260" s="170"/>
      <c r="BO260" s="170"/>
      <c r="BP260" s="170"/>
      <c r="BQ260" s="170"/>
      <c r="BR260" s="170"/>
      <c r="BS260" s="170"/>
      <c r="BT260" s="170"/>
      <c r="BU260" s="170"/>
      <c r="BV260" s="170"/>
      <c r="BW260" s="170"/>
      <c r="BX260" s="170"/>
      <c r="BY260" s="170"/>
      <c r="BZ260" s="170"/>
    </row>
    <row r="261" spans="1:78" ht="13.9" customHeight="1" x14ac:dyDescent="0.2">
      <c r="A261" s="281" t="s">
        <v>187</v>
      </c>
      <c r="B261" s="282">
        <v>30</v>
      </c>
      <c r="C261" s="270"/>
      <c r="D261" s="270"/>
      <c r="E261" s="270"/>
      <c r="F261" s="270"/>
      <c r="G261" s="270"/>
      <c r="H261" s="270"/>
      <c r="I261" s="270"/>
      <c r="J261" s="270"/>
      <c r="K261" s="270"/>
      <c r="L261" s="270"/>
      <c r="M261" s="270"/>
      <c r="N261" s="270"/>
      <c r="O261" s="270"/>
      <c r="P261" s="270"/>
      <c r="Q261" s="270"/>
      <c r="R261" s="2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c r="AQ261" s="170"/>
      <c r="AR261" s="170"/>
      <c r="AS261" s="170"/>
      <c r="AT261" s="170"/>
      <c r="AU261" s="170"/>
      <c r="AV261" s="170"/>
      <c r="AW261" s="170"/>
      <c r="AX261" s="170"/>
      <c r="AY261" s="170"/>
      <c r="AZ261" s="170"/>
      <c r="BA261" s="170"/>
      <c r="BB261" s="170"/>
      <c r="BC261" s="170"/>
      <c r="BD261" s="170"/>
      <c r="BE261" s="170"/>
      <c r="BF261" s="170"/>
      <c r="BG261" s="170"/>
      <c r="BH261" s="170"/>
      <c r="BI261" s="170"/>
      <c r="BJ261" s="170"/>
      <c r="BK261" s="170"/>
      <c r="BL261" s="170"/>
      <c r="BM261" s="170"/>
      <c r="BN261" s="170"/>
      <c r="BO261" s="170"/>
      <c r="BP261" s="170"/>
      <c r="BQ261" s="170"/>
      <c r="BR261" s="170"/>
      <c r="BS261" s="170"/>
      <c r="BT261" s="170"/>
      <c r="BU261" s="170"/>
      <c r="BV261" s="170"/>
      <c r="BW261" s="170"/>
      <c r="BX261" s="170"/>
      <c r="BY261" s="170"/>
      <c r="BZ261" s="170"/>
    </row>
    <row r="262" spans="1:78" ht="13.9" customHeight="1" x14ac:dyDescent="0.2">
      <c r="A262" s="281" t="s">
        <v>123</v>
      </c>
      <c r="B262" s="282">
        <f>B261*5280</f>
        <v>158400</v>
      </c>
      <c r="C262" s="270"/>
      <c r="D262" s="270"/>
      <c r="E262" s="270"/>
      <c r="F262" s="270"/>
      <c r="G262" s="270"/>
      <c r="H262" s="270"/>
      <c r="I262" s="270"/>
      <c r="J262" s="270"/>
      <c r="K262" s="270"/>
      <c r="L262" s="270"/>
      <c r="M262" s="270"/>
      <c r="N262" s="270"/>
      <c r="O262" s="270"/>
      <c r="P262" s="270"/>
      <c r="Q262" s="270"/>
      <c r="R262" s="2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c r="AY262" s="170"/>
      <c r="AZ262" s="170"/>
      <c r="BA262" s="170"/>
      <c r="BB262" s="170"/>
      <c r="BC262" s="170"/>
      <c r="BD262" s="170"/>
      <c r="BE262" s="170"/>
      <c r="BF262" s="170"/>
      <c r="BG262" s="170"/>
      <c r="BH262" s="170"/>
      <c r="BI262" s="170"/>
      <c r="BJ262" s="170"/>
      <c r="BK262" s="170"/>
      <c r="BL262" s="170"/>
      <c r="BM262" s="170"/>
      <c r="BN262" s="170"/>
      <c r="BO262" s="170"/>
      <c r="BP262" s="170"/>
      <c r="BQ262" s="170"/>
      <c r="BR262" s="170"/>
      <c r="BS262" s="170"/>
      <c r="BT262" s="170"/>
      <c r="BU262" s="170"/>
      <c r="BV262" s="170"/>
      <c r="BW262" s="170"/>
      <c r="BX262" s="170"/>
      <c r="BY262" s="170"/>
      <c r="BZ262" s="170"/>
    </row>
    <row r="263" spans="1:78" ht="13.9" customHeight="1" x14ac:dyDescent="0.2">
      <c r="A263" s="281" t="s">
        <v>124</v>
      </c>
      <c r="B263" s="282">
        <f>B262/60</f>
        <v>2640</v>
      </c>
      <c r="C263" s="270"/>
      <c r="D263" s="270"/>
      <c r="E263" s="270"/>
      <c r="F263" s="270"/>
      <c r="G263" s="270"/>
      <c r="H263" s="270"/>
      <c r="I263" s="270"/>
      <c r="J263" s="270"/>
      <c r="K263" s="270"/>
      <c r="L263" s="270"/>
      <c r="M263" s="270"/>
      <c r="N263" s="270"/>
      <c r="O263" s="270"/>
      <c r="P263" s="270"/>
      <c r="Q263" s="270"/>
      <c r="R263" s="2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c r="AN263" s="170"/>
      <c r="AO263" s="170"/>
      <c r="AP263" s="170"/>
      <c r="AQ263" s="170"/>
      <c r="AR263" s="170"/>
      <c r="AS263" s="170"/>
      <c r="AT263" s="170"/>
      <c r="AU263" s="170"/>
      <c r="AV263" s="170"/>
      <c r="AW263" s="170"/>
      <c r="AX263" s="170"/>
      <c r="AY263" s="170"/>
      <c r="AZ263" s="170"/>
      <c r="BA263" s="170"/>
      <c r="BB263" s="170"/>
      <c r="BC263" s="170"/>
      <c r="BD263" s="170"/>
      <c r="BE263" s="170"/>
      <c r="BF263" s="170"/>
      <c r="BG263" s="170"/>
      <c r="BH263" s="170"/>
      <c r="BI263" s="170"/>
      <c r="BJ263" s="170"/>
      <c r="BK263" s="170"/>
      <c r="BL263" s="170"/>
      <c r="BM263" s="170"/>
      <c r="BN263" s="170"/>
      <c r="BO263" s="170"/>
      <c r="BP263" s="170"/>
      <c r="BQ263" s="170"/>
      <c r="BR263" s="170"/>
      <c r="BS263" s="170"/>
      <c r="BT263" s="170"/>
      <c r="BU263" s="170"/>
      <c r="BV263" s="170"/>
      <c r="BW263" s="170"/>
      <c r="BX263" s="170"/>
      <c r="BY263" s="170"/>
      <c r="BZ263" s="170"/>
    </row>
    <row r="264" spans="1:78" ht="13.9" customHeight="1" x14ac:dyDescent="0.2">
      <c r="A264" s="281" t="s">
        <v>188</v>
      </c>
      <c r="B264" s="284">
        <f>B258/B263</f>
        <v>2.2916666666666665</v>
      </c>
      <c r="C264" s="285"/>
      <c r="D264" s="285"/>
      <c r="E264" s="270"/>
      <c r="F264" s="270"/>
      <c r="G264" s="270"/>
      <c r="H264" s="270"/>
      <c r="I264" s="270"/>
      <c r="J264" s="270"/>
      <c r="K264" s="270"/>
      <c r="L264" s="270"/>
      <c r="M264" s="270"/>
      <c r="N264" s="270"/>
      <c r="O264" s="270"/>
      <c r="P264" s="270"/>
      <c r="Q264" s="270"/>
      <c r="R264" s="2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c r="AQ264" s="170"/>
      <c r="AR264" s="170"/>
      <c r="AS264" s="170"/>
      <c r="AT264" s="170"/>
      <c r="AU264" s="170"/>
      <c r="AV264" s="170"/>
      <c r="AW264" s="170"/>
      <c r="AX264" s="170"/>
      <c r="AY264" s="170"/>
      <c r="AZ264" s="170"/>
      <c r="BA264" s="170"/>
      <c r="BB264" s="170"/>
      <c r="BC264" s="170"/>
      <c r="BD264" s="170"/>
      <c r="BE264" s="170"/>
      <c r="BF264" s="170"/>
      <c r="BG264" s="170"/>
      <c r="BH264" s="170"/>
      <c r="BI264" s="170"/>
      <c r="BJ264" s="170"/>
      <c r="BK264" s="170"/>
      <c r="BL264" s="170"/>
      <c r="BM264" s="170"/>
      <c r="BN264" s="170"/>
      <c r="BO264" s="170"/>
      <c r="BP264" s="170"/>
      <c r="BQ264" s="170"/>
      <c r="BR264" s="170"/>
      <c r="BS264" s="170"/>
      <c r="BT264" s="170"/>
      <c r="BU264" s="170"/>
      <c r="BV264" s="170"/>
      <c r="BW264" s="170"/>
      <c r="BX264" s="170"/>
      <c r="BY264" s="170"/>
      <c r="BZ264" s="170"/>
    </row>
    <row r="265" spans="1:78" ht="13.9" customHeight="1" x14ac:dyDescent="0.2">
      <c r="A265" s="281" t="s">
        <v>189</v>
      </c>
      <c r="B265" s="284">
        <v>0.5</v>
      </c>
      <c r="C265" s="270"/>
      <c r="D265" s="270"/>
      <c r="E265" s="270"/>
      <c r="F265" s="270"/>
      <c r="G265" s="270"/>
      <c r="H265" s="270"/>
      <c r="I265" s="270"/>
      <c r="J265" s="270"/>
      <c r="K265" s="270"/>
      <c r="L265" s="270"/>
      <c r="M265" s="270"/>
      <c r="N265" s="270"/>
      <c r="O265" s="270"/>
      <c r="P265" s="270"/>
      <c r="Q265" s="270"/>
      <c r="R265" s="2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c r="AY265" s="170"/>
      <c r="AZ265" s="170"/>
      <c r="BA265" s="170"/>
      <c r="BB265" s="170"/>
      <c r="BC265" s="170"/>
      <c r="BD265" s="170"/>
      <c r="BE265" s="170"/>
      <c r="BF265" s="170"/>
      <c r="BG265" s="170"/>
      <c r="BH265" s="170"/>
      <c r="BI265" s="170"/>
      <c r="BJ265" s="170"/>
      <c r="BK265" s="170"/>
      <c r="BL265" s="170"/>
      <c r="BM265" s="170"/>
      <c r="BN265" s="170"/>
      <c r="BO265" s="170"/>
      <c r="BP265" s="170"/>
      <c r="BQ265" s="170"/>
      <c r="BR265" s="170"/>
      <c r="BS265" s="170"/>
      <c r="BT265" s="170"/>
      <c r="BU265" s="170"/>
      <c r="BV265" s="170"/>
      <c r="BW265" s="170"/>
      <c r="BX265" s="170"/>
      <c r="BY265" s="170"/>
      <c r="BZ265" s="170"/>
    </row>
    <row r="266" spans="1:78" ht="13.9" customHeight="1" x14ac:dyDescent="0.2">
      <c r="A266" s="281" t="s">
        <v>190</v>
      </c>
      <c r="B266" s="284">
        <f>B264+B265</f>
        <v>2.7916666666666665</v>
      </c>
      <c r="C266" s="270"/>
      <c r="D266" s="270"/>
      <c r="E266" s="270"/>
      <c r="F266" s="270"/>
      <c r="G266" s="270"/>
      <c r="H266" s="270"/>
      <c r="I266" s="270"/>
      <c r="J266" s="270"/>
      <c r="K266" s="270"/>
      <c r="L266" s="270"/>
      <c r="M266" s="270"/>
      <c r="N266" s="270"/>
      <c r="O266" s="270"/>
      <c r="P266" s="270"/>
      <c r="Q266" s="270"/>
      <c r="R266" s="2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c r="AN266" s="170"/>
      <c r="AO266" s="170"/>
      <c r="AP266" s="170"/>
      <c r="AQ266" s="170"/>
      <c r="AR266" s="170"/>
      <c r="AS266" s="170"/>
      <c r="AT266" s="170"/>
      <c r="AU266" s="170"/>
      <c r="AV266" s="170"/>
      <c r="AW266" s="170"/>
      <c r="AX266" s="170"/>
      <c r="AY266" s="170"/>
      <c r="AZ266" s="170"/>
      <c r="BA266" s="170"/>
      <c r="BB266" s="170"/>
      <c r="BC266" s="170"/>
      <c r="BD266" s="170"/>
      <c r="BE266" s="170"/>
      <c r="BF266" s="170"/>
      <c r="BG266" s="170"/>
      <c r="BH266" s="170"/>
      <c r="BI266" s="170"/>
      <c r="BJ266" s="170"/>
      <c r="BK266" s="170"/>
      <c r="BL266" s="170"/>
      <c r="BM266" s="170"/>
      <c r="BN266" s="170"/>
      <c r="BO266" s="170"/>
      <c r="BP266" s="170"/>
      <c r="BQ266" s="170"/>
      <c r="BR266" s="170"/>
      <c r="BS266" s="170"/>
      <c r="BT266" s="170"/>
      <c r="BU266" s="170"/>
      <c r="BV266" s="170"/>
      <c r="BW266" s="170"/>
      <c r="BX266" s="170"/>
      <c r="BY266" s="170"/>
      <c r="BZ266" s="170"/>
    </row>
    <row r="267" spans="1:78" ht="13.9" customHeight="1" x14ac:dyDescent="0.2">
      <c r="A267" s="450" t="s">
        <v>191</v>
      </c>
      <c r="B267" s="455"/>
      <c r="C267" s="270"/>
      <c r="D267" s="270"/>
      <c r="E267" s="270"/>
      <c r="F267" s="270"/>
      <c r="G267" s="270"/>
      <c r="H267" s="270"/>
      <c r="I267" s="270"/>
      <c r="J267" s="270"/>
      <c r="K267" s="270"/>
      <c r="L267" s="270"/>
      <c r="M267" s="270"/>
      <c r="N267" s="270"/>
      <c r="O267" s="270"/>
      <c r="P267" s="270"/>
      <c r="Q267" s="270"/>
      <c r="R267" s="270"/>
      <c r="S267" s="170"/>
      <c r="T267" s="170"/>
      <c r="U267" s="170"/>
      <c r="V267" s="170"/>
      <c r="W267" s="170"/>
      <c r="X267" s="170"/>
      <c r="Y267" s="170"/>
      <c r="Z267" s="170"/>
      <c r="AA267" s="170"/>
      <c r="AB267" s="170"/>
      <c r="AC267" s="170"/>
      <c r="AD267" s="170"/>
      <c r="AE267" s="170"/>
      <c r="AF267" s="170"/>
      <c r="AG267" s="170"/>
      <c r="AH267" s="170"/>
      <c r="AI267" s="170"/>
      <c r="AJ267" s="170"/>
      <c r="AK267" s="170"/>
      <c r="AL267" s="170"/>
      <c r="AM267" s="170"/>
      <c r="AN267" s="170"/>
      <c r="AO267" s="170"/>
      <c r="AP267" s="170"/>
      <c r="AQ267" s="170"/>
      <c r="AR267" s="170"/>
      <c r="AS267" s="170"/>
      <c r="AT267" s="170"/>
      <c r="AU267" s="170"/>
      <c r="AV267" s="170"/>
      <c r="AW267" s="170"/>
      <c r="AX267" s="170"/>
      <c r="AY267" s="170"/>
      <c r="AZ267" s="170"/>
      <c r="BA267" s="170"/>
      <c r="BB267" s="170"/>
      <c r="BC267" s="170"/>
      <c r="BD267" s="170"/>
      <c r="BE267" s="170"/>
      <c r="BF267" s="170"/>
      <c r="BG267" s="170"/>
      <c r="BH267" s="170"/>
      <c r="BI267" s="170"/>
      <c r="BJ267" s="170"/>
      <c r="BK267" s="170"/>
      <c r="BL267" s="170"/>
      <c r="BM267" s="170"/>
      <c r="BN267" s="170"/>
      <c r="BO267" s="170"/>
      <c r="BP267" s="170"/>
      <c r="BQ267" s="170"/>
      <c r="BR267" s="170"/>
      <c r="BS267" s="170"/>
      <c r="BT267" s="170"/>
      <c r="BU267" s="170"/>
      <c r="BV267" s="170"/>
      <c r="BW267" s="170"/>
      <c r="BX267" s="170"/>
      <c r="BY267" s="170"/>
      <c r="BZ267" s="170"/>
    </row>
    <row r="268" spans="1:78" ht="13.9" customHeight="1" x14ac:dyDescent="0.2">
      <c r="A268" s="281" t="s">
        <v>187</v>
      </c>
      <c r="B268" s="282">
        <v>60</v>
      </c>
      <c r="C268" s="270"/>
      <c r="D268" s="270"/>
      <c r="E268" s="270"/>
      <c r="F268" s="270"/>
      <c r="G268" s="270"/>
      <c r="H268" s="270"/>
      <c r="I268" s="270"/>
      <c r="J268" s="270"/>
      <c r="K268" s="270"/>
      <c r="L268" s="270"/>
      <c r="M268" s="270"/>
      <c r="N268" s="270"/>
      <c r="O268" s="270"/>
      <c r="P268" s="270"/>
      <c r="Q268" s="270"/>
      <c r="R268" s="270"/>
      <c r="S268" s="170"/>
      <c r="T268" s="170"/>
      <c r="U268" s="170"/>
      <c r="V268" s="170"/>
      <c r="W268" s="170"/>
      <c r="X268" s="170"/>
      <c r="Y268" s="170"/>
      <c r="Z268" s="170"/>
      <c r="AA268" s="170"/>
      <c r="AB268" s="170"/>
      <c r="AC268" s="170"/>
      <c r="AD268" s="170"/>
      <c r="AE268" s="170"/>
      <c r="AF268" s="170"/>
      <c r="AG268" s="170"/>
      <c r="AH268" s="170"/>
      <c r="AI268" s="170"/>
      <c r="AJ268" s="170"/>
      <c r="AK268" s="170"/>
      <c r="AL268" s="170"/>
      <c r="AM268" s="170"/>
      <c r="AN268" s="170"/>
      <c r="AO268" s="170"/>
      <c r="AP268" s="170"/>
      <c r="AQ268" s="170"/>
      <c r="AR268" s="170"/>
      <c r="AS268" s="170"/>
      <c r="AT268" s="170"/>
      <c r="AU268" s="170"/>
      <c r="AV268" s="170"/>
      <c r="AW268" s="170"/>
      <c r="AX268" s="170"/>
      <c r="AY268" s="170"/>
      <c r="AZ268" s="170"/>
      <c r="BA268" s="170"/>
      <c r="BB268" s="170"/>
      <c r="BC268" s="170"/>
      <c r="BD268" s="170"/>
      <c r="BE268" s="170"/>
      <c r="BF268" s="170"/>
      <c r="BG268" s="170"/>
      <c r="BH268" s="170"/>
      <c r="BI268" s="170"/>
      <c r="BJ268" s="170"/>
      <c r="BK268" s="170"/>
      <c r="BL268" s="170"/>
      <c r="BM268" s="170"/>
      <c r="BN268" s="170"/>
      <c r="BO268" s="170"/>
      <c r="BP268" s="170"/>
      <c r="BQ268" s="170"/>
      <c r="BR268" s="170"/>
      <c r="BS268" s="170"/>
      <c r="BT268" s="170"/>
      <c r="BU268" s="170"/>
      <c r="BV268" s="170"/>
      <c r="BW268" s="170"/>
      <c r="BX268" s="170"/>
      <c r="BY268" s="170"/>
      <c r="BZ268" s="170"/>
    </row>
    <row r="269" spans="1:78" ht="13.9" customHeight="1" x14ac:dyDescent="0.2">
      <c r="A269" s="281" t="s">
        <v>123</v>
      </c>
      <c r="B269" s="282">
        <f>B268*5280</f>
        <v>316800</v>
      </c>
      <c r="C269" s="270"/>
      <c r="D269" s="270"/>
      <c r="E269" s="270"/>
      <c r="F269" s="270"/>
      <c r="G269" s="270"/>
      <c r="H269" s="270"/>
      <c r="I269" s="270"/>
      <c r="J269" s="270"/>
      <c r="K269" s="270"/>
      <c r="L269" s="270"/>
      <c r="M269" s="270"/>
      <c r="N269" s="270"/>
      <c r="O269" s="270"/>
      <c r="P269" s="270"/>
      <c r="Q269" s="270"/>
      <c r="R269" s="270"/>
      <c r="S269" s="170"/>
      <c r="T269" s="170"/>
      <c r="U269" s="170"/>
      <c r="V269" s="170"/>
      <c r="W269" s="170"/>
      <c r="X269" s="170"/>
      <c r="Y269" s="170"/>
      <c r="Z269" s="170"/>
      <c r="AA269" s="170"/>
      <c r="AB269" s="170"/>
      <c r="AC269" s="170"/>
      <c r="AD269" s="170"/>
      <c r="AE269" s="170"/>
      <c r="AF269" s="170"/>
      <c r="AG269" s="170"/>
      <c r="AH269" s="170"/>
      <c r="AI269" s="170"/>
      <c r="AJ269" s="170"/>
      <c r="AK269" s="170"/>
      <c r="AL269" s="170"/>
      <c r="AM269" s="170"/>
      <c r="AN269" s="170"/>
      <c r="AO269" s="170"/>
      <c r="AP269" s="170"/>
      <c r="AQ269" s="170"/>
      <c r="AR269" s="170"/>
      <c r="AS269" s="170"/>
      <c r="AT269" s="170"/>
      <c r="AU269" s="170"/>
      <c r="AV269" s="170"/>
      <c r="AW269" s="170"/>
      <c r="AX269" s="170"/>
      <c r="AY269" s="170"/>
      <c r="AZ269" s="170"/>
      <c r="BA269" s="170"/>
      <c r="BB269" s="170"/>
      <c r="BC269" s="170"/>
      <c r="BD269" s="170"/>
      <c r="BE269" s="170"/>
      <c r="BF269" s="170"/>
      <c r="BG269" s="170"/>
      <c r="BH269" s="170"/>
      <c r="BI269" s="170"/>
      <c r="BJ269" s="170"/>
      <c r="BK269" s="170"/>
      <c r="BL269" s="170"/>
      <c r="BM269" s="170"/>
      <c r="BN269" s="170"/>
      <c r="BO269" s="170"/>
      <c r="BP269" s="170"/>
      <c r="BQ269" s="170"/>
      <c r="BR269" s="170"/>
      <c r="BS269" s="170"/>
      <c r="BT269" s="170"/>
      <c r="BU269" s="170"/>
      <c r="BV269" s="170"/>
      <c r="BW269" s="170"/>
      <c r="BX269" s="170"/>
      <c r="BY269" s="170"/>
      <c r="BZ269" s="170"/>
    </row>
    <row r="270" spans="1:78" ht="13.9" customHeight="1" x14ac:dyDescent="0.2">
      <c r="A270" s="281" t="s">
        <v>124</v>
      </c>
      <c r="B270" s="282">
        <f>B269/60</f>
        <v>5280</v>
      </c>
      <c r="C270" s="270"/>
      <c r="D270" s="270"/>
      <c r="E270" s="270"/>
      <c r="F270" s="270"/>
      <c r="G270" s="270"/>
      <c r="H270" s="270"/>
      <c r="I270" s="270"/>
      <c r="J270" s="270"/>
      <c r="K270" s="270"/>
      <c r="L270" s="270"/>
      <c r="M270" s="270"/>
      <c r="N270" s="270"/>
      <c r="O270" s="270"/>
      <c r="P270" s="270"/>
      <c r="Q270" s="270"/>
      <c r="R270" s="270"/>
      <c r="S270" s="170"/>
      <c r="T270" s="170"/>
      <c r="U270" s="170"/>
      <c r="V270" s="170"/>
      <c r="W270" s="170"/>
      <c r="X270" s="170"/>
      <c r="Y270" s="170"/>
      <c r="Z270" s="170"/>
      <c r="AA270" s="170"/>
      <c r="AB270" s="170"/>
      <c r="AC270" s="170"/>
      <c r="AD270" s="170"/>
      <c r="AE270" s="170"/>
      <c r="AF270" s="170"/>
      <c r="AG270" s="170"/>
      <c r="AH270" s="170"/>
      <c r="AI270" s="170"/>
      <c r="AJ270" s="170"/>
      <c r="AK270" s="170"/>
      <c r="AL270" s="170"/>
      <c r="AM270" s="170"/>
      <c r="AN270" s="170"/>
      <c r="AO270" s="170"/>
      <c r="AP270" s="170"/>
      <c r="AQ270" s="170"/>
      <c r="AR270" s="170"/>
      <c r="AS270" s="170"/>
      <c r="AT270" s="170"/>
      <c r="AU270" s="170"/>
      <c r="AV270" s="170"/>
      <c r="AW270" s="170"/>
      <c r="AX270" s="170"/>
      <c r="AY270" s="170"/>
      <c r="AZ270" s="170"/>
      <c r="BA270" s="170"/>
      <c r="BB270" s="170"/>
      <c r="BC270" s="170"/>
      <c r="BD270" s="170"/>
      <c r="BE270" s="170"/>
      <c r="BF270" s="170"/>
      <c r="BG270" s="170"/>
      <c r="BH270" s="170"/>
      <c r="BI270" s="170"/>
      <c r="BJ270" s="170"/>
      <c r="BK270" s="170"/>
      <c r="BL270" s="170"/>
      <c r="BM270" s="170"/>
      <c r="BN270" s="170"/>
      <c r="BO270" s="170"/>
      <c r="BP270" s="170"/>
      <c r="BQ270" s="170"/>
      <c r="BR270" s="170"/>
      <c r="BS270" s="170"/>
      <c r="BT270" s="170"/>
      <c r="BU270" s="170"/>
      <c r="BV270" s="170"/>
      <c r="BW270" s="170"/>
      <c r="BX270" s="170"/>
      <c r="BY270" s="170"/>
      <c r="BZ270" s="170"/>
    </row>
    <row r="271" spans="1:78" ht="13.9" customHeight="1" x14ac:dyDescent="0.2">
      <c r="A271" s="281" t="s">
        <v>188</v>
      </c>
      <c r="B271" s="284">
        <f>B258/B270</f>
        <v>1.1458333333333333</v>
      </c>
      <c r="C271" s="270"/>
      <c r="D271" s="270"/>
      <c r="E271" s="270"/>
      <c r="F271" s="270"/>
      <c r="G271" s="270"/>
      <c r="H271" s="270"/>
      <c r="I271" s="270"/>
      <c r="J271" s="270"/>
      <c r="K271" s="270"/>
      <c r="L271" s="270"/>
      <c r="M271" s="270"/>
      <c r="N271" s="270"/>
      <c r="O271" s="270"/>
      <c r="P271" s="270"/>
      <c r="Q271" s="270"/>
      <c r="R271" s="270"/>
      <c r="S271" s="170"/>
      <c r="T271" s="170"/>
      <c r="U271" s="170"/>
      <c r="V271" s="170"/>
      <c r="W271" s="170"/>
      <c r="X271" s="170"/>
      <c r="Y271" s="170"/>
      <c r="Z271" s="170"/>
      <c r="AA271" s="170"/>
      <c r="AB271" s="170"/>
      <c r="AC271" s="170"/>
      <c r="AD271" s="170"/>
      <c r="AE271" s="170"/>
      <c r="AF271" s="170"/>
      <c r="AG271" s="170"/>
      <c r="AH271" s="170"/>
      <c r="AI271" s="170"/>
      <c r="AJ271" s="170"/>
      <c r="AK271" s="170"/>
      <c r="AL271" s="170"/>
      <c r="AM271" s="170"/>
      <c r="AN271" s="170"/>
      <c r="AO271" s="170"/>
      <c r="AP271" s="170"/>
      <c r="AQ271" s="170"/>
      <c r="AR271" s="170"/>
      <c r="AS271" s="170"/>
      <c r="AT271" s="170"/>
      <c r="AU271" s="170"/>
      <c r="AV271" s="170"/>
      <c r="AW271" s="170"/>
      <c r="AX271" s="170"/>
      <c r="AY271" s="170"/>
      <c r="AZ271" s="170"/>
      <c r="BA271" s="170"/>
      <c r="BB271" s="170"/>
      <c r="BC271" s="170"/>
      <c r="BD271" s="170"/>
      <c r="BE271" s="170"/>
      <c r="BF271" s="170"/>
      <c r="BG271" s="170"/>
      <c r="BH271" s="170"/>
      <c r="BI271" s="170"/>
      <c r="BJ271" s="170"/>
      <c r="BK271" s="170"/>
      <c r="BL271" s="170"/>
      <c r="BM271" s="170"/>
      <c r="BN271" s="170"/>
      <c r="BO271" s="170"/>
      <c r="BP271" s="170"/>
      <c r="BQ271" s="170"/>
      <c r="BR271" s="170"/>
      <c r="BS271" s="170"/>
      <c r="BT271" s="170"/>
      <c r="BU271" s="170"/>
      <c r="BV271" s="170"/>
      <c r="BW271" s="170"/>
      <c r="BX271" s="170"/>
      <c r="BY271" s="170"/>
      <c r="BZ271" s="170"/>
    </row>
    <row r="272" spans="1:78" ht="13.9" customHeight="1" x14ac:dyDescent="0.2">
      <c r="A272" s="281" t="s">
        <v>189</v>
      </c>
      <c r="B272" s="284">
        <v>0.5</v>
      </c>
      <c r="C272" s="270"/>
      <c r="D272" s="270"/>
      <c r="E272" s="270"/>
      <c r="F272" s="270"/>
      <c r="G272" s="270"/>
      <c r="H272" s="270"/>
      <c r="I272" s="270"/>
      <c r="J272" s="270"/>
      <c r="K272" s="270"/>
      <c r="L272" s="270"/>
      <c r="M272" s="270"/>
      <c r="N272" s="270"/>
      <c r="O272" s="270"/>
      <c r="P272" s="270"/>
      <c r="Q272" s="270"/>
      <c r="R272" s="270"/>
      <c r="S272" s="170"/>
      <c r="T272" s="170"/>
      <c r="U272" s="170"/>
      <c r="V272" s="170"/>
      <c r="W272" s="170"/>
      <c r="X272" s="170"/>
      <c r="Y272" s="170"/>
      <c r="Z272" s="170"/>
      <c r="AA272" s="170"/>
      <c r="AB272" s="170"/>
      <c r="AC272" s="170"/>
      <c r="AD272" s="170"/>
      <c r="AE272" s="170"/>
      <c r="AF272" s="170"/>
      <c r="AG272" s="170"/>
      <c r="AH272" s="170"/>
      <c r="AI272" s="170"/>
      <c r="AJ272" s="170"/>
      <c r="AK272" s="170"/>
      <c r="AL272" s="170"/>
      <c r="AM272" s="170"/>
      <c r="AN272" s="170"/>
      <c r="AO272" s="170"/>
      <c r="AP272" s="170"/>
      <c r="AQ272" s="170"/>
      <c r="AR272" s="170"/>
      <c r="AS272" s="170"/>
      <c r="AT272" s="170"/>
      <c r="AU272" s="170"/>
      <c r="AV272" s="170"/>
      <c r="AW272" s="170"/>
      <c r="AX272" s="170"/>
      <c r="AY272" s="170"/>
      <c r="AZ272" s="170"/>
      <c r="BA272" s="170"/>
      <c r="BB272" s="170"/>
      <c r="BC272" s="170"/>
      <c r="BD272" s="170"/>
      <c r="BE272" s="170"/>
      <c r="BF272" s="170"/>
      <c r="BG272" s="170"/>
      <c r="BH272" s="170"/>
      <c r="BI272" s="170"/>
      <c r="BJ272" s="170"/>
      <c r="BK272" s="170"/>
      <c r="BL272" s="170"/>
      <c r="BM272" s="170"/>
      <c r="BN272" s="170"/>
      <c r="BO272" s="170"/>
      <c r="BP272" s="170"/>
      <c r="BQ272" s="170"/>
      <c r="BR272" s="170"/>
      <c r="BS272" s="170"/>
      <c r="BT272" s="170"/>
      <c r="BU272" s="170"/>
      <c r="BV272" s="170"/>
      <c r="BW272" s="170"/>
      <c r="BX272" s="170"/>
      <c r="BY272" s="170"/>
      <c r="BZ272" s="170"/>
    </row>
    <row r="273" spans="1:78" ht="13.9" customHeight="1" x14ac:dyDescent="0.2">
      <c r="A273" s="281" t="s">
        <v>190</v>
      </c>
      <c r="B273" s="284">
        <f>B271+B272</f>
        <v>1.6458333333333333</v>
      </c>
      <c r="C273" s="270"/>
      <c r="D273" s="270"/>
      <c r="E273" s="270"/>
      <c r="F273" s="270"/>
      <c r="G273" s="270"/>
      <c r="H273" s="270"/>
      <c r="I273" s="270"/>
      <c r="J273" s="270"/>
      <c r="K273" s="270"/>
      <c r="L273" s="270"/>
      <c r="M273" s="270"/>
      <c r="N273" s="270"/>
      <c r="O273" s="270"/>
      <c r="P273" s="270"/>
      <c r="Q273" s="270"/>
      <c r="R273" s="270"/>
      <c r="S273" s="170"/>
      <c r="T273" s="170"/>
      <c r="U273" s="170"/>
      <c r="V273" s="170"/>
      <c r="W273" s="170"/>
      <c r="X273" s="170"/>
      <c r="Y273" s="170"/>
      <c r="Z273" s="170"/>
      <c r="AA273" s="170"/>
      <c r="AB273" s="170"/>
      <c r="AC273" s="170"/>
      <c r="AD273" s="170"/>
      <c r="AE273" s="170"/>
      <c r="AF273" s="170"/>
      <c r="AG273" s="170"/>
      <c r="AH273" s="170"/>
      <c r="AI273" s="170"/>
      <c r="AJ273" s="170"/>
      <c r="AK273" s="170"/>
      <c r="AL273" s="170"/>
      <c r="AM273" s="170"/>
      <c r="AN273" s="170"/>
      <c r="AO273" s="170"/>
      <c r="AP273" s="170"/>
      <c r="AQ273" s="170"/>
      <c r="AR273" s="170"/>
      <c r="AS273" s="170"/>
      <c r="AT273" s="170"/>
      <c r="AU273" s="170"/>
      <c r="AV273" s="170"/>
      <c r="AW273" s="170"/>
      <c r="AX273" s="170"/>
      <c r="AY273" s="170"/>
      <c r="AZ273" s="170"/>
      <c r="BA273" s="170"/>
      <c r="BB273" s="170"/>
      <c r="BC273" s="170"/>
      <c r="BD273" s="170"/>
      <c r="BE273" s="170"/>
      <c r="BF273" s="170"/>
      <c r="BG273" s="170"/>
      <c r="BH273" s="170"/>
      <c r="BI273" s="170"/>
      <c r="BJ273" s="170"/>
      <c r="BK273" s="170"/>
      <c r="BL273" s="170"/>
      <c r="BM273" s="170"/>
      <c r="BN273" s="170"/>
      <c r="BO273" s="170"/>
      <c r="BP273" s="170"/>
      <c r="BQ273" s="170"/>
      <c r="BR273" s="170"/>
      <c r="BS273" s="170"/>
      <c r="BT273" s="170"/>
      <c r="BU273" s="170"/>
      <c r="BV273" s="170"/>
      <c r="BW273" s="170"/>
      <c r="BX273" s="170"/>
      <c r="BY273" s="170"/>
      <c r="BZ273" s="170"/>
    </row>
    <row r="274" spans="1:78" ht="13.9" customHeight="1" x14ac:dyDescent="0.2">
      <c r="A274" s="286" t="s">
        <v>232</v>
      </c>
      <c r="B274" s="287"/>
      <c r="C274" s="270"/>
      <c r="D274" s="270"/>
      <c r="E274" s="270"/>
      <c r="F274" s="270"/>
      <c r="G274" s="270"/>
      <c r="H274" s="270"/>
      <c r="I274" s="270"/>
      <c r="J274" s="270"/>
      <c r="K274" s="270"/>
      <c r="L274" s="270"/>
      <c r="M274" s="270"/>
      <c r="N274" s="270"/>
      <c r="O274" s="270"/>
      <c r="P274" s="270"/>
      <c r="Q274" s="270"/>
      <c r="R274" s="270"/>
      <c r="S274" s="170"/>
      <c r="T274" s="170"/>
      <c r="U274" s="170"/>
      <c r="V274" s="170"/>
      <c r="W274" s="170"/>
      <c r="X274" s="170"/>
      <c r="Y274" s="170"/>
      <c r="Z274" s="170"/>
      <c r="AA274" s="170"/>
      <c r="AB274" s="170"/>
      <c r="AC274" s="170"/>
      <c r="AD274" s="170"/>
      <c r="AE274" s="170"/>
      <c r="AF274" s="170"/>
      <c r="AG274" s="170"/>
      <c r="AH274" s="170"/>
      <c r="AI274" s="170"/>
      <c r="AJ274" s="170"/>
      <c r="AK274" s="170"/>
      <c r="AL274" s="170"/>
      <c r="AM274" s="170"/>
      <c r="AN274" s="170"/>
      <c r="AO274" s="170"/>
      <c r="AP274" s="170"/>
      <c r="AQ274" s="170"/>
      <c r="AR274" s="170"/>
      <c r="AS274" s="170"/>
      <c r="AT274" s="170"/>
      <c r="AU274" s="170"/>
      <c r="AV274" s="170"/>
      <c r="AW274" s="170"/>
      <c r="AX274" s="170"/>
      <c r="AY274" s="170"/>
      <c r="AZ274" s="170"/>
      <c r="BA274" s="170"/>
      <c r="BB274" s="170"/>
      <c r="BC274" s="170"/>
      <c r="BD274" s="170"/>
      <c r="BE274" s="170"/>
      <c r="BF274" s="170"/>
      <c r="BG274" s="170"/>
      <c r="BH274" s="170"/>
      <c r="BI274" s="170"/>
      <c r="BJ274" s="170"/>
      <c r="BK274" s="170"/>
      <c r="BL274" s="170"/>
      <c r="BM274" s="170"/>
      <c r="BN274" s="170"/>
      <c r="BO274" s="170"/>
      <c r="BP274" s="170"/>
      <c r="BQ274" s="170"/>
      <c r="BR274" s="170"/>
      <c r="BS274" s="170"/>
      <c r="BT274" s="170"/>
      <c r="BU274" s="170"/>
      <c r="BV274" s="170"/>
      <c r="BW274" s="170"/>
      <c r="BX274" s="170"/>
      <c r="BY274" s="170"/>
      <c r="BZ274" s="170"/>
    </row>
    <row r="275" spans="1:78" ht="13.9" customHeight="1" x14ac:dyDescent="0.2">
      <c r="A275" s="286" t="s">
        <v>180</v>
      </c>
      <c r="B275" s="288"/>
      <c r="C275" s="270"/>
      <c r="D275" s="270"/>
      <c r="E275" s="270"/>
      <c r="F275" s="270"/>
      <c r="G275" s="270"/>
      <c r="H275" s="270"/>
      <c r="I275" s="270"/>
      <c r="J275" s="270"/>
      <c r="K275" s="270"/>
      <c r="L275" s="270"/>
      <c r="M275" s="270"/>
      <c r="N275" s="270"/>
      <c r="O275" s="270"/>
      <c r="P275" s="270"/>
      <c r="Q275" s="270"/>
      <c r="R275" s="270"/>
      <c r="S275" s="170"/>
      <c r="T275" s="170"/>
      <c r="U275" s="170"/>
      <c r="V275" s="170"/>
      <c r="W275" s="170"/>
      <c r="X275" s="170"/>
      <c r="Y275" s="170"/>
      <c r="Z275" s="170"/>
      <c r="AA275" s="170"/>
      <c r="AB275" s="170"/>
      <c r="AC275" s="170"/>
      <c r="AD275" s="170"/>
      <c r="AE275" s="170"/>
      <c r="AF275" s="170"/>
      <c r="AG275" s="170"/>
      <c r="AH275" s="170"/>
      <c r="AI275" s="170"/>
      <c r="AJ275" s="170"/>
      <c r="AK275" s="170"/>
      <c r="AL275" s="170"/>
      <c r="AM275" s="170"/>
      <c r="AN275" s="170"/>
      <c r="AO275" s="170"/>
      <c r="AP275" s="170"/>
      <c r="AQ275" s="170"/>
      <c r="AR275" s="170"/>
      <c r="AS275" s="170"/>
      <c r="AT275" s="170"/>
      <c r="AU275" s="170"/>
      <c r="AV275" s="170"/>
      <c r="AW275" s="170"/>
      <c r="AX275" s="170"/>
      <c r="AY275" s="170"/>
      <c r="AZ275" s="170"/>
      <c r="BA275" s="170"/>
      <c r="BB275" s="170"/>
      <c r="BC275" s="170"/>
      <c r="BD275" s="170"/>
      <c r="BE275" s="170"/>
      <c r="BF275" s="170"/>
      <c r="BG275" s="170"/>
      <c r="BH275" s="170"/>
      <c r="BI275" s="170"/>
      <c r="BJ275" s="170"/>
      <c r="BK275" s="170"/>
      <c r="BL275" s="170"/>
      <c r="BM275" s="170"/>
      <c r="BN275" s="170"/>
      <c r="BO275" s="170"/>
      <c r="BP275" s="170"/>
      <c r="BQ275" s="170"/>
      <c r="BR275" s="170"/>
      <c r="BS275" s="170"/>
      <c r="BT275" s="170"/>
      <c r="BU275" s="170"/>
      <c r="BV275" s="170"/>
      <c r="BW275" s="170"/>
      <c r="BX275" s="170"/>
      <c r="BY275" s="170"/>
      <c r="BZ275" s="170"/>
    </row>
    <row r="276" spans="1:78" ht="13.9" customHeight="1" x14ac:dyDescent="0.2">
      <c r="A276" s="286" t="s">
        <v>181</v>
      </c>
      <c r="B276" s="288"/>
      <c r="C276" s="270"/>
      <c r="D276" s="270"/>
      <c r="E276" s="270"/>
      <c r="F276" s="270"/>
      <c r="G276" s="270"/>
      <c r="H276" s="270"/>
      <c r="I276" s="270"/>
      <c r="J276" s="270"/>
      <c r="K276" s="270"/>
      <c r="L276" s="270"/>
      <c r="M276" s="270"/>
      <c r="N276" s="270"/>
      <c r="O276" s="270"/>
      <c r="P276" s="270"/>
      <c r="Q276" s="270"/>
      <c r="R276" s="270"/>
      <c r="S276" s="170"/>
      <c r="T276" s="170"/>
      <c r="U276" s="170"/>
      <c r="V276" s="170"/>
      <c r="W276" s="170"/>
      <c r="X276" s="170"/>
      <c r="Y276" s="170"/>
      <c r="Z276" s="170"/>
      <c r="AA276" s="170"/>
      <c r="AB276" s="170"/>
      <c r="AC276" s="170"/>
      <c r="AD276" s="170"/>
      <c r="AE276" s="170"/>
      <c r="AF276" s="170"/>
      <c r="AG276" s="170"/>
      <c r="AH276" s="170"/>
      <c r="AI276" s="170"/>
      <c r="AJ276" s="170"/>
      <c r="AK276" s="170"/>
      <c r="AL276" s="170"/>
      <c r="AM276" s="170"/>
      <c r="AN276" s="170"/>
      <c r="AO276" s="170"/>
      <c r="AP276" s="170"/>
      <c r="AQ276" s="170"/>
      <c r="AR276" s="170"/>
      <c r="AS276" s="170"/>
      <c r="AT276" s="170"/>
      <c r="AU276" s="170"/>
      <c r="AV276" s="170"/>
      <c r="AW276" s="170"/>
      <c r="AX276" s="170"/>
      <c r="AY276" s="170"/>
      <c r="AZ276" s="170"/>
      <c r="BA276" s="170"/>
      <c r="BB276" s="170"/>
      <c r="BC276" s="170"/>
      <c r="BD276" s="170"/>
      <c r="BE276" s="170"/>
      <c r="BF276" s="170"/>
      <c r="BG276" s="170"/>
      <c r="BH276" s="170"/>
      <c r="BI276" s="170"/>
      <c r="BJ276" s="170"/>
      <c r="BK276" s="170"/>
      <c r="BL276" s="170"/>
      <c r="BM276" s="170"/>
      <c r="BN276" s="170"/>
      <c r="BO276" s="170"/>
      <c r="BP276" s="170"/>
      <c r="BQ276" s="170"/>
      <c r="BR276" s="170"/>
      <c r="BS276" s="170"/>
      <c r="BT276" s="170"/>
      <c r="BU276" s="170"/>
      <c r="BV276" s="170"/>
      <c r="BW276" s="170"/>
      <c r="BX276" s="170"/>
      <c r="BY276" s="170"/>
      <c r="BZ276" s="170"/>
    </row>
    <row r="277" spans="1:78" ht="13.9" customHeight="1" x14ac:dyDescent="0.2">
      <c r="A277" s="286" t="s">
        <v>182</v>
      </c>
      <c r="B277" s="288"/>
      <c r="C277" s="270"/>
      <c r="D277" s="270"/>
      <c r="E277" s="270"/>
      <c r="F277" s="270"/>
      <c r="G277" s="270"/>
      <c r="H277" s="270"/>
      <c r="I277" s="270"/>
      <c r="J277" s="270"/>
      <c r="K277" s="270"/>
      <c r="L277" s="270"/>
      <c r="M277" s="270"/>
      <c r="N277" s="270"/>
      <c r="O277" s="270"/>
      <c r="P277" s="270"/>
      <c r="Q277" s="270"/>
      <c r="R277" s="270"/>
      <c r="S277" s="170"/>
      <c r="T277" s="170"/>
      <c r="U277" s="170"/>
      <c r="V277" s="170"/>
      <c r="W277" s="170"/>
      <c r="X277" s="170"/>
      <c r="Y277" s="170"/>
      <c r="Z277" s="170"/>
      <c r="AA277" s="170"/>
      <c r="AB277" s="170"/>
      <c r="AC277" s="170"/>
      <c r="AD277" s="170"/>
      <c r="AE277" s="170"/>
      <c r="AF277" s="170"/>
      <c r="AG277" s="170"/>
      <c r="AH277" s="170"/>
      <c r="AI277" s="170"/>
      <c r="AJ277" s="170"/>
      <c r="AK277" s="170"/>
      <c r="AL277" s="170"/>
      <c r="AM277" s="170"/>
      <c r="AN277" s="170"/>
      <c r="AO277" s="170"/>
      <c r="AP277" s="170"/>
      <c r="AQ277" s="170"/>
      <c r="AR277" s="170"/>
      <c r="AS277" s="170"/>
      <c r="AT277" s="170"/>
      <c r="AU277" s="170"/>
      <c r="AV277" s="170"/>
      <c r="AW277" s="170"/>
      <c r="AX277" s="170"/>
      <c r="AY277" s="170"/>
      <c r="AZ277" s="170"/>
      <c r="BA277" s="170"/>
      <c r="BB277" s="170"/>
      <c r="BC277" s="170"/>
      <c r="BD277" s="170"/>
      <c r="BE277" s="170"/>
      <c r="BF277" s="170"/>
      <c r="BG277" s="170"/>
      <c r="BH277" s="170"/>
      <c r="BI277" s="170"/>
      <c r="BJ277" s="170"/>
      <c r="BK277" s="170"/>
      <c r="BL277" s="170"/>
      <c r="BM277" s="170"/>
      <c r="BN277" s="170"/>
      <c r="BO277" s="170"/>
      <c r="BP277" s="170"/>
      <c r="BQ277" s="170"/>
      <c r="BR277" s="170"/>
      <c r="BS277" s="170"/>
      <c r="BT277" s="170"/>
      <c r="BU277" s="170"/>
      <c r="BV277" s="170"/>
      <c r="BW277" s="170"/>
      <c r="BX277" s="170"/>
      <c r="BY277" s="170"/>
      <c r="BZ277" s="170"/>
    </row>
    <row r="278" spans="1:78" ht="13.9" customHeight="1" x14ac:dyDescent="0.2">
      <c r="A278" s="286" t="s">
        <v>192</v>
      </c>
      <c r="B278" s="288"/>
      <c r="C278" s="270"/>
      <c r="D278" s="270"/>
      <c r="E278" s="270"/>
      <c r="F278" s="270"/>
      <c r="G278" s="270"/>
      <c r="H278" s="270"/>
      <c r="I278" s="270"/>
      <c r="J278" s="270"/>
      <c r="K278" s="270"/>
      <c r="L278" s="270"/>
      <c r="M278" s="270"/>
      <c r="N278" s="270"/>
      <c r="O278" s="270"/>
      <c r="P278" s="270"/>
      <c r="Q278" s="270"/>
      <c r="R278" s="270"/>
      <c r="S278" s="170"/>
      <c r="T278" s="170"/>
      <c r="U278" s="170"/>
      <c r="V278" s="170"/>
      <c r="W278" s="170"/>
      <c r="X278" s="170"/>
      <c r="Y278" s="170"/>
      <c r="Z278" s="170"/>
      <c r="AA278" s="170"/>
      <c r="AB278" s="170"/>
      <c r="AC278" s="170"/>
      <c r="AD278" s="170"/>
      <c r="AE278" s="170"/>
      <c r="AF278" s="170"/>
      <c r="AG278" s="170"/>
      <c r="AH278" s="170"/>
      <c r="AI278" s="170"/>
      <c r="AJ278" s="170"/>
      <c r="AK278" s="170"/>
      <c r="AL278" s="170"/>
      <c r="AM278" s="170"/>
      <c r="AN278" s="170"/>
      <c r="AO278" s="170"/>
      <c r="AP278" s="170"/>
      <c r="AQ278" s="170"/>
      <c r="AR278" s="170"/>
      <c r="AS278" s="170"/>
      <c r="AT278" s="170"/>
      <c r="AU278" s="170"/>
      <c r="AV278" s="170"/>
      <c r="AW278" s="170"/>
      <c r="AX278" s="170"/>
      <c r="AY278" s="170"/>
      <c r="AZ278" s="170"/>
      <c r="BA278" s="170"/>
      <c r="BB278" s="170"/>
      <c r="BC278" s="170"/>
      <c r="BD278" s="170"/>
      <c r="BE278" s="170"/>
      <c r="BF278" s="170"/>
      <c r="BG278" s="170"/>
      <c r="BH278" s="170"/>
      <c r="BI278" s="170"/>
      <c r="BJ278" s="170"/>
      <c r="BK278" s="170"/>
      <c r="BL278" s="170"/>
      <c r="BM278" s="170"/>
      <c r="BN278" s="170"/>
      <c r="BO278" s="170"/>
      <c r="BP278" s="170"/>
      <c r="BQ278" s="170"/>
      <c r="BR278" s="170"/>
      <c r="BS278" s="170"/>
      <c r="BT278" s="170"/>
      <c r="BU278" s="170"/>
      <c r="BV278" s="170"/>
      <c r="BW278" s="170"/>
      <c r="BX278" s="170"/>
      <c r="BY278" s="170"/>
      <c r="BZ278" s="170"/>
    </row>
    <row r="279" spans="1:78" ht="13.9" customHeight="1" x14ac:dyDescent="0.2">
      <c r="A279" s="270"/>
      <c r="B279" s="270"/>
      <c r="C279" s="270"/>
      <c r="D279" s="270"/>
      <c r="E279" s="270"/>
      <c r="F279" s="270"/>
      <c r="G279" s="270"/>
      <c r="H279" s="270"/>
      <c r="I279" s="270"/>
      <c r="J279" s="270"/>
      <c r="K279" s="270"/>
      <c r="L279" s="270"/>
      <c r="M279" s="270"/>
      <c r="N279" s="270"/>
      <c r="O279" s="270"/>
      <c r="P279" s="270"/>
      <c r="Q279" s="270"/>
      <c r="R279" s="270"/>
      <c r="S279" s="170"/>
      <c r="T279" s="170"/>
      <c r="U279" s="170"/>
      <c r="V279" s="170"/>
      <c r="W279" s="170"/>
      <c r="X279" s="170"/>
      <c r="Y279" s="170"/>
      <c r="Z279" s="170"/>
      <c r="AA279" s="170"/>
      <c r="AB279" s="170"/>
      <c r="AC279" s="170"/>
      <c r="AD279" s="170"/>
      <c r="AE279" s="170"/>
      <c r="AF279" s="170"/>
      <c r="AG279" s="170"/>
      <c r="AH279" s="170"/>
      <c r="AI279" s="170"/>
      <c r="AJ279" s="170"/>
      <c r="AK279" s="170"/>
      <c r="AL279" s="170"/>
      <c r="AM279" s="170"/>
      <c r="AN279" s="170"/>
      <c r="AO279" s="170"/>
      <c r="AP279" s="170"/>
      <c r="AQ279" s="170"/>
      <c r="AR279" s="170"/>
      <c r="AS279" s="170"/>
      <c r="AT279" s="170"/>
      <c r="AU279" s="170"/>
      <c r="AV279" s="170"/>
      <c r="AW279" s="170"/>
      <c r="AX279" s="170"/>
      <c r="AY279" s="170"/>
      <c r="AZ279" s="170"/>
      <c r="BA279" s="170"/>
      <c r="BB279" s="170"/>
      <c r="BC279" s="170"/>
      <c r="BD279" s="170"/>
      <c r="BE279" s="170"/>
      <c r="BF279" s="170"/>
      <c r="BG279" s="170"/>
      <c r="BH279" s="170"/>
      <c r="BI279" s="170"/>
      <c r="BJ279" s="170"/>
      <c r="BK279" s="170"/>
      <c r="BL279" s="170"/>
      <c r="BM279" s="170"/>
      <c r="BN279" s="170"/>
      <c r="BO279" s="170"/>
      <c r="BP279" s="170"/>
      <c r="BQ279" s="170"/>
      <c r="BR279" s="170"/>
      <c r="BS279" s="170"/>
      <c r="BT279" s="170"/>
      <c r="BU279" s="170"/>
      <c r="BV279" s="170"/>
      <c r="BW279" s="170"/>
      <c r="BX279" s="170"/>
      <c r="BY279" s="170"/>
      <c r="BZ279" s="170"/>
    </row>
    <row r="280" spans="1:78" ht="13.9" customHeight="1" x14ac:dyDescent="0.2">
      <c r="A280" s="450" t="s">
        <v>193</v>
      </c>
      <c r="B280" s="451"/>
      <c r="C280" s="451"/>
      <c r="D280" s="451"/>
      <c r="E280" s="451"/>
      <c r="F280" s="270"/>
      <c r="G280" s="270"/>
      <c r="H280" s="270"/>
      <c r="I280" s="270"/>
      <c r="J280" s="270"/>
      <c r="K280" s="270"/>
      <c r="L280" s="270"/>
      <c r="M280" s="270"/>
      <c r="N280" s="270"/>
      <c r="O280" s="270"/>
      <c r="P280" s="270"/>
      <c r="Q280" s="270"/>
      <c r="R280" s="270"/>
      <c r="S280" s="170"/>
      <c r="T280" s="170"/>
      <c r="U280" s="170"/>
      <c r="V280" s="170"/>
      <c r="W280" s="170"/>
      <c r="X280" s="170"/>
      <c r="Y280" s="170"/>
      <c r="Z280" s="170"/>
      <c r="AA280" s="170"/>
      <c r="AB280" s="170"/>
      <c r="AC280" s="170"/>
      <c r="AD280" s="170"/>
      <c r="AE280" s="170"/>
      <c r="AF280" s="170"/>
      <c r="AG280" s="170"/>
      <c r="AH280" s="170"/>
      <c r="AI280" s="170"/>
      <c r="AJ280" s="170"/>
      <c r="AK280" s="170"/>
      <c r="AL280" s="170"/>
      <c r="AM280" s="170"/>
      <c r="AN280" s="170"/>
      <c r="AO280" s="170"/>
      <c r="AP280" s="170"/>
      <c r="AQ280" s="170"/>
      <c r="AR280" s="170"/>
      <c r="AS280" s="170"/>
      <c r="AT280" s="170"/>
      <c r="AU280" s="170"/>
      <c r="AV280" s="170"/>
      <c r="AW280" s="170"/>
      <c r="AX280" s="170"/>
      <c r="AY280" s="170"/>
      <c r="AZ280" s="170"/>
      <c r="BA280" s="170"/>
      <c r="BB280" s="170"/>
      <c r="BC280" s="170"/>
      <c r="BD280" s="170"/>
      <c r="BE280" s="170"/>
      <c r="BF280" s="170"/>
      <c r="BG280" s="170"/>
      <c r="BH280" s="170"/>
      <c r="BI280" s="170"/>
      <c r="BJ280" s="170"/>
      <c r="BK280" s="170"/>
      <c r="BL280" s="170"/>
      <c r="BM280" s="170"/>
      <c r="BN280" s="170"/>
      <c r="BO280" s="170"/>
      <c r="BP280" s="170"/>
      <c r="BQ280" s="170"/>
      <c r="BR280" s="170"/>
      <c r="BS280" s="170"/>
      <c r="BT280" s="170"/>
      <c r="BU280" s="170"/>
      <c r="BV280" s="170"/>
      <c r="BW280" s="170"/>
      <c r="BX280" s="170"/>
      <c r="BY280" s="170"/>
      <c r="BZ280" s="170"/>
    </row>
    <row r="281" spans="1:78" ht="13.9" customHeight="1" x14ac:dyDescent="0.2">
      <c r="A281" s="446" t="s">
        <v>195</v>
      </c>
      <c r="B281" s="447"/>
      <c r="C281" s="447"/>
      <c r="D281" s="448"/>
      <c r="E281" s="282">
        <v>625</v>
      </c>
      <c r="F281" s="270"/>
      <c r="G281" s="270"/>
      <c r="H281" s="270"/>
      <c r="I281" s="270"/>
      <c r="J281" s="270"/>
      <c r="K281" s="270"/>
      <c r="L281" s="270"/>
      <c r="M281" s="270"/>
      <c r="N281" s="270"/>
      <c r="O281" s="270"/>
      <c r="P281" s="270"/>
      <c r="Q281" s="270"/>
      <c r="R281" s="270"/>
      <c r="S281" s="270"/>
      <c r="T281" s="170"/>
      <c r="U281" s="170"/>
      <c r="V281" s="170"/>
      <c r="W281" s="170"/>
      <c r="X281" s="170"/>
      <c r="Y281" s="170"/>
      <c r="Z281" s="170"/>
      <c r="AA281" s="170"/>
      <c r="AB281" s="170"/>
      <c r="AC281" s="170"/>
      <c r="AD281" s="170"/>
      <c r="AE281" s="170"/>
      <c r="AF281" s="170"/>
      <c r="AG281" s="170"/>
      <c r="AH281" s="170"/>
      <c r="AI281" s="170"/>
      <c r="AJ281" s="170"/>
      <c r="AK281" s="170"/>
      <c r="AL281" s="170"/>
      <c r="AM281" s="170"/>
      <c r="AN281" s="170"/>
      <c r="AO281" s="170"/>
      <c r="AP281" s="170"/>
      <c r="AQ281" s="170"/>
      <c r="AR281" s="170"/>
      <c r="AS281" s="170"/>
      <c r="AT281" s="170"/>
      <c r="AU281" s="170"/>
      <c r="AV281" s="170"/>
      <c r="AW281" s="170"/>
      <c r="AX281" s="170"/>
      <c r="AY281" s="170"/>
      <c r="AZ281" s="170"/>
      <c r="BA281" s="170"/>
      <c r="BB281" s="170"/>
      <c r="BC281" s="170"/>
      <c r="BD281" s="170"/>
      <c r="BE281" s="170"/>
      <c r="BF281" s="170"/>
      <c r="BG281" s="170"/>
      <c r="BH281" s="170"/>
      <c r="BI281" s="170"/>
      <c r="BJ281" s="170"/>
      <c r="BK281" s="170"/>
      <c r="BL281" s="170"/>
      <c r="BM281" s="170"/>
      <c r="BN281" s="170"/>
      <c r="BO281" s="170"/>
      <c r="BP281" s="170"/>
      <c r="BQ281" s="170"/>
      <c r="BR281" s="170"/>
      <c r="BS281" s="170"/>
      <c r="BT281" s="170"/>
      <c r="BU281" s="170"/>
      <c r="BV281" s="170"/>
      <c r="BW281" s="170"/>
      <c r="BX281" s="170"/>
      <c r="BY281" s="170"/>
      <c r="BZ281" s="170"/>
    </row>
    <row r="282" spans="1:78" ht="13.9" customHeight="1" x14ac:dyDescent="0.2">
      <c r="A282" s="446" t="s">
        <v>194</v>
      </c>
      <c r="B282" s="447"/>
      <c r="C282" s="447"/>
      <c r="D282" s="448"/>
      <c r="E282" s="284">
        <f>E281/(365-104)</f>
        <v>2.3946360153256707</v>
      </c>
      <c r="F282" s="270"/>
      <c r="G282" s="270"/>
      <c r="H282" s="270"/>
      <c r="I282" s="270"/>
      <c r="J282" s="270"/>
      <c r="K282" s="270"/>
      <c r="L282" s="270"/>
      <c r="M282" s="270"/>
      <c r="N282" s="270"/>
      <c r="O282" s="270"/>
      <c r="P282" s="270"/>
      <c r="Q282" s="270"/>
      <c r="R282" s="270"/>
      <c r="S282" s="270"/>
      <c r="T282" s="170"/>
      <c r="U282" s="170"/>
      <c r="V282" s="170"/>
      <c r="W282" s="170"/>
      <c r="X282" s="170"/>
      <c r="Y282" s="170"/>
      <c r="Z282" s="170"/>
      <c r="AA282" s="170"/>
      <c r="AB282" s="170"/>
      <c r="AC282" s="170"/>
      <c r="AD282" s="170"/>
      <c r="AE282" s="170"/>
      <c r="AF282" s="170"/>
      <c r="AG282" s="170"/>
      <c r="AH282" s="170"/>
      <c r="AI282" s="170"/>
      <c r="AJ282" s="170"/>
      <c r="AK282" s="170"/>
      <c r="AL282" s="170"/>
      <c r="AM282" s="170"/>
      <c r="AN282" s="170"/>
      <c r="AO282" s="170"/>
      <c r="AP282" s="170"/>
      <c r="AQ282" s="170"/>
      <c r="AR282" s="170"/>
      <c r="AS282" s="170"/>
      <c r="AT282" s="170"/>
      <c r="AU282" s="170"/>
      <c r="AV282" s="170"/>
      <c r="AW282" s="170"/>
      <c r="AX282" s="170"/>
      <c r="AY282" s="170"/>
      <c r="AZ282" s="170"/>
      <c r="BA282" s="170"/>
      <c r="BB282" s="170"/>
      <c r="BC282" s="170"/>
      <c r="BD282" s="170"/>
      <c r="BE282" s="170"/>
      <c r="BF282" s="170"/>
      <c r="BG282" s="170"/>
      <c r="BH282" s="170"/>
      <c r="BI282" s="170"/>
      <c r="BJ282" s="170"/>
      <c r="BK282" s="170"/>
      <c r="BL282" s="170"/>
      <c r="BM282" s="170"/>
      <c r="BN282" s="170"/>
      <c r="BO282" s="170"/>
      <c r="BP282" s="170"/>
      <c r="BQ282" s="170"/>
      <c r="BR282" s="170"/>
      <c r="BS282" s="170"/>
      <c r="BT282" s="170"/>
      <c r="BU282" s="170"/>
      <c r="BV282" s="170"/>
      <c r="BW282" s="170"/>
      <c r="BX282" s="170"/>
      <c r="BY282" s="170"/>
      <c r="BZ282" s="170"/>
    </row>
    <row r="283" spans="1:78" ht="13.9" customHeight="1" x14ac:dyDescent="0.2">
      <c r="A283" s="446" t="s">
        <v>201</v>
      </c>
      <c r="B283" s="447"/>
      <c r="C283" s="447"/>
      <c r="D283" s="448"/>
      <c r="E283" s="282">
        <v>25</v>
      </c>
      <c r="F283" s="270"/>
      <c r="G283" s="270"/>
      <c r="H283" s="270"/>
      <c r="I283" s="270"/>
      <c r="J283" s="270"/>
      <c r="K283" s="270"/>
      <c r="L283" s="270"/>
      <c r="M283" s="270"/>
      <c r="N283" s="270"/>
      <c r="O283" s="270"/>
      <c r="P283" s="270"/>
      <c r="Q283" s="270"/>
      <c r="R283" s="270"/>
      <c r="S283" s="270"/>
      <c r="T283" s="170"/>
      <c r="U283" s="170"/>
      <c r="V283" s="170"/>
      <c r="W283" s="170"/>
      <c r="X283" s="170"/>
      <c r="Y283" s="170"/>
      <c r="Z283" s="170"/>
      <c r="AA283" s="170"/>
      <c r="AB283" s="170"/>
      <c r="AC283" s="170"/>
      <c r="AD283" s="170"/>
      <c r="AE283" s="170"/>
      <c r="AF283" s="170"/>
      <c r="AG283" s="170"/>
      <c r="AH283" s="170"/>
      <c r="AI283" s="170"/>
      <c r="AJ283" s="170"/>
      <c r="AK283" s="170"/>
      <c r="AL283" s="170"/>
      <c r="AM283" s="170"/>
      <c r="AN283" s="170"/>
      <c r="AO283" s="170"/>
      <c r="AP283" s="170"/>
      <c r="AQ283" s="170"/>
      <c r="AR283" s="170"/>
      <c r="AS283" s="170"/>
      <c r="AT283" s="170"/>
      <c r="AU283" s="170"/>
      <c r="AV283" s="170"/>
      <c r="AW283" s="170"/>
      <c r="AX283" s="170"/>
      <c r="AY283" s="170"/>
      <c r="AZ283" s="170"/>
      <c r="BA283" s="170"/>
      <c r="BB283" s="170"/>
      <c r="BC283" s="170"/>
      <c r="BD283" s="170"/>
      <c r="BE283" s="170"/>
      <c r="BF283" s="170"/>
      <c r="BG283" s="170"/>
      <c r="BH283" s="170"/>
      <c r="BI283" s="170"/>
      <c r="BJ283" s="170"/>
      <c r="BK283" s="170"/>
      <c r="BL283" s="170"/>
      <c r="BM283" s="170"/>
      <c r="BN283" s="170"/>
      <c r="BO283" s="170"/>
      <c r="BP283" s="170"/>
      <c r="BQ283" s="170"/>
      <c r="BR283" s="170"/>
      <c r="BS283" s="170"/>
      <c r="BT283" s="170"/>
      <c r="BU283" s="170"/>
      <c r="BV283" s="170"/>
      <c r="BW283" s="170"/>
      <c r="BX283" s="170"/>
      <c r="BY283" s="170"/>
      <c r="BZ283" s="170"/>
    </row>
    <row r="284" spans="1:78" ht="13.9" customHeight="1" x14ac:dyDescent="0.2">
      <c r="A284" s="446" t="s">
        <v>196</v>
      </c>
      <c r="B284" s="447"/>
      <c r="C284" s="447"/>
      <c r="D284" s="448"/>
      <c r="E284" s="284">
        <f>E282*E283</f>
        <v>59.865900383141771</v>
      </c>
      <c r="F284" s="270"/>
      <c r="G284" s="270"/>
      <c r="H284" s="270"/>
      <c r="I284" s="270"/>
      <c r="J284" s="270"/>
      <c r="K284" s="270"/>
      <c r="L284" s="270"/>
      <c r="M284" s="270"/>
      <c r="N284" s="270"/>
      <c r="O284" s="270"/>
      <c r="P284" s="270"/>
      <c r="Q284" s="270"/>
      <c r="R284" s="270"/>
      <c r="S284" s="270"/>
      <c r="T284" s="170"/>
      <c r="U284" s="170"/>
      <c r="V284" s="170"/>
      <c r="W284" s="170"/>
      <c r="X284" s="170"/>
      <c r="Y284" s="170"/>
      <c r="Z284" s="170"/>
      <c r="AA284" s="170"/>
      <c r="AB284" s="170"/>
      <c r="AC284" s="170"/>
      <c r="AD284" s="170"/>
      <c r="AE284" s="170"/>
      <c r="AF284" s="170"/>
      <c r="AG284" s="170"/>
      <c r="AH284" s="170"/>
      <c r="AI284" s="170"/>
      <c r="AJ284" s="170"/>
      <c r="AK284" s="170"/>
      <c r="AL284" s="170"/>
      <c r="AM284" s="170"/>
      <c r="AN284" s="170"/>
      <c r="AO284" s="170"/>
      <c r="AP284" s="170"/>
      <c r="AQ284" s="170"/>
      <c r="AR284" s="170"/>
      <c r="AS284" s="170"/>
      <c r="AT284" s="170"/>
      <c r="AU284" s="170"/>
      <c r="AV284" s="170"/>
      <c r="AW284" s="170"/>
      <c r="AX284" s="170"/>
      <c r="AY284" s="170"/>
      <c r="AZ284" s="170"/>
      <c r="BA284" s="170"/>
      <c r="BB284" s="170"/>
      <c r="BC284" s="170"/>
      <c r="BD284" s="170"/>
      <c r="BE284" s="170"/>
      <c r="BF284" s="170"/>
      <c r="BG284" s="170"/>
      <c r="BH284" s="170"/>
      <c r="BI284" s="170"/>
      <c r="BJ284" s="170"/>
      <c r="BK284" s="170"/>
      <c r="BL284" s="170"/>
      <c r="BM284" s="170"/>
      <c r="BN284" s="170"/>
      <c r="BO284" s="170"/>
      <c r="BP284" s="170"/>
      <c r="BQ284" s="170"/>
      <c r="BR284" s="170"/>
      <c r="BS284" s="170"/>
      <c r="BT284" s="170"/>
      <c r="BU284" s="170"/>
      <c r="BV284" s="170"/>
      <c r="BW284" s="170"/>
      <c r="BX284" s="170"/>
      <c r="BY284" s="170"/>
      <c r="BZ284" s="170"/>
    </row>
    <row r="285" spans="1:78" ht="13.9" customHeight="1" x14ac:dyDescent="0.2">
      <c r="A285" s="449" t="s">
        <v>119</v>
      </c>
      <c r="B285" s="449"/>
      <c r="C285" s="449"/>
      <c r="D285" s="449"/>
      <c r="E285" s="449"/>
      <c r="F285" s="270"/>
      <c r="G285" s="270"/>
      <c r="H285" s="270"/>
      <c r="I285" s="270"/>
      <c r="J285" s="270"/>
      <c r="K285" s="270"/>
      <c r="L285" s="270"/>
      <c r="M285" s="270"/>
      <c r="N285" s="270"/>
      <c r="O285" s="270"/>
      <c r="P285" s="270"/>
      <c r="Q285" s="270"/>
      <c r="R285" s="270"/>
      <c r="S285" s="170"/>
      <c r="T285" s="170"/>
      <c r="U285" s="170"/>
      <c r="V285" s="170"/>
      <c r="W285" s="170"/>
      <c r="X285" s="170"/>
      <c r="Y285" s="170"/>
      <c r="Z285" s="170"/>
      <c r="AA285" s="170"/>
      <c r="AB285" s="170"/>
      <c r="AC285" s="170"/>
      <c r="AD285" s="170"/>
      <c r="AE285" s="170"/>
      <c r="AF285" s="170"/>
      <c r="AG285" s="170"/>
      <c r="AH285" s="170"/>
      <c r="AI285" s="170"/>
      <c r="AJ285" s="170"/>
      <c r="AK285" s="170"/>
      <c r="AL285" s="170"/>
      <c r="AM285" s="170"/>
      <c r="AN285" s="170"/>
      <c r="AO285" s="170"/>
      <c r="AP285" s="170"/>
      <c r="AQ285" s="170"/>
      <c r="AR285" s="170"/>
      <c r="AS285" s="170"/>
      <c r="AT285" s="170"/>
      <c r="AU285" s="170"/>
      <c r="AV285" s="170"/>
      <c r="AW285" s="170"/>
      <c r="AX285" s="170"/>
      <c r="AY285" s="170"/>
      <c r="AZ285" s="170"/>
      <c r="BA285" s="170"/>
      <c r="BB285" s="170"/>
      <c r="BC285" s="170"/>
      <c r="BD285" s="170"/>
      <c r="BE285" s="170"/>
      <c r="BF285" s="170"/>
      <c r="BG285" s="170"/>
      <c r="BH285" s="170"/>
      <c r="BI285" s="170"/>
      <c r="BJ285" s="170"/>
      <c r="BK285" s="170"/>
      <c r="BL285" s="170"/>
      <c r="BM285" s="170"/>
      <c r="BN285" s="170"/>
      <c r="BO285" s="170"/>
      <c r="BP285" s="170"/>
      <c r="BQ285" s="170"/>
      <c r="BR285" s="170"/>
      <c r="BS285" s="170"/>
      <c r="BT285" s="170"/>
      <c r="BU285" s="170"/>
      <c r="BV285" s="170"/>
      <c r="BW285" s="170"/>
      <c r="BX285" s="170"/>
      <c r="BY285" s="170"/>
      <c r="BZ285" s="170"/>
    </row>
    <row r="286" spans="1:78" ht="13.9" customHeight="1" x14ac:dyDescent="0.2">
      <c r="A286" s="270"/>
      <c r="B286" s="270"/>
      <c r="C286" s="270"/>
      <c r="D286" s="270"/>
      <c r="E286" s="270"/>
      <c r="F286" s="270"/>
      <c r="G286" s="270"/>
      <c r="H286" s="270"/>
      <c r="I286" s="270"/>
      <c r="J286" s="270"/>
      <c r="K286" s="270"/>
      <c r="L286" s="270"/>
      <c r="M286" s="270"/>
      <c r="N286" s="270"/>
      <c r="O286" s="270"/>
      <c r="P286" s="270"/>
      <c r="Q286" s="270"/>
      <c r="R286" s="270"/>
      <c r="S286" s="170"/>
      <c r="T286" s="170"/>
      <c r="U286" s="170"/>
      <c r="V286" s="170"/>
      <c r="W286" s="170"/>
      <c r="X286" s="170"/>
      <c r="Y286" s="170"/>
      <c r="Z286" s="170"/>
      <c r="AA286" s="170"/>
      <c r="AB286" s="170"/>
      <c r="AC286" s="170"/>
      <c r="AD286" s="170"/>
      <c r="AE286" s="170"/>
      <c r="AF286" s="170"/>
      <c r="AG286" s="170"/>
      <c r="AH286" s="170"/>
      <c r="AI286" s="170"/>
      <c r="AJ286" s="170"/>
      <c r="AK286" s="170"/>
      <c r="AL286" s="170"/>
      <c r="AM286" s="170"/>
      <c r="AN286" s="170"/>
      <c r="AO286" s="170"/>
      <c r="AP286" s="170"/>
      <c r="AQ286" s="170"/>
      <c r="AR286" s="170"/>
      <c r="AS286" s="170"/>
      <c r="AT286" s="170"/>
      <c r="AU286" s="170"/>
      <c r="AV286" s="170"/>
      <c r="AW286" s="170"/>
      <c r="AX286" s="170"/>
      <c r="AY286" s="170"/>
      <c r="AZ286" s="170"/>
      <c r="BA286" s="170"/>
      <c r="BB286" s="170"/>
      <c r="BC286" s="170"/>
      <c r="BD286" s="170"/>
      <c r="BE286" s="170"/>
      <c r="BF286" s="170"/>
      <c r="BG286" s="170"/>
      <c r="BH286" s="170"/>
      <c r="BI286" s="170"/>
      <c r="BJ286" s="170"/>
      <c r="BK286" s="170"/>
      <c r="BL286" s="170"/>
      <c r="BM286" s="170"/>
      <c r="BN286" s="170"/>
      <c r="BO286" s="170"/>
      <c r="BP286" s="170"/>
      <c r="BQ286" s="170"/>
      <c r="BR286" s="170"/>
      <c r="BS286" s="170"/>
      <c r="BT286" s="170"/>
      <c r="BU286" s="170"/>
      <c r="BV286" s="170"/>
      <c r="BW286" s="170"/>
      <c r="BX286" s="170"/>
      <c r="BY286" s="170"/>
      <c r="BZ286" s="170"/>
    </row>
    <row r="287" spans="1:78" ht="13.9" customHeight="1" x14ac:dyDescent="0.2">
      <c r="A287" s="450" t="s">
        <v>197</v>
      </c>
      <c r="B287" s="451"/>
      <c r="C287" s="451"/>
      <c r="D287" s="451"/>
      <c r="E287" s="270"/>
      <c r="F287" s="270"/>
      <c r="G287" s="270"/>
      <c r="H287" s="270"/>
      <c r="I287" s="270"/>
      <c r="J287" s="270"/>
      <c r="K287" s="270"/>
      <c r="L287" s="270"/>
      <c r="M287" s="270"/>
      <c r="N287" s="270"/>
      <c r="O287" s="270"/>
      <c r="P287" s="2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170"/>
      <c r="AL287" s="170"/>
      <c r="AM287" s="170"/>
      <c r="AN287" s="170"/>
      <c r="AO287" s="170"/>
      <c r="AP287" s="170"/>
      <c r="AQ287" s="170"/>
      <c r="AR287" s="170"/>
      <c r="AS287" s="170"/>
      <c r="AT287" s="170"/>
      <c r="AU287" s="170"/>
      <c r="AV287" s="170"/>
      <c r="AW287" s="170"/>
      <c r="AX287" s="170"/>
      <c r="AY287" s="170"/>
      <c r="AZ287" s="170"/>
      <c r="BA287" s="170"/>
      <c r="BB287" s="170"/>
      <c r="BC287" s="170"/>
      <c r="BD287" s="170"/>
      <c r="BE287" s="170"/>
      <c r="BF287" s="170"/>
      <c r="BG287" s="170"/>
      <c r="BH287" s="170"/>
      <c r="BI287" s="170"/>
      <c r="BJ287" s="170"/>
      <c r="BK287" s="170"/>
      <c r="BL287" s="170"/>
      <c r="BM287" s="170"/>
      <c r="BN287" s="170"/>
      <c r="BO287" s="170"/>
      <c r="BP287" s="170"/>
      <c r="BQ287" s="170"/>
      <c r="BR287" s="170"/>
      <c r="BS287" s="170"/>
      <c r="BT287" s="170"/>
      <c r="BU287" s="170"/>
      <c r="BV287" s="170"/>
      <c r="BW287" s="170"/>
      <c r="BX287" s="170"/>
      <c r="BY287" s="170"/>
      <c r="BZ287" s="170"/>
    </row>
    <row r="288" spans="1:78" ht="13.9" customHeight="1" x14ac:dyDescent="0.2">
      <c r="A288" s="289"/>
      <c r="B288" s="242" t="s">
        <v>89</v>
      </c>
      <c r="C288" s="242" t="s">
        <v>42</v>
      </c>
      <c r="D288" s="242" t="s">
        <v>233</v>
      </c>
      <c r="E288" s="270"/>
      <c r="F288" s="270"/>
      <c r="G288" s="270"/>
      <c r="H288" s="270"/>
      <c r="I288" s="270"/>
      <c r="J288" s="270"/>
      <c r="K288" s="270"/>
      <c r="L288" s="270"/>
      <c r="M288" s="270"/>
      <c r="N288" s="270"/>
      <c r="O288" s="270"/>
      <c r="P288" s="2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170"/>
      <c r="AL288" s="170"/>
      <c r="AM288" s="170"/>
      <c r="AN288" s="170"/>
      <c r="AO288" s="170"/>
      <c r="AP288" s="170"/>
      <c r="AQ288" s="170"/>
      <c r="AR288" s="170"/>
      <c r="AS288" s="170"/>
      <c r="AT288" s="170"/>
      <c r="AU288" s="170"/>
      <c r="AV288" s="170"/>
      <c r="AW288" s="170"/>
      <c r="AX288" s="170"/>
      <c r="AY288" s="170"/>
      <c r="AZ288" s="170"/>
      <c r="BA288" s="170"/>
      <c r="BB288" s="170"/>
      <c r="BC288" s="170"/>
      <c r="BD288" s="170"/>
      <c r="BE288" s="170"/>
      <c r="BF288" s="170"/>
      <c r="BG288" s="170"/>
      <c r="BH288" s="170"/>
      <c r="BI288" s="170"/>
      <c r="BJ288" s="170"/>
      <c r="BK288" s="170"/>
      <c r="BL288" s="170"/>
      <c r="BM288" s="170"/>
      <c r="BN288" s="170"/>
      <c r="BO288" s="170"/>
      <c r="BP288" s="170"/>
      <c r="BQ288" s="170"/>
      <c r="BR288" s="170"/>
      <c r="BS288" s="170"/>
      <c r="BT288" s="170"/>
      <c r="BU288" s="170"/>
      <c r="BV288" s="170"/>
      <c r="BW288" s="170"/>
      <c r="BX288" s="170"/>
      <c r="BY288" s="170"/>
      <c r="BZ288" s="170"/>
    </row>
    <row r="289" spans="1:78" ht="13.9" customHeight="1" x14ac:dyDescent="0.2">
      <c r="A289" s="281" t="s">
        <v>198</v>
      </c>
      <c r="B289" s="283">
        <f>SUM(B221:J221)</f>
        <v>8.25</v>
      </c>
      <c r="C289" s="283">
        <f>SUM(B229:J229)</f>
        <v>8.08</v>
      </c>
      <c r="D289" s="283">
        <f>SUM(B237:J237)</f>
        <v>7.25</v>
      </c>
      <c r="E289" s="270"/>
      <c r="F289" s="270"/>
      <c r="G289" s="270"/>
      <c r="H289" s="270"/>
      <c r="I289" s="270"/>
      <c r="J289" s="270"/>
      <c r="K289" s="270"/>
      <c r="L289" s="270"/>
      <c r="M289" s="270"/>
      <c r="N289" s="270"/>
      <c r="O289" s="270"/>
      <c r="P289" s="270"/>
      <c r="Q289" s="170"/>
      <c r="R289" s="170"/>
      <c r="S289" s="170"/>
      <c r="T289" s="170"/>
      <c r="U289" s="170"/>
      <c r="V289" s="170"/>
      <c r="W289" s="170"/>
      <c r="X289" s="170"/>
      <c r="Y289" s="170"/>
      <c r="Z289" s="170"/>
      <c r="AA289" s="170"/>
      <c r="AB289" s="170"/>
      <c r="AC289" s="170"/>
      <c r="AD289" s="170"/>
      <c r="AE289" s="170"/>
      <c r="AF289" s="170"/>
      <c r="AG289" s="170"/>
      <c r="AH289" s="170"/>
      <c r="AI289" s="170"/>
      <c r="AJ289" s="170"/>
      <c r="AK289" s="170"/>
      <c r="AL289" s="170"/>
      <c r="AM289" s="170"/>
      <c r="AN289" s="170"/>
      <c r="AO289" s="170"/>
      <c r="AP289" s="170"/>
      <c r="AQ289" s="170"/>
      <c r="AR289" s="170"/>
      <c r="AS289" s="170"/>
      <c r="AT289" s="170"/>
      <c r="AU289" s="170"/>
      <c r="AV289" s="170"/>
      <c r="AW289" s="170"/>
      <c r="AX289" s="170"/>
      <c r="AY289" s="170"/>
      <c r="AZ289" s="170"/>
      <c r="BA289" s="170"/>
      <c r="BB289" s="170"/>
      <c r="BC289" s="170"/>
      <c r="BD289" s="170"/>
      <c r="BE289" s="170"/>
      <c r="BF289" s="170"/>
      <c r="BG289" s="170"/>
      <c r="BH289" s="170"/>
      <c r="BI289" s="170"/>
      <c r="BJ289" s="170"/>
      <c r="BK289" s="170"/>
      <c r="BL289" s="170"/>
      <c r="BM289" s="170"/>
      <c r="BN289" s="170"/>
      <c r="BO289" s="170"/>
      <c r="BP289" s="170"/>
      <c r="BQ289" s="170"/>
      <c r="BR289" s="170"/>
      <c r="BS289" s="170"/>
      <c r="BT289" s="170"/>
      <c r="BU289" s="170"/>
      <c r="BV289" s="170"/>
      <c r="BW289" s="170"/>
      <c r="BX289" s="170"/>
      <c r="BY289" s="170"/>
      <c r="BZ289" s="170"/>
    </row>
    <row r="290" spans="1:78" ht="13.9" customHeight="1" x14ac:dyDescent="0.2">
      <c r="A290" s="281" t="s">
        <v>199</v>
      </c>
      <c r="B290" s="283">
        <v>35</v>
      </c>
      <c r="C290" s="283">
        <v>65</v>
      </c>
      <c r="D290" s="283">
        <f>B290</f>
        <v>35</v>
      </c>
      <c r="E290" s="270"/>
      <c r="F290" s="270"/>
      <c r="G290" s="270"/>
      <c r="H290" s="270"/>
      <c r="I290" s="270"/>
      <c r="J290" s="270"/>
      <c r="K290" s="270"/>
      <c r="L290" s="270"/>
      <c r="M290" s="270"/>
      <c r="N290" s="270"/>
      <c r="O290" s="270"/>
      <c r="P290" s="270"/>
      <c r="Q290" s="170"/>
      <c r="R290" s="170"/>
      <c r="S290" s="170"/>
      <c r="T290" s="170"/>
      <c r="U290" s="170"/>
      <c r="V290" s="170"/>
      <c r="W290" s="170"/>
      <c r="X290" s="170"/>
      <c r="Y290" s="170"/>
      <c r="Z290" s="170"/>
      <c r="AA290" s="170"/>
      <c r="AB290" s="170"/>
      <c r="AC290" s="170"/>
      <c r="AD290" s="170"/>
      <c r="AE290" s="170"/>
      <c r="AF290" s="170"/>
      <c r="AG290" s="170"/>
      <c r="AH290" s="170"/>
      <c r="AI290" s="170"/>
      <c r="AJ290" s="170"/>
      <c r="AK290" s="170"/>
      <c r="AL290" s="170"/>
      <c r="AM290" s="170"/>
      <c r="AN290" s="170"/>
      <c r="AO290" s="170"/>
      <c r="AP290" s="170"/>
      <c r="AQ290" s="170"/>
      <c r="AR290" s="170"/>
      <c r="AS290" s="170"/>
      <c r="AT290" s="170"/>
      <c r="AU290" s="170"/>
      <c r="AV290" s="170"/>
      <c r="AW290" s="170"/>
      <c r="AX290" s="170"/>
      <c r="AY290" s="170"/>
      <c r="AZ290" s="170"/>
      <c r="BA290" s="170"/>
      <c r="BB290" s="170"/>
      <c r="BC290" s="170"/>
      <c r="BD290" s="170"/>
      <c r="BE290" s="170"/>
      <c r="BF290" s="170"/>
      <c r="BG290" s="170"/>
      <c r="BH290" s="170"/>
      <c r="BI290" s="170"/>
      <c r="BJ290" s="170"/>
      <c r="BK290" s="170"/>
      <c r="BL290" s="170"/>
      <c r="BM290" s="170"/>
      <c r="BN290" s="170"/>
      <c r="BO290" s="170"/>
      <c r="BP290" s="170"/>
      <c r="BQ290" s="170"/>
      <c r="BR290" s="170"/>
      <c r="BS290" s="170"/>
      <c r="BT290" s="170"/>
      <c r="BU290" s="170"/>
      <c r="BV290" s="170"/>
      <c r="BW290" s="170"/>
      <c r="BX290" s="170"/>
      <c r="BY290" s="170"/>
      <c r="BZ290" s="170"/>
    </row>
    <row r="291" spans="1:78" ht="13.9" customHeight="1" x14ac:dyDescent="0.2">
      <c r="A291" s="281" t="s">
        <v>200</v>
      </c>
      <c r="B291" s="283">
        <f>14/60</f>
        <v>0.23333333333333334</v>
      </c>
      <c r="C291" s="283">
        <f>((C289*60)/C290)/60</f>
        <v>0.1243076923076923</v>
      </c>
      <c r="D291" s="283">
        <f>13/60</f>
        <v>0.21666666666666667</v>
      </c>
      <c r="E291" s="270"/>
      <c r="F291" s="270"/>
      <c r="G291" s="270"/>
      <c r="H291" s="270"/>
      <c r="I291" s="270"/>
      <c r="J291" s="270"/>
      <c r="K291" s="270"/>
      <c r="L291" s="270"/>
      <c r="M291" s="270"/>
      <c r="N291" s="270"/>
      <c r="O291" s="270"/>
      <c r="P291" s="270"/>
      <c r="Q291" s="170"/>
      <c r="R291" s="170"/>
      <c r="S291" s="170"/>
      <c r="T291" s="170"/>
      <c r="U291" s="170"/>
      <c r="V291" s="170"/>
      <c r="W291" s="170"/>
      <c r="X291" s="170"/>
      <c r="Y291" s="170"/>
      <c r="Z291" s="170"/>
      <c r="AA291" s="170"/>
      <c r="AB291" s="170"/>
      <c r="AC291" s="170"/>
      <c r="AD291" s="170"/>
      <c r="AE291" s="170"/>
      <c r="AF291" s="170"/>
      <c r="AG291" s="170"/>
      <c r="AH291" s="170"/>
      <c r="AI291" s="170"/>
      <c r="AJ291" s="170"/>
      <c r="AK291" s="170"/>
      <c r="AL291" s="170"/>
      <c r="AM291" s="170"/>
      <c r="AN291" s="170"/>
      <c r="AO291" s="170"/>
      <c r="AP291" s="170"/>
      <c r="AQ291" s="170"/>
      <c r="AR291" s="170"/>
      <c r="AS291" s="170"/>
      <c r="AT291" s="170"/>
      <c r="AU291" s="170"/>
      <c r="AV291" s="170"/>
      <c r="AW291" s="170"/>
      <c r="AX291" s="170"/>
      <c r="AY291" s="170"/>
      <c r="AZ291" s="170"/>
      <c r="BA291" s="170"/>
      <c r="BB291" s="170"/>
      <c r="BC291" s="170"/>
      <c r="BD291" s="170"/>
      <c r="BE291" s="170"/>
      <c r="BF291" s="170"/>
      <c r="BG291" s="170"/>
      <c r="BH291" s="170"/>
      <c r="BI291" s="170"/>
      <c r="BJ291" s="170"/>
      <c r="BK291" s="170"/>
      <c r="BL291" s="170"/>
      <c r="BM291" s="170"/>
      <c r="BN291" s="170"/>
      <c r="BO291" s="170"/>
      <c r="BP291" s="170"/>
      <c r="BQ291" s="170"/>
      <c r="BR291" s="170"/>
      <c r="BS291" s="170"/>
      <c r="BT291" s="170"/>
      <c r="BU291" s="170"/>
      <c r="BV291" s="170"/>
      <c r="BW291" s="170"/>
      <c r="BX291" s="170"/>
      <c r="BY291" s="170"/>
      <c r="BZ291" s="170"/>
    </row>
    <row r="292" spans="1:78" ht="13.9" customHeight="1" x14ac:dyDescent="0.2">
      <c r="A292" s="452" t="s">
        <v>231</v>
      </c>
      <c r="B292" s="453"/>
      <c r="C292" s="453"/>
      <c r="D292" s="454"/>
      <c r="E292" s="270"/>
      <c r="F292" s="270"/>
      <c r="G292" s="270"/>
      <c r="H292" s="270"/>
      <c r="I292" s="270"/>
      <c r="J292" s="270"/>
      <c r="K292" s="270"/>
      <c r="L292" s="270"/>
      <c r="M292" s="270"/>
      <c r="N292" s="270"/>
      <c r="O292" s="270"/>
      <c r="P292" s="270"/>
      <c r="Q292" s="170"/>
      <c r="R292" s="170"/>
      <c r="S292" s="170"/>
      <c r="T292" s="170"/>
      <c r="U292" s="170"/>
      <c r="V292" s="170"/>
      <c r="W292" s="170"/>
      <c r="X292" s="170"/>
      <c r="Y292" s="170"/>
      <c r="Z292" s="170"/>
      <c r="AA292" s="170"/>
      <c r="AB292" s="170"/>
      <c r="AC292" s="170"/>
      <c r="AD292" s="170"/>
      <c r="AE292" s="170"/>
      <c r="AF292" s="170"/>
      <c r="AG292" s="170"/>
      <c r="AH292" s="170"/>
      <c r="AI292" s="170"/>
      <c r="AJ292" s="170"/>
      <c r="AK292" s="170"/>
      <c r="AL292" s="170"/>
      <c r="AM292" s="170"/>
      <c r="AN292" s="170"/>
      <c r="AO292" s="170"/>
      <c r="AP292" s="170"/>
      <c r="AQ292" s="170"/>
      <c r="AR292" s="170"/>
      <c r="AS292" s="170"/>
      <c r="AT292" s="170"/>
      <c r="AU292" s="170"/>
      <c r="AV292" s="170"/>
      <c r="AW292" s="170"/>
      <c r="AX292" s="170"/>
      <c r="AY292" s="170"/>
      <c r="AZ292" s="170"/>
      <c r="BA292" s="170"/>
      <c r="BB292" s="170"/>
      <c r="BC292" s="170"/>
      <c r="BD292" s="170"/>
      <c r="BE292" s="170"/>
      <c r="BF292" s="170"/>
      <c r="BG292" s="170"/>
      <c r="BH292" s="170"/>
      <c r="BI292" s="170"/>
      <c r="BJ292" s="170"/>
      <c r="BK292" s="170"/>
      <c r="BL292" s="170"/>
      <c r="BM292" s="170"/>
      <c r="BN292" s="170"/>
      <c r="BO292" s="170"/>
      <c r="BP292" s="170"/>
      <c r="BQ292" s="170"/>
      <c r="BR292" s="170"/>
      <c r="BS292" s="170"/>
      <c r="BT292" s="170"/>
      <c r="BU292" s="170"/>
      <c r="BV292" s="170"/>
      <c r="BW292" s="170"/>
      <c r="BX292" s="170"/>
      <c r="BY292" s="170"/>
      <c r="BZ292" s="170"/>
    </row>
    <row r="293" spans="1:78" ht="13.9" customHeight="1" x14ac:dyDescent="0.2">
      <c r="A293" s="270"/>
      <c r="B293" s="270"/>
      <c r="C293" s="270"/>
      <c r="D293" s="270"/>
      <c r="E293" s="270"/>
      <c r="F293" s="270"/>
      <c r="G293" s="270"/>
      <c r="H293" s="270"/>
      <c r="I293" s="270"/>
      <c r="J293" s="270"/>
      <c r="K293" s="270"/>
      <c r="L293" s="270"/>
      <c r="M293" s="270"/>
      <c r="N293" s="270"/>
      <c r="O293" s="270"/>
      <c r="P293" s="270"/>
      <c r="Q293" s="270"/>
      <c r="R293" s="270"/>
      <c r="S293" s="170"/>
      <c r="T293" s="170"/>
      <c r="U293" s="170"/>
      <c r="V293" s="170"/>
      <c r="W293" s="170"/>
      <c r="X293" s="170"/>
      <c r="Y293" s="170"/>
      <c r="Z293" s="170"/>
      <c r="AA293" s="170"/>
      <c r="AB293" s="170"/>
      <c r="AC293" s="170"/>
      <c r="AD293" s="170"/>
      <c r="AE293" s="170"/>
      <c r="AF293" s="170"/>
      <c r="AG293" s="170"/>
      <c r="AH293" s="170"/>
      <c r="AI293" s="170"/>
      <c r="AJ293" s="170"/>
      <c r="AK293" s="170"/>
      <c r="AL293" s="170"/>
      <c r="AM293" s="170"/>
      <c r="AN293" s="170"/>
      <c r="AO293" s="170"/>
      <c r="AP293" s="170"/>
      <c r="AQ293" s="170"/>
      <c r="AR293" s="170"/>
      <c r="AS293" s="170"/>
      <c r="AT293" s="170"/>
      <c r="AU293" s="170"/>
      <c r="AV293" s="170"/>
      <c r="AW293" s="170"/>
      <c r="AX293" s="170"/>
      <c r="AY293" s="170"/>
      <c r="AZ293" s="170"/>
      <c r="BA293" s="170"/>
      <c r="BB293" s="170"/>
      <c r="BC293" s="170"/>
      <c r="BD293" s="170"/>
      <c r="BE293" s="170"/>
      <c r="BF293" s="170"/>
      <c r="BG293" s="170"/>
      <c r="BH293" s="170"/>
      <c r="BI293" s="170"/>
      <c r="BJ293" s="170"/>
      <c r="BK293" s="170"/>
      <c r="BL293" s="170"/>
      <c r="BM293" s="170"/>
      <c r="BN293" s="170"/>
      <c r="BO293" s="170"/>
      <c r="BP293" s="170"/>
      <c r="BQ293" s="170"/>
      <c r="BR293" s="170"/>
      <c r="BS293" s="170"/>
      <c r="BT293" s="170"/>
      <c r="BU293" s="170"/>
      <c r="BV293" s="170"/>
      <c r="BW293" s="170"/>
      <c r="BX293" s="170"/>
      <c r="BY293" s="170"/>
      <c r="BZ293" s="170"/>
    </row>
    <row r="294" spans="1:78" ht="13.9" customHeight="1" x14ac:dyDescent="0.2">
      <c r="A294" s="185"/>
      <c r="B294" s="185"/>
      <c r="C294" s="269"/>
      <c r="D294" s="290"/>
      <c r="E294" s="185"/>
      <c r="F294" s="185"/>
      <c r="G294" s="291"/>
      <c r="H294" s="185"/>
      <c r="I294" s="185"/>
      <c r="J294" s="185"/>
      <c r="K294" s="271"/>
      <c r="L294" s="271"/>
      <c r="M294" s="273"/>
      <c r="N294" s="273"/>
      <c r="O294" s="273"/>
      <c r="P294" s="170"/>
      <c r="Q294" s="170"/>
      <c r="R294" s="170"/>
      <c r="S294" s="170"/>
      <c r="T294" s="170"/>
      <c r="U294" s="170"/>
      <c r="V294" s="170"/>
      <c r="W294" s="170"/>
      <c r="X294" s="170"/>
      <c r="Y294" s="170"/>
      <c r="Z294" s="170"/>
      <c r="AA294" s="170"/>
      <c r="AB294" s="170"/>
      <c r="AC294" s="170"/>
      <c r="AD294" s="170"/>
      <c r="AE294" s="170"/>
      <c r="AF294" s="170"/>
      <c r="AG294" s="170"/>
      <c r="AH294" s="170"/>
      <c r="AI294" s="170"/>
      <c r="AJ294" s="170"/>
      <c r="AK294" s="170"/>
      <c r="AL294" s="170"/>
      <c r="AM294" s="170"/>
      <c r="AN294" s="170"/>
      <c r="AO294" s="170"/>
      <c r="AP294" s="170"/>
      <c r="AQ294" s="170"/>
      <c r="AR294" s="170"/>
      <c r="AS294" s="170"/>
      <c r="AT294" s="170"/>
      <c r="AU294" s="170"/>
      <c r="AV294" s="170"/>
      <c r="AW294" s="170"/>
      <c r="AX294" s="170"/>
      <c r="AY294" s="170"/>
      <c r="AZ294" s="170"/>
      <c r="BA294" s="170"/>
      <c r="BB294" s="170"/>
      <c r="BC294" s="170"/>
      <c r="BD294" s="170"/>
      <c r="BE294" s="170"/>
      <c r="BF294" s="170"/>
      <c r="BG294" s="170"/>
      <c r="BH294" s="170"/>
      <c r="BI294" s="170"/>
      <c r="BJ294" s="170"/>
      <c r="BK294" s="170"/>
      <c r="BL294" s="170"/>
      <c r="BM294" s="170"/>
      <c r="BN294" s="170"/>
      <c r="BO294" s="170"/>
      <c r="BP294" s="170"/>
      <c r="BQ294" s="170"/>
      <c r="BR294" s="170"/>
      <c r="BS294" s="170"/>
      <c r="BT294" s="170"/>
      <c r="BU294" s="170"/>
      <c r="BV294" s="170"/>
      <c r="BW294" s="170"/>
      <c r="BX294" s="170"/>
      <c r="BY294" s="170"/>
      <c r="BZ294" s="170"/>
    </row>
    <row r="295" spans="1:78" ht="13.9" customHeight="1" x14ac:dyDescent="0.2">
      <c r="A295" s="171">
        <v>29.5</v>
      </c>
      <c r="B295" s="170" t="s">
        <v>108</v>
      </c>
      <c r="C295" s="290"/>
      <c r="D295" s="291"/>
      <c r="E295" s="185"/>
      <c r="F295" s="185"/>
      <c r="G295" s="291"/>
      <c r="H295" s="185"/>
      <c r="I295" s="185"/>
      <c r="J295" s="185"/>
      <c r="K295" s="271"/>
      <c r="L295" s="271"/>
      <c r="M295" s="273"/>
      <c r="N295" s="273"/>
      <c r="O295" s="273"/>
      <c r="P295" s="170"/>
      <c r="Q295" s="170"/>
      <c r="R295" s="170"/>
      <c r="S295" s="170"/>
      <c r="T295" s="170"/>
      <c r="U295" s="170"/>
      <c r="V295" s="170"/>
      <c r="W295" s="170"/>
      <c r="X295" s="170"/>
      <c r="Y295" s="170"/>
      <c r="Z295" s="170"/>
      <c r="AA295" s="170"/>
      <c r="AB295" s="170"/>
      <c r="AC295" s="170"/>
      <c r="AD295" s="170"/>
      <c r="AE295" s="170"/>
      <c r="AF295" s="170"/>
      <c r="AG295" s="170"/>
      <c r="AH295" s="170"/>
      <c r="AI295" s="170"/>
      <c r="AJ295" s="170"/>
      <c r="AK295" s="170"/>
      <c r="AL295" s="170"/>
      <c r="AM295" s="170"/>
      <c r="AN295" s="170"/>
      <c r="AO295" s="170"/>
      <c r="AP295" s="170"/>
      <c r="AQ295" s="170"/>
      <c r="AR295" s="170"/>
      <c r="AS295" s="170"/>
      <c r="AT295" s="170"/>
      <c r="AU295" s="170"/>
      <c r="AV295" s="170"/>
      <c r="AW295" s="170"/>
      <c r="AX295" s="170"/>
      <c r="AY295" s="170"/>
      <c r="AZ295" s="170"/>
      <c r="BA295" s="170"/>
      <c r="BB295" s="170"/>
      <c r="BC295" s="170"/>
      <c r="BD295" s="170"/>
      <c r="BE295" s="170"/>
      <c r="BF295" s="170"/>
      <c r="BG295" s="170"/>
      <c r="BH295" s="170"/>
      <c r="BI295" s="170"/>
      <c r="BJ295" s="170"/>
      <c r="BK295" s="170"/>
      <c r="BL295" s="170"/>
      <c r="BM295" s="170"/>
      <c r="BN295" s="170"/>
      <c r="BO295" s="170"/>
      <c r="BP295" s="170"/>
      <c r="BQ295" s="170"/>
      <c r="BR295" s="170"/>
      <c r="BS295" s="170"/>
      <c r="BT295" s="170"/>
      <c r="BU295" s="170"/>
      <c r="BV295" s="170"/>
      <c r="BW295" s="170"/>
      <c r="BX295" s="170"/>
      <c r="BY295" s="170"/>
      <c r="BZ295" s="170"/>
    </row>
    <row r="296" spans="1:78" ht="13.9" customHeight="1" x14ac:dyDescent="0.2">
      <c r="A296" s="171">
        <v>16.600000000000001</v>
      </c>
      <c r="B296" s="170" t="s">
        <v>109</v>
      </c>
      <c r="C296" s="290"/>
      <c r="D296" s="290"/>
      <c r="E296" s="185"/>
      <c r="F296" s="185"/>
      <c r="G296" s="291"/>
      <c r="H296" s="185"/>
      <c r="I296" s="185"/>
      <c r="J296" s="185"/>
      <c r="K296" s="270"/>
      <c r="L296" s="270"/>
      <c r="M296" s="270"/>
      <c r="N296" s="270"/>
      <c r="O296" s="270"/>
      <c r="P296" s="270"/>
      <c r="Q296" s="292"/>
      <c r="R296" s="271"/>
      <c r="S296" s="271"/>
      <c r="T296" s="271"/>
      <c r="U296" s="273"/>
      <c r="V296" s="273"/>
      <c r="W296" s="273"/>
      <c r="X296" s="170"/>
      <c r="Y296" s="170"/>
      <c r="Z296" s="170"/>
      <c r="AA296" s="170"/>
      <c r="AB296" s="170"/>
      <c r="AC296" s="170"/>
      <c r="AD296" s="170"/>
      <c r="AE296" s="170"/>
      <c r="AF296" s="170"/>
      <c r="AG296" s="170"/>
      <c r="AH296" s="170"/>
      <c r="AI296" s="170"/>
      <c r="AJ296" s="170"/>
      <c r="AK296" s="170"/>
      <c r="AL296" s="170"/>
      <c r="AM296" s="170"/>
      <c r="AN296" s="170"/>
      <c r="AO296" s="170"/>
      <c r="AP296" s="170"/>
      <c r="AQ296" s="170"/>
      <c r="AR296" s="170"/>
      <c r="AS296" s="170"/>
      <c r="AT296" s="170"/>
      <c r="AU296" s="170"/>
      <c r="AV296" s="170"/>
      <c r="AW296" s="170"/>
      <c r="AX296" s="170"/>
      <c r="AY296" s="170"/>
      <c r="AZ296" s="170"/>
      <c r="BA296" s="170"/>
      <c r="BB296" s="170"/>
      <c r="BC296" s="170"/>
      <c r="BD296" s="170"/>
      <c r="BE296" s="170"/>
      <c r="BF296" s="170"/>
      <c r="BG296" s="170"/>
      <c r="BH296" s="170"/>
      <c r="BI296" s="170"/>
      <c r="BJ296" s="170"/>
      <c r="BK296" s="170"/>
      <c r="BL296" s="170"/>
      <c r="BM296" s="170"/>
      <c r="BN296" s="170"/>
      <c r="BO296" s="170"/>
      <c r="BP296" s="170"/>
      <c r="BQ296" s="170"/>
      <c r="BR296" s="170"/>
      <c r="BS296" s="170"/>
      <c r="BT296" s="170"/>
      <c r="BU296" s="170"/>
      <c r="BV296" s="170"/>
      <c r="BW296" s="170"/>
      <c r="BX296" s="170"/>
      <c r="BY296" s="170"/>
      <c r="BZ296" s="170"/>
    </row>
    <row r="297" spans="1:78" x14ac:dyDescent="0.2">
      <c r="A297" s="285"/>
      <c r="B297" s="293"/>
      <c r="C297" s="285"/>
      <c r="D297" s="290"/>
      <c r="E297" s="267"/>
      <c r="F297" s="264"/>
      <c r="G297" s="291"/>
      <c r="H297" s="185"/>
      <c r="I297" s="185"/>
      <c r="J297" s="185"/>
      <c r="K297" s="185"/>
      <c r="L297" s="257"/>
      <c r="M297" s="294"/>
      <c r="N297" s="257"/>
      <c r="O297" s="294"/>
      <c r="P297" s="257"/>
      <c r="Q297" s="294"/>
      <c r="R297" s="170"/>
      <c r="S297" s="170"/>
      <c r="T297" s="170"/>
      <c r="U297" s="170"/>
      <c r="V297" s="170"/>
      <c r="W297" s="170"/>
      <c r="X297" s="170"/>
      <c r="Y297" s="170"/>
      <c r="Z297" s="170"/>
      <c r="AA297" s="170"/>
      <c r="AB297" s="170"/>
      <c r="AC297" s="170"/>
      <c r="AD297" s="170"/>
      <c r="AE297" s="170"/>
      <c r="AF297" s="170"/>
      <c r="AG297" s="170"/>
      <c r="AH297" s="170"/>
      <c r="AI297" s="170"/>
      <c r="AJ297" s="170"/>
      <c r="AK297" s="170"/>
      <c r="AL297" s="170"/>
      <c r="AM297" s="170"/>
      <c r="AN297" s="170"/>
      <c r="AO297" s="170"/>
      <c r="AP297" s="170"/>
      <c r="AQ297" s="170"/>
      <c r="AR297" s="170"/>
      <c r="AS297" s="170"/>
      <c r="AT297" s="170"/>
      <c r="AU297" s="170"/>
      <c r="AV297" s="170"/>
      <c r="AW297" s="170"/>
      <c r="AX297" s="170"/>
      <c r="AY297" s="170"/>
      <c r="AZ297" s="170"/>
      <c r="BA297" s="170"/>
      <c r="BB297" s="170"/>
      <c r="BC297" s="170"/>
      <c r="BD297" s="170"/>
      <c r="BE297" s="170"/>
      <c r="BF297" s="170"/>
      <c r="BG297" s="170"/>
      <c r="BH297" s="170"/>
      <c r="BI297" s="170"/>
      <c r="BJ297" s="170"/>
      <c r="BK297" s="170"/>
      <c r="BL297" s="170"/>
      <c r="BM297" s="170"/>
      <c r="BN297" s="170"/>
      <c r="BO297" s="170"/>
      <c r="BP297" s="170"/>
      <c r="BQ297" s="170"/>
      <c r="BR297" s="170"/>
      <c r="BS297" s="170"/>
      <c r="BT297" s="170"/>
      <c r="BU297" s="170"/>
      <c r="BV297" s="170"/>
      <c r="BW297" s="170"/>
      <c r="BX297" s="170"/>
      <c r="BY297" s="170"/>
      <c r="BZ297" s="170"/>
    </row>
    <row r="298" spans="1:78" x14ac:dyDescent="0.2">
      <c r="A298" s="171">
        <v>0.96</v>
      </c>
      <c r="B298" s="170" t="s">
        <v>110</v>
      </c>
      <c r="C298" s="290"/>
      <c r="D298" s="170"/>
      <c r="E298" s="185"/>
      <c r="F298" s="185"/>
      <c r="G298" s="291"/>
      <c r="H298" s="185"/>
      <c r="I298" s="185"/>
      <c r="J298" s="185"/>
      <c r="K298" s="185"/>
      <c r="L298" s="257"/>
      <c r="M298" s="294"/>
      <c r="N298" s="257"/>
      <c r="O298" s="294"/>
      <c r="P298" s="257"/>
      <c r="Q298" s="294"/>
      <c r="R298" s="170"/>
      <c r="S298" s="170"/>
      <c r="T298" s="170"/>
      <c r="U298" s="170"/>
      <c r="V298" s="170"/>
      <c r="W298" s="170"/>
      <c r="X298" s="170"/>
      <c r="Y298" s="170"/>
      <c r="Z298" s="170"/>
      <c r="AA298" s="170"/>
      <c r="AB298" s="170"/>
      <c r="AC298" s="170"/>
      <c r="AD298" s="170"/>
      <c r="AE298" s="170"/>
      <c r="AF298" s="170"/>
      <c r="AG298" s="170"/>
      <c r="AH298" s="170"/>
      <c r="AI298" s="170"/>
      <c r="AJ298" s="170"/>
      <c r="AK298" s="170"/>
      <c r="AL298" s="170"/>
      <c r="AM298" s="170"/>
      <c r="AN298" s="170"/>
      <c r="AO298" s="170"/>
      <c r="AP298" s="170"/>
      <c r="AQ298" s="170"/>
      <c r="AR298" s="170"/>
      <c r="AS298" s="170"/>
      <c r="AT298" s="170"/>
      <c r="AU298" s="170"/>
      <c r="AV298" s="170"/>
      <c r="AW298" s="170"/>
      <c r="AX298" s="170"/>
      <c r="AY298" s="170"/>
      <c r="AZ298" s="170"/>
      <c r="BA298" s="170"/>
      <c r="BB298" s="170"/>
      <c r="BC298" s="170"/>
      <c r="BD298" s="170"/>
      <c r="BE298" s="170"/>
      <c r="BF298" s="170"/>
      <c r="BG298" s="170"/>
      <c r="BH298" s="170"/>
      <c r="BI298" s="170"/>
      <c r="BJ298" s="170"/>
      <c r="BK298" s="170"/>
      <c r="BL298" s="170"/>
      <c r="BM298" s="170"/>
      <c r="BN298" s="170"/>
      <c r="BO298" s="170"/>
      <c r="BP298" s="170"/>
      <c r="BQ298" s="170"/>
      <c r="BR298" s="170"/>
      <c r="BS298" s="170"/>
      <c r="BT298" s="170"/>
      <c r="BU298" s="170"/>
      <c r="BV298" s="170"/>
      <c r="BW298" s="170"/>
      <c r="BX298" s="170"/>
      <c r="BY298" s="170"/>
      <c r="BZ298" s="170"/>
    </row>
    <row r="299" spans="1:78" x14ac:dyDescent="0.2">
      <c r="A299" s="171">
        <v>0.41</v>
      </c>
      <c r="B299" s="170" t="s">
        <v>111</v>
      </c>
      <c r="C299" s="290"/>
      <c r="D299" s="170"/>
      <c r="E299" s="170"/>
      <c r="F299" s="170"/>
      <c r="G299" s="291"/>
      <c r="H299" s="267"/>
      <c r="I299" s="264"/>
      <c r="J299" s="170"/>
      <c r="K299" s="185"/>
      <c r="L299" s="257"/>
      <c r="M299" s="294"/>
      <c r="N299" s="257"/>
      <c r="O299" s="294"/>
      <c r="P299" s="257"/>
      <c r="Q299" s="294"/>
      <c r="R299" s="170"/>
      <c r="S299" s="170"/>
      <c r="T299" s="170"/>
      <c r="U299" s="170"/>
      <c r="V299" s="170"/>
      <c r="W299" s="170"/>
      <c r="X299" s="170"/>
      <c r="Y299" s="170"/>
      <c r="Z299" s="170"/>
      <c r="AA299" s="170"/>
      <c r="AB299" s="170"/>
      <c r="AC299" s="170"/>
      <c r="AD299" s="170"/>
      <c r="AE299" s="170"/>
      <c r="AF299" s="170"/>
      <c r="AG299" s="170"/>
      <c r="AH299" s="170"/>
      <c r="AI299" s="170"/>
      <c r="AJ299" s="170"/>
      <c r="AK299" s="170"/>
      <c r="AL299" s="170"/>
      <c r="AM299" s="170"/>
      <c r="AN299" s="170"/>
      <c r="AO299" s="170"/>
      <c r="AP299" s="170"/>
      <c r="AQ299" s="170"/>
      <c r="AR299" s="170"/>
      <c r="AS299" s="170"/>
      <c r="AT299" s="170"/>
      <c r="AU299" s="170"/>
      <c r="AV299" s="170"/>
      <c r="AW299" s="170"/>
      <c r="AX299" s="170"/>
      <c r="AY299" s="170"/>
      <c r="AZ299" s="170"/>
      <c r="BA299" s="170"/>
      <c r="BB299" s="170"/>
      <c r="BC299" s="170"/>
      <c r="BD299" s="170"/>
      <c r="BE299" s="170"/>
      <c r="BF299" s="170"/>
      <c r="BG299" s="170"/>
      <c r="BH299" s="170"/>
      <c r="BI299" s="170"/>
      <c r="BJ299" s="170"/>
      <c r="BK299" s="170"/>
      <c r="BL299" s="170"/>
      <c r="BM299" s="170"/>
      <c r="BN299" s="170"/>
      <c r="BO299" s="170"/>
      <c r="BP299" s="170"/>
      <c r="BQ299" s="170"/>
      <c r="BR299" s="170"/>
      <c r="BS299" s="170"/>
      <c r="BT299" s="170"/>
      <c r="BU299" s="170"/>
      <c r="BV299" s="170"/>
      <c r="BW299" s="170"/>
      <c r="BX299" s="170"/>
      <c r="BY299" s="170"/>
      <c r="BZ299" s="170"/>
    </row>
    <row r="300" spans="1:78" x14ac:dyDescent="0.2">
      <c r="A300" s="170"/>
      <c r="B300" s="170"/>
      <c r="C300" s="170"/>
      <c r="D300" s="170"/>
      <c r="E300" s="170"/>
      <c r="F300" s="170"/>
      <c r="G300" s="170"/>
      <c r="H300" s="185"/>
      <c r="I300" s="185"/>
      <c r="J300" s="185"/>
      <c r="K300" s="185"/>
      <c r="L300" s="257"/>
      <c r="M300" s="294"/>
      <c r="N300" s="257"/>
      <c r="O300" s="294"/>
      <c r="P300" s="257"/>
      <c r="Q300" s="294"/>
      <c r="R300" s="170"/>
      <c r="S300" s="170"/>
      <c r="T300" s="170"/>
      <c r="U300" s="170"/>
      <c r="V300" s="170"/>
      <c r="W300" s="170"/>
      <c r="X300" s="170"/>
      <c r="Y300" s="170"/>
      <c r="Z300" s="170"/>
      <c r="AA300" s="170"/>
      <c r="AB300" s="170"/>
      <c r="AC300" s="170"/>
      <c r="AD300" s="170"/>
      <c r="AE300" s="170"/>
      <c r="AF300" s="170"/>
      <c r="AG300" s="170"/>
      <c r="AH300" s="170"/>
      <c r="AI300" s="170"/>
      <c r="AJ300" s="170"/>
      <c r="AK300" s="170"/>
      <c r="AL300" s="170"/>
      <c r="AM300" s="170"/>
      <c r="AN300" s="170"/>
      <c r="AO300" s="170"/>
      <c r="AP300" s="170"/>
      <c r="AQ300" s="170"/>
      <c r="AR300" s="170"/>
      <c r="AS300" s="170"/>
      <c r="AT300" s="170"/>
      <c r="AU300" s="170"/>
      <c r="AV300" s="170"/>
      <c r="AW300" s="170"/>
      <c r="AX300" s="170"/>
      <c r="AY300" s="170"/>
      <c r="AZ300" s="170"/>
      <c r="BA300" s="170"/>
      <c r="BB300" s="170"/>
      <c r="BC300" s="170"/>
      <c r="BD300" s="170"/>
      <c r="BE300" s="170"/>
      <c r="BF300" s="170"/>
      <c r="BG300" s="170"/>
      <c r="BH300" s="170"/>
      <c r="BI300" s="170"/>
      <c r="BJ300" s="170"/>
      <c r="BK300" s="170"/>
      <c r="BL300" s="170"/>
      <c r="BM300" s="170"/>
      <c r="BN300" s="170"/>
      <c r="BO300" s="170"/>
      <c r="BP300" s="170"/>
      <c r="BQ300" s="170"/>
      <c r="BR300" s="170"/>
      <c r="BS300" s="170"/>
      <c r="BT300" s="170"/>
      <c r="BU300" s="170"/>
      <c r="BV300" s="170"/>
      <c r="BW300" s="170"/>
      <c r="BX300" s="170"/>
      <c r="BY300" s="170"/>
      <c r="BZ300" s="170"/>
    </row>
    <row r="301" spans="1:78" ht="13.15" customHeight="1" x14ac:dyDescent="0.2">
      <c r="A301" s="170"/>
      <c r="B301" s="170"/>
      <c r="C301" s="170"/>
      <c r="D301" s="170"/>
      <c r="E301" s="170"/>
      <c r="F301" s="170"/>
      <c r="G301" s="170"/>
      <c r="H301" s="170"/>
      <c r="I301" s="170"/>
      <c r="J301" s="170"/>
      <c r="K301" s="185"/>
      <c r="L301" s="285"/>
      <c r="M301" s="170"/>
      <c r="N301" s="170"/>
      <c r="O301" s="170"/>
      <c r="P301" s="170"/>
      <c r="Q301" s="170"/>
      <c r="R301" s="170"/>
      <c r="S301" s="170"/>
      <c r="T301" s="170"/>
      <c r="U301" s="170"/>
      <c r="V301" s="170"/>
      <c r="W301" s="170"/>
      <c r="X301" s="170"/>
      <c r="Y301" s="170"/>
      <c r="Z301" s="170"/>
      <c r="AA301" s="170"/>
      <c r="AB301" s="170"/>
      <c r="AC301" s="170"/>
      <c r="AD301" s="170"/>
      <c r="AE301" s="170"/>
      <c r="AF301" s="170"/>
      <c r="AG301" s="170"/>
      <c r="AH301" s="170"/>
      <c r="AI301" s="170"/>
      <c r="AJ301" s="170"/>
      <c r="AK301" s="170"/>
      <c r="AL301" s="170"/>
      <c r="AM301" s="170"/>
      <c r="AN301" s="170"/>
      <c r="AO301" s="170"/>
      <c r="AP301" s="170"/>
      <c r="AQ301" s="170"/>
      <c r="AR301" s="170"/>
      <c r="AS301" s="170"/>
      <c r="AT301" s="170"/>
      <c r="AU301" s="170"/>
      <c r="AV301" s="170"/>
      <c r="AW301" s="170"/>
      <c r="AX301" s="170"/>
      <c r="AY301" s="170"/>
      <c r="AZ301" s="170"/>
      <c r="BA301" s="170"/>
      <c r="BB301" s="170"/>
      <c r="BC301" s="170"/>
      <c r="BD301" s="170"/>
      <c r="BE301" s="170"/>
      <c r="BF301" s="170"/>
      <c r="BG301" s="170"/>
      <c r="BH301" s="170"/>
      <c r="BI301" s="170"/>
      <c r="BJ301" s="170"/>
      <c r="BK301" s="170"/>
      <c r="BL301" s="170"/>
      <c r="BM301" s="170"/>
      <c r="BN301" s="170"/>
      <c r="BO301" s="170"/>
      <c r="BP301" s="170"/>
      <c r="BQ301" s="170"/>
      <c r="BR301" s="170"/>
      <c r="BS301" s="170"/>
      <c r="BT301" s="170"/>
      <c r="BU301" s="170"/>
      <c r="BV301" s="170"/>
      <c r="BW301" s="170"/>
      <c r="BX301" s="170"/>
      <c r="BY301" s="170"/>
      <c r="BZ301" s="170"/>
    </row>
    <row r="302" spans="1:78" ht="13.15" customHeight="1" x14ac:dyDescent="0.2">
      <c r="A302" s="170"/>
      <c r="B302" s="170"/>
      <c r="C302" s="170"/>
      <c r="D302" s="170"/>
      <c r="E302" s="170"/>
      <c r="F302" s="170"/>
      <c r="G302" s="170"/>
      <c r="H302" s="170"/>
      <c r="I302" s="170"/>
      <c r="J302" s="170"/>
      <c r="K302" s="170"/>
      <c r="L302" s="285"/>
      <c r="M302" s="170"/>
      <c r="N302" s="170"/>
      <c r="O302" s="170"/>
      <c r="P302" s="170"/>
      <c r="Q302" s="170"/>
      <c r="R302" s="170"/>
      <c r="S302" s="170"/>
      <c r="T302" s="170"/>
      <c r="U302" s="170"/>
      <c r="V302" s="170"/>
      <c r="W302" s="170"/>
      <c r="X302" s="170"/>
      <c r="Y302" s="170"/>
      <c r="Z302" s="170"/>
      <c r="AA302" s="170"/>
      <c r="AB302" s="170"/>
      <c r="AC302" s="170"/>
      <c r="AD302" s="170"/>
      <c r="AE302" s="170"/>
      <c r="AF302" s="170"/>
      <c r="AG302" s="170"/>
      <c r="AH302" s="170"/>
      <c r="AI302" s="170"/>
      <c r="AJ302" s="170"/>
      <c r="AK302" s="170"/>
      <c r="AL302" s="170"/>
      <c r="AM302" s="170"/>
      <c r="AN302" s="170"/>
      <c r="AO302" s="170"/>
      <c r="AP302" s="170"/>
      <c r="AQ302" s="170"/>
      <c r="AR302" s="170"/>
      <c r="AS302" s="170"/>
      <c r="AT302" s="170"/>
      <c r="AU302" s="170"/>
      <c r="AV302" s="170"/>
      <c r="AW302" s="170"/>
      <c r="AX302" s="170"/>
      <c r="AY302" s="170"/>
      <c r="AZ302" s="170"/>
      <c r="BA302" s="170"/>
      <c r="BB302" s="170"/>
      <c r="BC302" s="170"/>
      <c r="BD302" s="170"/>
      <c r="BE302" s="170"/>
      <c r="BF302" s="170"/>
      <c r="BG302" s="170"/>
      <c r="BH302" s="170"/>
      <c r="BI302" s="170"/>
      <c r="BJ302" s="170"/>
      <c r="BK302" s="170"/>
      <c r="BL302" s="170"/>
      <c r="BM302" s="170"/>
      <c r="BN302" s="170"/>
      <c r="BO302" s="170"/>
      <c r="BP302" s="170"/>
      <c r="BQ302" s="170"/>
      <c r="BR302" s="170"/>
      <c r="BS302" s="170"/>
      <c r="BT302" s="170"/>
      <c r="BU302" s="170"/>
      <c r="BV302" s="170"/>
      <c r="BW302" s="170"/>
      <c r="BX302" s="170"/>
      <c r="BY302" s="170"/>
      <c r="BZ302" s="170"/>
    </row>
    <row r="303" spans="1:78" x14ac:dyDescent="0.2">
      <c r="A303" s="170"/>
      <c r="B303" s="170"/>
      <c r="C303" s="170"/>
      <c r="D303" s="170"/>
      <c r="E303" s="170"/>
      <c r="F303" s="170"/>
      <c r="G303" s="170"/>
      <c r="H303" s="170"/>
      <c r="I303" s="170"/>
      <c r="J303" s="170"/>
      <c r="K303" s="185"/>
      <c r="L303" s="170"/>
      <c r="M303" s="170"/>
      <c r="N303" s="170"/>
      <c r="O303" s="170"/>
      <c r="P303" s="170"/>
      <c r="Q303" s="170"/>
      <c r="R303" s="170"/>
      <c r="S303" s="170"/>
      <c r="T303" s="170"/>
      <c r="U303" s="170"/>
      <c r="V303" s="170"/>
      <c r="W303" s="170"/>
      <c r="X303" s="170"/>
      <c r="Y303" s="170"/>
      <c r="Z303" s="170"/>
      <c r="AA303" s="170"/>
      <c r="AB303" s="170"/>
      <c r="AC303" s="170"/>
      <c r="AD303" s="170"/>
      <c r="AE303" s="170"/>
      <c r="AF303" s="170"/>
      <c r="AG303" s="170"/>
      <c r="AH303" s="170"/>
      <c r="AI303" s="170"/>
      <c r="AJ303" s="170"/>
      <c r="AK303" s="170"/>
      <c r="AL303" s="170"/>
      <c r="AM303" s="170"/>
      <c r="AN303" s="170"/>
      <c r="AO303" s="170"/>
      <c r="AP303" s="170"/>
      <c r="AQ303" s="170"/>
      <c r="AR303" s="170"/>
      <c r="AS303" s="170"/>
      <c r="AT303" s="170"/>
      <c r="AU303" s="170"/>
      <c r="AV303" s="170"/>
      <c r="AW303" s="170"/>
      <c r="AX303" s="170"/>
      <c r="AY303" s="170"/>
      <c r="AZ303" s="170"/>
      <c r="BA303" s="170"/>
      <c r="BB303" s="170"/>
      <c r="BC303" s="170"/>
      <c r="BD303" s="170"/>
      <c r="BE303" s="170"/>
      <c r="BF303" s="170"/>
      <c r="BG303" s="170"/>
      <c r="BH303" s="170"/>
      <c r="BI303" s="170"/>
      <c r="BJ303" s="170"/>
      <c r="BK303" s="170"/>
      <c r="BL303" s="170"/>
      <c r="BM303" s="170"/>
      <c r="BN303" s="170"/>
      <c r="BO303" s="170"/>
      <c r="BP303" s="170"/>
      <c r="BQ303" s="170"/>
      <c r="BR303" s="170"/>
      <c r="BS303" s="170"/>
      <c r="BT303" s="170"/>
      <c r="BU303" s="170"/>
      <c r="BV303" s="170"/>
      <c r="BW303" s="170"/>
      <c r="BX303" s="170"/>
      <c r="BY303" s="170"/>
      <c r="BZ303" s="170"/>
    </row>
    <row r="304" spans="1:78" x14ac:dyDescent="0.2">
      <c r="A304" s="170"/>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c r="AA304" s="170"/>
      <c r="AB304" s="170"/>
      <c r="AC304" s="170"/>
      <c r="AD304" s="170"/>
      <c r="AE304" s="170"/>
      <c r="AF304" s="170"/>
      <c r="AG304" s="170"/>
      <c r="AH304" s="170"/>
      <c r="AI304" s="170"/>
      <c r="AJ304" s="170"/>
      <c r="AK304" s="170"/>
      <c r="AL304" s="170"/>
      <c r="AM304" s="170"/>
      <c r="AN304" s="170"/>
      <c r="AO304" s="170"/>
      <c r="AP304" s="170"/>
      <c r="AQ304" s="170"/>
      <c r="AR304" s="170"/>
      <c r="AS304" s="170"/>
      <c r="AT304" s="170"/>
      <c r="AU304" s="170"/>
      <c r="AV304" s="170"/>
      <c r="AW304" s="170"/>
      <c r="AX304" s="170"/>
      <c r="AY304" s="170"/>
      <c r="AZ304" s="170"/>
      <c r="BA304" s="170"/>
      <c r="BB304" s="170"/>
      <c r="BC304" s="170"/>
      <c r="BD304" s="170"/>
      <c r="BE304" s="170"/>
      <c r="BF304" s="170"/>
      <c r="BG304" s="170"/>
      <c r="BH304" s="170"/>
      <c r="BI304" s="170"/>
      <c r="BJ304" s="170"/>
      <c r="BK304" s="170"/>
      <c r="BL304" s="170"/>
      <c r="BM304" s="170"/>
      <c r="BN304" s="170"/>
      <c r="BO304" s="170"/>
      <c r="BP304" s="170"/>
      <c r="BQ304" s="170"/>
      <c r="BR304" s="170"/>
      <c r="BS304" s="170"/>
      <c r="BT304" s="170"/>
      <c r="BU304" s="170"/>
      <c r="BV304" s="170"/>
      <c r="BW304" s="170"/>
      <c r="BX304" s="170"/>
      <c r="BY304" s="170"/>
      <c r="BZ304" s="170"/>
    </row>
    <row r="305" spans="1:78" x14ac:dyDescent="0.2">
      <c r="A305" s="170"/>
      <c r="B305" s="170"/>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c r="AA305" s="170"/>
      <c r="AB305" s="170"/>
      <c r="AC305" s="170"/>
      <c r="AD305" s="170"/>
      <c r="AE305" s="170"/>
      <c r="AF305" s="170"/>
      <c r="AG305" s="170"/>
      <c r="AH305" s="170"/>
      <c r="AI305" s="170"/>
      <c r="AJ305" s="170"/>
      <c r="AK305" s="170"/>
      <c r="AL305" s="170"/>
      <c r="AM305" s="170"/>
      <c r="AN305" s="170"/>
      <c r="AO305" s="170"/>
      <c r="AP305" s="170"/>
      <c r="AQ305" s="170"/>
      <c r="AR305" s="170"/>
      <c r="AS305" s="170"/>
      <c r="AT305" s="170"/>
      <c r="AU305" s="170"/>
      <c r="AV305" s="170"/>
      <c r="AW305" s="170"/>
      <c r="AX305" s="170"/>
      <c r="AY305" s="170"/>
      <c r="AZ305" s="170"/>
      <c r="BA305" s="170"/>
      <c r="BB305" s="170"/>
      <c r="BC305" s="170"/>
      <c r="BD305" s="170"/>
      <c r="BE305" s="170"/>
      <c r="BF305" s="170"/>
      <c r="BG305" s="170"/>
      <c r="BH305" s="170"/>
      <c r="BI305" s="170"/>
      <c r="BJ305" s="170"/>
      <c r="BK305" s="170"/>
      <c r="BL305" s="170"/>
      <c r="BM305" s="170"/>
      <c r="BN305" s="170"/>
      <c r="BO305" s="170"/>
      <c r="BP305" s="170"/>
      <c r="BQ305" s="170"/>
      <c r="BR305" s="170"/>
      <c r="BS305" s="170"/>
      <c r="BT305" s="170"/>
      <c r="BU305" s="170"/>
      <c r="BV305" s="170"/>
      <c r="BW305" s="170"/>
      <c r="BX305" s="170"/>
      <c r="BY305" s="170"/>
      <c r="BZ305" s="170"/>
    </row>
    <row r="306" spans="1:78" x14ac:dyDescent="0.2">
      <c r="A306" s="170"/>
      <c r="B306" s="170"/>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c r="AB306" s="170"/>
      <c r="AC306" s="170"/>
      <c r="AD306" s="170"/>
      <c r="AE306" s="170"/>
      <c r="AF306" s="170"/>
      <c r="AG306" s="170"/>
      <c r="AH306" s="170"/>
      <c r="AI306" s="170"/>
      <c r="AJ306" s="170"/>
      <c r="AK306" s="170"/>
      <c r="AL306" s="170"/>
      <c r="AM306" s="170"/>
      <c r="AN306" s="170"/>
      <c r="AO306" s="170"/>
      <c r="AP306" s="170"/>
      <c r="AQ306" s="170"/>
      <c r="AR306" s="170"/>
      <c r="AS306" s="170"/>
      <c r="AT306" s="170"/>
      <c r="AU306" s="170"/>
      <c r="AV306" s="170"/>
      <c r="AW306" s="170"/>
      <c r="AX306" s="170"/>
      <c r="AY306" s="170"/>
      <c r="AZ306" s="170"/>
      <c r="BA306" s="170"/>
      <c r="BB306" s="170"/>
      <c r="BC306" s="170"/>
      <c r="BD306" s="170"/>
      <c r="BE306" s="170"/>
      <c r="BF306" s="170"/>
      <c r="BG306" s="170"/>
      <c r="BH306" s="170"/>
      <c r="BI306" s="170"/>
      <c r="BJ306" s="170"/>
      <c r="BK306" s="170"/>
      <c r="BL306" s="170"/>
      <c r="BM306" s="170"/>
      <c r="BN306" s="170"/>
      <c r="BO306" s="170"/>
      <c r="BP306" s="170"/>
      <c r="BQ306" s="170"/>
      <c r="BR306" s="170"/>
      <c r="BS306" s="170"/>
      <c r="BT306" s="170"/>
      <c r="BU306" s="170"/>
      <c r="BV306" s="170"/>
      <c r="BW306" s="170"/>
      <c r="BX306" s="170"/>
      <c r="BY306" s="170"/>
      <c r="BZ306" s="170"/>
    </row>
    <row r="307" spans="1:78" x14ac:dyDescent="0.2">
      <c r="A307" s="170"/>
      <c r="B307" s="170"/>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c r="AA307" s="170"/>
      <c r="AB307" s="170"/>
      <c r="AC307" s="170"/>
      <c r="AD307" s="170"/>
      <c r="AE307" s="170"/>
      <c r="AF307" s="170"/>
      <c r="AG307" s="170"/>
      <c r="AH307" s="170"/>
      <c r="AI307" s="170"/>
      <c r="AJ307" s="170"/>
      <c r="AK307" s="170"/>
      <c r="AL307" s="170"/>
      <c r="AM307" s="170"/>
      <c r="AN307" s="170"/>
      <c r="AO307" s="170"/>
      <c r="AP307" s="170"/>
      <c r="AQ307" s="170"/>
      <c r="AR307" s="170"/>
      <c r="AS307" s="170"/>
      <c r="AT307" s="170"/>
      <c r="AU307" s="170"/>
      <c r="AV307" s="170"/>
      <c r="AW307" s="170"/>
      <c r="AX307" s="170"/>
      <c r="AY307" s="170"/>
      <c r="AZ307" s="170"/>
      <c r="BA307" s="170"/>
      <c r="BB307" s="170"/>
      <c r="BC307" s="170"/>
      <c r="BD307" s="170"/>
      <c r="BE307" s="170"/>
      <c r="BF307" s="170"/>
      <c r="BG307" s="170"/>
      <c r="BH307" s="170"/>
      <c r="BI307" s="170"/>
      <c r="BJ307" s="170"/>
      <c r="BK307" s="170"/>
      <c r="BL307" s="170"/>
      <c r="BM307" s="170"/>
      <c r="BN307" s="170"/>
      <c r="BO307" s="170"/>
      <c r="BP307" s="170"/>
      <c r="BQ307" s="170"/>
      <c r="BR307" s="170"/>
      <c r="BS307" s="170"/>
      <c r="BT307" s="170"/>
      <c r="BU307" s="170"/>
      <c r="BV307" s="170"/>
      <c r="BW307" s="170"/>
      <c r="BX307" s="170"/>
      <c r="BY307" s="170"/>
      <c r="BZ307" s="170"/>
    </row>
    <row r="308" spans="1:78" x14ac:dyDescent="0.2">
      <c r="A308" s="170"/>
      <c r="B308" s="170"/>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c r="AA308" s="170"/>
      <c r="AB308" s="170"/>
      <c r="AC308" s="170"/>
      <c r="AD308" s="170"/>
      <c r="AE308" s="170"/>
      <c r="AF308" s="170"/>
      <c r="AG308" s="170"/>
      <c r="AH308" s="170"/>
      <c r="AI308" s="170"/>
      <c r="AJ308" s="170"/>
      <c r="AK308" s="170"/>
      <c r="AL308" s="170"/>
      <c r="AM308" s="170"/>
      <c r="AN308" s="170"/>
      <c r="AO308" s="170"/>
      <c r="AP308" s="170"/>
      <c r="AQ308" s="170"/>
      <c r="AR308" s="170"/>
      <c r="AS308" s="170"/>
      <c r="AT308" s="170"/>
      <c r="AU308" s="170"/>
      <c r="AV308" s="170"/>
      <c r="AW308" s="170"/>
      <c r="AX308" s="170"/>
      <c r="AY308" s="170"/>
      <c r="AZ308" s="170"/>
      <c r="BA308" s="170"/>
      <c r="BB308" s="170"/>
      <c r="BC308" s="170"/>
      <c r="BD308" s="170"/>
      <c r="BE308" s="170"/>
      <c r="BF308" s="170"/>
      <c r="BG308" s="170"/>
      <c r="BH308" s="170"/>
      <c r="BI308" s="170"/>
      <c r="BJ308" s="170"/>
      <c r="BK308" s="170"/>
      <c r="BL308" s="170"/>
      <c r="BM308" s="170"/>
      <c r="BN308" s="170"/>
      <c r="BO308" s="170"/>
      <c r="BP308" s="170"/>
      <c r="BQ308" s="170"/>
      <c r="BR308" s="170"/>
      <c r="BS308" s="170"/>
      <c r="BT308" s="170"/>
      <c r="BU308" s="170"/>
      <c r="BV308" s="170"/>
      <c r="BW308" s="170"/>
      <c r="BX308" s="170"/>
      <c r="BY308" s="170"/>
      <c r="BZ308" s="170"/>
    </row>
    <row r="309" spans="1:78" x14ac:dyDescent="0.2">
      <c r="A309" s="170"/>
      <c r="B309" s="170"/>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170"/>
      <c r="AG309" s="170"/>
      <c r="AH309" s="170"/>
      <c r="AI309" s="170"/>
      <c r="AJ309" s="170"/>
      <c r="AK309" s="170"/>
      <c r="AL309" s="170"/>
      <c r="AM309" s="170"/>
      <c r="AN309" s="170"/>
      <c r="AO309" s="170"/>
      <c r="AP309" s="170"/>
      <c r="AQ309" s="170"/>
      <c r="AR309" s="170"/>
      <c r="AS309" s="170"/>
      <c r="AT309" s="170"/>
      <c r="AU309" s="170"/>
      <c r="AV309" s="170"/>
      <c r="AW309" s="170"/>
      <c r="AX309" s="170"/>
      <c r="AY309" s="170"/>
      <c r="AZ309" s="170"/>
      <c r="BA309" s="170"/>
      <c r="BB309" s="170"/>
      <c r="BC309" s="170"/>
      <c r="BD309" s="170"/>
      <c r="BE309" s="170"/>
      <c r="BF309" s="170"/>
      <c r="BG309" s="170"/>
      <c r="BH309" s="170"/>
      <c r="BI309" s="170"/>
      <c r="BJ309" s="170"/>
      <c r="BK309" s="170"/>
      <c r="BL309" s="170"/>
      <c r="BM309" s="170"/>
      <c r="BN309" s="170"/>
      <c r="BO309" s="170"/>
      <c r="BP309" s="170"/>
      <c r="BQ309" s="170"/>
      <c r="BR309" s="170"/>
      <c r="BS309" s="170"/>
      <c r="BT309" s="170"/>
      <c r="BU309" s="170"/>
      <c r="BV309" s="170"/>
      <c r="BW309" s="170"/>
      <c r="BX309" s="170"/>
      <c r="BY309" s="170"/>
      <c r="BZ309" s="170"/>
    </row>
    <row r="310" spans="1:78" x14ac:dyDescent="0.2">
      <c r="A310" s="170"/>
      <c r="B310" s="170"/>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c r="AA310" s="170"/>
      <c r="AB310" s="170"/>
      <c r="AC310" s="170"/>
      <c r="AD310" s="170"/>
      <c r="AE310" s="170"/>
      <c r="AF310" s="170"/>
      <c r="AG310" s="170"/>
      <c r="AH310" s="170"/>
      <c r="AI310" s="170"/>
      <c r="AJ310" s="170"/>
      <c r="AK310" s="170"/>
      <c r="AL310" s="170"/>
      <c r="AM310" s="170"/>
      <c r="AN310" s="170"/>
      <c r="AO310" s="170"/>
      <c r="AP310" s="170"/>
      <c r="AQ310" s="170"/>
      <c r="AR310" s="170"/>
      <c r="AS310" s="170"/>
      <c r="AT310" s="170"/>
      <c r="AU310" s="170"/>
      <c r="AV310" s="170"/>
      <c r="AW310" s="170"/>
      <c r="AX310" s="170"/>
      <c r="AY310" s="170"/>
      <c r="AZ310" s="170"/>
      <c r="BA310" s="170"/>
      <c r="BB310" s="170"/>
      <c r="BC310" s="170"/>
      <c r="BD310" s="170"/>
      <c r="BE310" s="170"/>
      <c r="BF310" s="170"/>
      <c r="BG310" s="170"/>
      <c r="BH310" s="170"/>
      <c r="BI310" s="170"/>
      <c r="BJ310" s="170"/>
      <c r="BK310" s="170"/>
      <c r="BL310" s="170"/>
      <c r="BM310" s="170"/>
      <c r="BN310" s="170"/>
      <c r="BO310" s="170"/>
      <c r="BP310" s="170"/>
      <c r="BQ310" s="170"/>
      <c r="BR310" s="170"/>
      <c r="BS310" s="170"/>
      <c r="BT310" s="170"/>
      <c r="BU310" s="170"/>
      <c r="BV310" s="170"/>
      <c r="BW310" s="170"/>
      <c r="BX310" s="170"/>
      <c r="BY310" s="170"/>
      <c r="BZ310" s="170"/>
    </row>
    <row r="311" spans="1:78" x14ac:dyDescent="0.2">
      <c r="A311" s="170"/>
      <c r="B311" s="170"/>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c r="AA311" s="170"/>
      <c r="AB311" s="170"/>
      <c r="AC311" s="170"/>
      <c r="AD311" s="170"/>
      <c r="AE311" s="170"/>
      <c r="AF311" s="170"/>
      <c r="AG311" s="170"/>
      <c r="AH311" s="170"/>
      <c r="AI311" s="170"/>
      <c r="AJ311" s="170"/>
      <c r="AK311" s="170"/>
      <c r="AL311" s="170"/>
      <c r="AM311" s="170"/>
      <c r="AN311" s="170"/>
      <c r="AO311" s="170"/>
      <c r="AP311" s="170"/>
      <c r="AQ311" s="170"/>
      <c r="AR311" s="170"/>
      <c r="AS311" s="170"/>
      <c r="AT311" s="170"/>
      <c r="AU311" s="170"/>
      <c r="AV311" s="170"/>
      <c r="AW311" s="170"/>
      <c r="AX311" s="170"/>
      <c r="AY311" s="170"/>
      <c r="AZ311" s="170"/>
      <c r="BA311" s="170"/>
      <c r="BB311" s="170"/>
      <c r="BC311" s="170"/>
      <c r="BD311" s="170"/>
      <c r="BE311" s="170"/>
      <c r="BF311" s="170"/>
      <c r="BG311" s="170"/>
      <c r="BH311" s="170"/>
      <c r="BI311" s="170"/>
      <c r="BJ311" s="170"/>
      <c r="BK311" s="170"/>
      <c r="BL311" s="170"/>
      <c r="BM311" s="170"/>
      <c r="BN311" s="170"/>
      <c r="BO311" s="170"/>
      <c r="BP311" s="170"/>
      <c r="BQ311" s="170"/>
      <c r="BR311" s="170"/>
      <c r="BS311" s="170"/>
      <c r="BT311" s="170"/>
      <c r="BU311" s="170"/>
      <c r="BV311" s="170"/>
      <c r="BW311" s="170"/>
      <c r="BX311" s="170"/>
      <c r="BY311" s="170"/>
      <c r="BZ311" s="170"/>
    </row>
    <row r="312" spans="1:78" x14ac:dyDescent="0.2">
      <c r="A312" s="170"/>
      <c r="B312" s="170"/>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c r="AA312" s="170"/>
      <c r="AB312" s="170"/>
      <c r="AC312" s="170"/>
      <c r="AD312" s="170"/>
      <c r="AE312" s="170"/>
      <c r="AF312" s="170"/>
      <c r="AG312" s="170"/>
      <c r="AH312" s="170"/>
      <c r="AI312" s="170"/>
      <c r="AJ312" s="170"/>
      <c r="AK312" s="170"/>
      <c r="AL312" s="170"/>
      <c r="AM312" s="170"/>
      <c r="AN312" s="170"/>
      <c r="AO312" s="170"/>
      <c r="AP312" s="170"/>
      <c r="AQ312" s="170"/>
      <c r="AR312" s="170"/>
      <c r="AS312" s="170"/>
      <c r="AT312" s="170"/>
      <c r="AU312" s="170"/>
      <c r="AV312" s="170"/>
      <c r="AW312" s="170"/>
      <c r="AX312" s="170"/>
      <c r="AY312" s="170"/>
      <c r="AZ312" s="170"/>
      <c r="BA312" s="170"/>
      <c r="BB312" s="170"/>
      <c r="BC312" s="170"/>
      <c r="BD312" s="170"/>
      <c r="BE312" s="170"/>
      <c r="BF312" s="170"/>
      <c r="BG312" s="170"/>
      <c r="BH312" s="170"/>
      <c r="BI312" s="170"/>
      <c r="BJ312" s="170"/>
      <c r="BK312" s="170"/>
      <c r="BL312" s="170"/>
      <c r="BM312" s="170"/>
      <c r="BN312" s="170"/>
      <c r="BO312" s="170"/>
      <c r="BP312" s="170"/>
      <c r="BQ312" s="170"/>
      <c r="BR312" s="170"/>
      <c r="BS312" s="170"/>
      <c r="BT312" s="170"/>
      <c r="BU312" s="170"/>
      <c r="BV312" s="170"/>
      <c r="BW312" s="170"/>
      <c r="BX312" s="170"/>
      <c r="BY312" s="170"/>
      <c r="BZ312" s="170"/>
    </row>
    <row r="313" spans="1:78" x14ac:dyDescent="0.2">
      <c r="A313" s="170"/>
      <c r="B313" s="170"/>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c r="AA313" s="170"/>
      <c r="AB313" s="170"/>
      <c r="AC313" s="170"/>
      <c r="AD313" s="170"/>
      <c r="AE313" s="170"/>
      <c r="AF313" s="170"/>
      <c r="AG313" s="170"/>
      <c r="AH313" s="170"/>
      <c r="AI313" s="170"/>
      <c r="AJ313" s="170"/>
      <c r="AK313" s="170"/>
      <c r="AL313" s="170"/>
      <c r="AM313" s="170"/>
      <c r="AN313" s="170"/>
      <c r="AO313" s="170"/>
      <c r="AP313" s="170"/>
      <c r="AQ313" s="170"/>
      <c r="AR313" s="170"/>
      <c r="AS313" s="170"/>
      <c r="AT313" s="170"/>
      <c r="AU313" s="170"/>
      <c r="AV313" s="170"/>
      <c r="AW313" s="170"/>
      <c r="AX313" s="170"/>
      <c r="AY313" s="170"/>
      <c r="AZ313" s="170"/>
      <c r="BA313" s="170"/>
      <c r="BB313" s="170"/>
      <c r="BC313" s="170"/>
      <c r="BD313" s="170"/>
      <c r="BE313" s="170"/>
      <c r="BF313" s="170"/>
      <c r="BG313" s="170"/>
      <c r="BH313" s="170"/>
      <c r="BI313" s="170"/>
      <c r="BJ313" s="170"/>
      <c r="BK313" s="170"/>
      <c r="BL313" s="170"/>
      <c r="BM313" s="170"/>
      <c r="BN313" s="170"/>
      <c r="BO313" s="170"/>
      <c r="BP313" s="170"/>
      <c r="BQ313" s="170"/>
      <c r="BR313" s="170"/>
      <c r="BS313" s="170"/>
      <c r="BT313" s="170"/>
      <c r="BU313" s="170"/>
      <c r="BV313" s="170"/>
      <c r="BW313" s="170"/>
      <c r="BX313" s="170"/>
      <c r="BY313" s="170"/>
      <c r="BZ313" s="170"/>
    </row>
    <row r="314" spans="1:78" x14ac:dyDescent="0.2">
      <c r="A314" s="170"/>
      <c r="B314" s="170"/>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c r="AA314" s="170"/>
      <c r="AB314" s="170"/>
      <c r="AC314" s="170"/>
      <c r="AD314" s="170"/>
      <c r="AE314" s="170"/>
      <c r="AF314" s="170"/>
      <c r="AG314" s="170"/>
      <c r="AH314" s="170"/>
      <c r="AI314" s="170"/>
      <c r="AJ314" s="170"/>
      <c r="AK314" s="170"/>
      <c r="AL314" s="170"/>
      <c r="AM314" s="170"/>
      <c r="AN314" s="170"/>
      <c r="AO314" s="170"/>
      <c r="AP314" s="170"/>
      <c r="AQ314" s="170"/>
      <c r="AR314" s="170"/>
      <c r="AS314" s="170"/>
      <c r="AT314" s="170"/>
      <c r="AU314" s="170"/>
      <c r="AV314" s="170"/>
      <c r="AW314" s="170"/>
      <c r="AX314" s="170"/>
      <c r="AY314" s="170"/>
      <c r="AZ314" s="170"/>
      <c r="BA314" s="170"/>
      <c r="BB314" s="170"/>
      <c r="BC314" s="170"/>
      <c r="BD314" s="170"/>
      <c r="BE314" s="170"/>
      <c r="BF314" s="170"/>
      <c r="BG314" s="170"/>
      <c r="BH314" s="170"/>
      <c r="BI314" s="170"/>
      <c r="BJ314" s="170"/>
      <c r="BK314" s="170"/>
      <c r="BL314" s="170"/>
      <c r="BM314" s="170"/>
      <c r="BN314" s="170"/>
      <c r="BO314" s="170"/>
      <c r="BP314" s="170"/>
      <c r="BQ314" s="170"/>
      <c r="BR314" s="170"/>
      <c r="BS314" s="170"/>
      <c r="BT314" s="170"/>
      <c r="BU314" s="170"/>
      <c r="BV314" s="170"/>
      <c r="BW314" s="170"/>
      <c r="BX314" s="170"/>
      <c r="BY314" s="170"/>
      <c r="BZ314" s="170"/>
    </row>
    <row r="315" spans="1:78" x14ac:dyDescent="0.2">
      <c r="A315" s="170"/>
      <c r="B315" s="170"/>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c r="AA315" s="170"/>
      <c r="AB315" s="170"/>
      <c r="AC315" s="170"/>
      <c r="AD315" s="170"/>
      <c r="AE315" s="170"/>
      <c r="AF315" s="170"/>
      <c r="AG315" s="170"/>
      <c r="AH315" s="170"/>
      <c r="AI315" s="170"/>
      <c r="AJ315" s="170"/>
      <c r="AK315" s="170"/>
      <c r="AL315" s="170"/>
      <c r="AM315" s="170"/>
      <c r="AN315" s="170"/>
      <c r="AO315" s="170"/>
      <c r="AP315" s="170"/>
      <c r="AQ315" s="170"/>
      <c r="AR315" s="170"/>
      <c r="AS315" s="170"/>
      <c r="AT315" s="170"/>
      <c r="AU315" s="170"/>
      <c r="AV315" s="170"/>
      <c r="AW315" s="170"/>
      <c r="AX315" s="170"/>
      <c r="AY315" s="170"/>
      <c r="AZ315" s="170"/>
      <c r="BA315" s="170"/>
      <c r="BB315" s="170"/>
      <c r="BC315" s="170"/>
      <c r="BD315" s="170"/>
      <c r="BE315" s="170"/>
      <c r="BF315" s="170"/>
      <c r="BG315" s="170"/>
      <c r="BH315" s="170"/>
      <c r="BI315" s="170"/>
      <c r="BJ315" s="170"/>
      <c r="BK315" s="170"/>
      <c r="BL315" s="170"/>
      <c r="BM315" s="170"/>
      <c r="BN315" s="170"/>
      <c r="BO315" s="170"/>
      <c r="BP315" s="170"/>
      <c r="BQ315" s="170"/>
      <c r="BR315" s="170"/>
      <c r="BS315" s="170"/>
      <c r="BT315" s="170"/>
      <c r="BU315" s="170"/>
      <c r="BV315" s="170"/>
      <c r="BW315" s="170"/>
      <c r="BX315" s="170"/>
      <c r="BY315" s="170"/>
      <c r="BZ315" s="170"/>
    </row>
    <row r="316" spans="1:78" x14ac:dyDescent="0.2">
      <c r="A316" s="170"/>
      <c r="B316" s="170"/>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c r="AA316" s="170"/>
      <c r="AB316" s="170"/>
      <c r="AC316" s="170"/>
      <c r="AD316" s="170"/>
      <c r="AE316" s="170"/>
      <c r="AF316" s="170"/>
      <c r="AG316" s="170"/>
      <c r="AH316" s="170"/>
      <c r="AI316" s="170"/>
      <c r="AJ316" s="170"/>
      <c r="AK316" s="170"/>
      <c r="AL316" s="170"/>
      <c r="AM316" s="170"/>
      <c r="AN316" s="170"/>
      <c r="AO316" s="170"/>
      <c r="AP316" s="170"/>
      <c r="AQ316" s="170"/>
      <c r="AR316" s="170"/>
      <c r="AS316" s="170"/>
      <c r="AT316" s="170"/>
      <c r="AU316" s="170"/>
      <c r="AV316" s="170"/>
      <c r="AW316" s="170"/>
      <c r="AX316" s="170"/>
      <c r="AY316" s="170"/>
      <c r="AZ316" s="170"/>
      <c r="BA316" s="170"/>
      <c r="BB316" s="170"/>
      <c r="BC316" s="170"/>
      <c r="BD316" s="170"/>
      <c r="BE316" s="170"/>
      <c r="BF316" s="170"/>
      <c r="BG316" s="170"/>
      <c r="BH316" s="170"/>
      <c r="BI316" s="170"/>
      <c r="BJ316" s="170"/>
      <c r="BK316" s="170"/>
      <c r="BL316" s="170"/>
      <c r="BM316" s="170"/>
      <c r="BN316" s="170"/>
      <c r="BO316" s="170"/>
      <c r="BP316" s="170"/>
      <c r="BQ316" s="170"/>
      <c r="BR316" s="170"/>
      <c r="BS316" s="170"/>
      <c r="BT316" s="170"/>
      <c r="BU316" s="170"/>
      <c r="BV316" s="170"/>
      <c r="BW316" s="170"/>
      <c r="BX316" s="170"/>
      <c r="BY316" s="170"/>
      <c r="BZ316" s="170"/>
    </row>
    <row r="317" spans="1:78" x14ac:dyDescent="0.2">
      <c r="A317" s="170"/>
      <c r="B317" s="170"/>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c r="AA317" s="170"/>
      <c r="AB317" s="170"/>
      <c r="AC317" s="170"/>
      <c r="AD317" s="170"/>
      <c r="AE317" s="170"/>
      <c r="AF317" s="170"/>
      <c r="AG317" s="170"/>
      <c r="AH317" s="170"/>
      <c r="AI317" s="170"/>
      <c r="AJ317" s="170"/>
      <c r="AK317" s="170"/>
      <c r="AL317" s="170"/>
      <c r="AM317" s="170"/>
      <c r="AN317" s="170"/>
      <c r="AO317" s="170"/>
      <c r="AP317" s="170"/>
      <c r="AQ317" s="170"/>
      <c r="AR317" s="170"/>
      <c r="AS317" s="170"/>
      <c r="AT317" s="170"/>
      <c r="AU317" s="170"/>
      <c r="AV317" s="170"/>
      <c r="AW317" s="170"/>
      <c r="AX317" s="170"/>
      <c r="AY317" s="170"/>
      <c r="AZ317" s="170"/>
      <c r="BA317" s="170"/>
      <c r="BB317" s="170"/>
      <c r="BC317" s="170"/>
      <c r="BD317" s="170"/>
      <c r="BE317" s="170"/>
      <c r="BF317" s="170"/>
      <c r="BG317" s="170"/>
      <c r="BH317" s="170"/>
      <c r="BI317" s="170"/>
      <c r="BJ317" s="170"/>
      <c r="BK317" s="170"/>
      <c r="BL317" s="170"/>
      <c r="BM317" s="170"/>
      <c r="BN317" s="170"/>
      <c r="BO317" s="170"/>
      <c r="BP317" s="170"/>
      <c r="BQ317" s="170"/>
      <c r="BR317" s="170"/>
      <c r="BS317" s="170"/>
      <c r="BT317" s="170"/>
      <c r="BU317" s="170"/>
      <c r="BV317" s="170"/>
      <c r="BW317" s="170"/>
      <c r="BX317" s="170"/>
      <c r="BY317" s="170"/>
      <c r="BZ317" s="170"/>
    </row>
    <row r="318" spans="1:78" x14ac:dyDescent="0.2">
      <c r="A318" s="170"/>
      <c r="B318" s="170"/>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c r="AA318" s="170"/>
      <c r="AB318" s="170"/>
      <c r="AC318" s="170"/>
      <c r="AD318" s="170"/>
      <c r="AE318" s="170"/>
      <c r="AF318" s="170"/>
      <c r="AG318" s="170"/>
      <c r="AH318" s="170"/>
      <c r="AI318" s="170"/>
      <c r="AJ318" s="170"/>
      <c r="AK318" s="170"/>
      <c r="AL318" s="170"/>
      <c r="AM318" s="170"/>
      <c r="AN318" s="170"/>
      <c r="AO318" s="170"/>
      <c r="AP318" s="170"/>
      <c r="AQ318" s="170"/>
      <c r="AR318" s="170"/>
      <c r="AS318" s="170"/>
      <c r="AT318" s="170"/>
      <c r="AU318" s="170"/>
      <c r="AV318" s="170"/>
      <c r="AW318" s="170"/>
      <c r="AX318" s="170"/>
      <c r="AY318" s="170"/>
      <c r="AZ318" s="170"/>
      <c r="BA318" s="170"/>
      <c r="BB318" s="170"/>
      <c r="BC318" s="170"/>
      <c r="BD318" s="170"/>
      <c r="BE318" s="170"/>
      <c r="BF318" s="170"/>
      <c r="BG318" s="170"/>
      <c r="BH318" s="170"/>
      <c r="BI318" s="170"/>
      <c r="BJ318" s="170"/>
      <c r="BK318" s="170"/>
      <c r="BL318" s="170"/>
      <c r="BM318" s="170"/>
      <c r="BN318" s="170"/>
      <c r="BO318" s="170"/>
      <c r="BP318" s="170"/>
      <c r="BQ318" s="170"/>
      <c r="BR318" s="170"/>
      <c r="BS318" s="170"/>
      <c r="BT318" s="170"/>
      <c r="BU318" s="170"/>
      <c r="BV318" s="170"/>
      <c r="BW318" s="170"/>
      <c r="BX318" s="170"/>
      <c r="BY318" s="170"/>
      <c r="BZ318" s="170"/>
    </row>
    <row r="319" spans="1:78" x14ac:dyDescent="0.2">
      <c r="A319" s="170"/>
      <c r="B319" s="170"/>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170"/>
      <c r="AK319" s="170"/>
      <c r="AL319" s="170"/>
      <c r="AM319" s="170"/>
      <c r="AN319" s="170"/>
      <c r="AO319" s="170"/>
      <c r="AP319" s="170"/>
      <c r="AQ319" s="170"/>
      <c r="AR319" s="170"/>
      <c r="AS319" s="170"/>
      <c r="AT319" s="170"/>
      <c r="AU319" s="170"/>
      <c r="AV319" s="170"/>
      <c r="AW319" s="170"/>
      <c r="AX319" s="170"/>
      <c r="AY319" s="170"/>
      <c r="AZ319" s="170"/>
      <c r="BA319" s="170"/>
      <c r="BB319" s="170"/>
      <c r="BC319" s="170"/>
      <c r="BD319" s="170"/>
      <c r="BE319" s="170"/>
      <c r="BF319" s="170"/>
      <c r="BG319" s="170"/>
      <c r="BH319" s="170"/>
      <c r="BI319" s="170"/>
      <c r="BJ319" s="170"/>
      <c r="BK319" s="170"/>
      <c r="BL319" s="170"/>
      <c r="BM319" s="170"/>
      <c r="BN319" s="170"/>
      <c r="BO319" s="170"/>
      <c r="BP319" s="170"/>
      <c r="BQ319" s="170"/>
      <c r="BR319" s="170"/>
      <c r="BS319" s="170"/>
      <c r="BT319" s="170"/>
      <c r="BU319" s="170"/>
      <c r="BV319" s="170"/>
      <c r="BW319" s="170"/>
      <c r="BX319" s="170"/>
      <c r="BY319" s="170"/>
      <c r="BZ319" s="170"/>
    </row>
    <row r="320" spans="1:78" x14ac:dyDescent="0.2">
      <c r="A320" s="170"/>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c r="AB320" s="170"/>
      <c r="AC320" s="170"/>
      <c r="AD320" s="170"/>
      <c r="AE320" s="170"/>
      <c r="AF320" s="170"/>
      <c r="AG320" s="170"/>
      <c r="AH320" s="170"/>
      <c r="AI320" s="170"/>
      <c r="AJ320" s="170"/>
      <c r="AK320" s="170"/>
      <c r="AL320" s="170"/>
      <c r="AM320" s="170"/>
      <c r="AN320" s="170"/>
      <c r="AO320" s="170"/>
      <c r="AP320" s="170"/>
      <c r="AQ320" s="170"/>
      <c r="AR320" s="170"/>
      <c r="AS320" s="170"/>
      <c r="AT320" s="170"/>
      <c r="AU320" s="170"/>
      <c r="AV320" s="170"/>
      <c r="AW320" s="170"/>
      <c r="AX320" s="170"/>
      <c r="AY320" s="170"/>
      <c r="AZ320" s="170"/>
      <c r="BA320" s="170"/>
      <c r="BB320" s="170"/>
      <c r="BC320" s="170"/>
      <c r="BD320" s="170"/>
      <c r="BE320" s="170"/>
      <c r="BF320" s="170"/>
      <c r="BG320" s="170"/>
      <c r="BH320" s="170"/>
      <c r="BI320" s="170"/>
      <c r="BJ320" s="170"/>
      <c r="BK320" s="170"/>
      <c r="BL320" s="170"/>
      <c r="BM320" s="170"/>
      <c r="BN320" s="170"/>
      <c r="BO320" s="170"/>
      <c r="BP320" s="170"/>
      <c r="BQ320" s="170"/>
      <c r="BR320" s="170"/>
      <c r="BS320" s="170"/>
      <c r="BT320" s="170"/>
      <c r="BU320" s="170"/>
      <c r="BV320" s="170"/>
      <c r="BW320" s="170"/>
      <c r="BX320" s="170"/>
      <c r="BY320" s="170"/>
      <c r="BZ320" s="170"/>
    </row>
    <row r="321" spans="1:78" x14ac:dyDescent="0.2">
      <c r="A321" s="170"/>
      <c r="B321" s="170"/>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c r="AB321" s="170"/>
      <c r="AC321" s="170"/>
      <c r="AD321" s="170"/>
      <c r="AE321" s="170"/>
      <c r="AF321" s="170"/>
      <c r="AG321" s="170"/>
      <c r="AH321" s="170"/>
      <c r="AI321" s="170"/>
      <c r="AJ321" s="170"/>
      <c r="AK321" s="170"/>
      <c r="AL321" s="170"/>
      <c r="AM321" s="170"/>
      <c r="AN321" s="170"/>
      <c r="AO321" s="170"/>
      <c r="AP321" s="170"/>
      <c r="AQ321" s="170"/>
      <c r="AR321" s="170"/>
      <c r="AS321" s="170"/>
      <c r="AT321" s="170"/>
      <c r="AU321" s="170"/>
      <c r="AV321" s="170"/>
      <c r="AW321" s="170"/>
      <c r="AX321" s="170"/>
      <c r="AY321" s="170"/>
      <c r="AZ321" s="170"/>
      <c r="BA321" s="170"/>
      <c r="BB321" s="170"/>
      <c r="BC321" s="170"/>
      <c r="BD321" s="170"/>
      <c r="BE321" s="170"/>
      <c r="BF321" s="170"/>
      <c r="BG321" s="170"/>
      <c r="BH321" s="170"/>
      <c r="BI321" s="170"/>
      <c r="BJ321" s="170"/>
      <c r="BK321" s="170"/>
      <c r="BL321" s="170"/>
      <c r="BM321" s="170"/>
      <c r="BN321" s="170"/>
      <c r="BO321" s="170"/>
      <c r="BP321" s="170"/>
      <c r="BQ321" s="170"/>
      <c r="BR321" s="170"/>
      <c r="BS321" s="170"/>
      <c r="BT321" s="170"/>
      <c r="BU321" s="170"/>
      <c r="BV321" s="170"/>
      <c r="BW321" s="170"/>
      <c r="BX321" s="170"/>
      <c r="BY321" s="170"/>
      <c r="BZ321" s="170"/>
    </row>
    <row r="322" spans="1:78" x14ac:dyDescent="0.2">
      <c r="A322" s="170"/>
      <c r="B322" s="170"/>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c r="AB322" s="170"/>
      <c r="AC322" s="170"/>
      <c r="AD322" s="170"/>
      <c r="AE322" s="170"/>
      <c r="AF322" s="170"/>
      <c r="AG322" s="170"/>
      <c r="AH322" s="170"/>
      <c r="AI322" s="170"/>
      <c r="AJ322" s="170"/>
      <c r="AK322" s="170"/>
      <c r="AL322" s="170"/>
      <c r="AM322" s="170"/>
      <c r="AN322" s="170"/>
      <c r="AO322" s="170"/>
      <c r="AP322" s="170"/>
      <c r="AQ322" s="170"/>
      <c r="AR322" s="170"/>
      <c r="AS322" s="170"/>
      <c r="AT322" s="170"/>
      <c r="AU322" s="170"/>
      <c r="AV322" s="170"/>
      <c r="AW322" s="170"/>
      <c r="AX322" s="170"/>
      <c r="AY322" s="170"/>
      <c r="AZ322" s="170"/>
      <c r="BA322" s="170"/>
      <c r="BB322" s="170"/>
      <c r="BC322" s="170"/>
      <c r="BD322" s="170"/>
      <c r="BE322" s="170"/>
      <c r="BF322" s="170"/>
      <c r="BG322" s="170"/>
      <c r="BH322" s="170"/>
      <c r="BI322" s="170"/>
      <c r="BJ322" s="170"/>
      <c r="BK322" s="170"/>
      <c r="BL322" s="170"/>
      <c r="BM322" s="170"/>
      <c r="BN322" s="170"/>
      <c r="BO322" s="170"/>
      <c r="BP322" s="170"/>
      <c r="BQ322" s="170"/>
      <c r="BR322" s="170"/>
      <c r="BS322" s="170"/>
      <c r="BT322" s="170"/>
      <c r="BU322" s="170"/>
      <c r="BV322" s="170"/>
      <c r="BW322" s="170"/>
      <c r="BX322" s="170"/>
      <c r="BY322" s="170"/>
      <c r="BZ322" s="170"/>
    </row>
    <row r="323" spans="1:78" x14ac:dyDescent="0.2">
      <c r="A323" s="170"/>
      <c r="B323" s="170"/>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70"/>
      <c r="AL323" s="170"/>
      <c r="AM323" s="170"/>
      <c r="AN323" s="170"/>
      <c r="AO323" s="170"/>
      <c r="AP323" s="170"/>
      <c r="AQ323" s="170"/>
      <c r="AR323" s="170"/>
      <c r="AS323" s="170"/>
      <c r="AT323" s="170"/>
      <c r="AU323" s="170"/>
      <c r="AV323" s="170"/>
      <c r="AW323" s="170"/>
      <c r="AX323" s="170"/>
      <c r="AY323" s="170"/>
      <c r="AZ323" s="170"/>
      <c r="BA323" s="170"/>
      <c r="BB323" s="170"/>
      <c r="BC323" s="170"/>
      <c r="BD323" s="170"/>
      <c r="BE323" s="170"/>
      <c r="BF323" s="170"/>
      <c r="BG323" s="170"/>
      <c r="BH323" s="170"/>
      <c r="BI323" s="170"/>
      <c r="BJ323" s="170"/>
      <c r="BK323" s="170"/>
      <c r="BL323" s="170"/>
      <c r="BM323" s="170"/>
      <c r="BN323" s="170"/>
      <c r="BO323" s="170"/>
      <c r="BP323" s="170"/>
      <c r="BQ323" s="170"/>
      <c r="BR323" s="170"/>
      <c r="BS323" s="170"/>
      <c r="BT323" s="170"/>
      <c r="BU323" s="170"/>
      <c r="BV323" s="170"/>
      <c r="BW323" s="170"/>
      <c r="BX323" s="170"/>
      <c r="BY323" s="170"/>
      <c r="BZ323" s="170"/>
    </row>
    <row r="324" spans="1:78" x14ac:dyDescent="0.2">
      <c r="A324" s="170"/>
      <c r="B324" s="170"/>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c r="AA324" s="170"/>
      <c r="AB324" s="170"/>
      <c r="AC324" s="170"/>
      <c r="AD324" s="170"/>
      <c r="AE324" s="170"/>
      <c r="AF324" s="170"/>
      <c r="AG324" s="170"/>
      <c r="AH324" s="170"/>
      <c r="AI324" s="170"/>
      <c r="AJ324" s="170"/>
      <c r="AK324" s="170"/>
      <c r="AL324" s="170"/>
      <c r="AM324" s="170"/>
      <c r="AN324" s="170"/>
      <c r="AO324" s="170"/>
      <c r="AP324" s="170"/>
      <c r="AQ324" s="170"/>
      <c r="AR324" s="170"/>
      <c r="AS324" s="170"/>
      <c r="AT324" s="170"/>
      <c r="AU324" s="170"/>
      <c r="AV324" s="170"/>
      <c r="AW324" s="170"/>
      <c r="AX324" s="170"/>
      <c r="AY324" s="170"/>
      <c r="AZ324" s="170"/>
      <c r="BA324" s="170"/>
      <c r="BB324" s="170"/>
      <c r="BC324" s="170"/>
      <c r="BD324" s="170"/>
      <c r="BE324" s="170"/>
      <c r="BF324" s="170"/>
      <c r="BG324" s="170"/>
      <c r="BH324" s="170"/>
      <c r="BI324" s="170"/>
      <c r="BJ324" s="170"/>
      <c r="BK324" s="170"/>
      <c r="BL324" s="170"/>
      <c r="BM324" s="170"/>
      <c r="BN324" s="170"/>
      <c r="BO324" s="170"/>
      <c r="BP324" s="170"/>
      <c r="BQ324" s="170"/>
      <c r="BR324" s="170"/>
      <c r="BS324" s="170"/>
      <c r="BT324" s="170"/>
      <c r="BU324" s="170"/>
      <c r="BV324" s="170"/>
      <c r="BW324" s="170"/>
      <c r="BX324" s="170"/>
      <c r="BY324" s="170"/>
      <c r="BZ324" s="170"/>
    </row>
    <row r="325" spans="1:78" x14ac:dyDescent="0.2">
      <c r="A325" s="170"/>
      <c r="B325" s="170"/>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c r="AA325" s="170"/>
      <c r="AB325" s="170"/>
      <c r="AC325" s="170"/>
      <c r="AD325" s="170"/>
      <c r="AE325" s="170"/>
      <c r="AF325" s="170"/>
      <c r="AG325" s="170"/>
      <c r="AH325" s="170"/>
      <c r="AI325" s="170"/>
      <c r="AJ325" s="170"/>
      <c r="AK325" s="170"/>
      <c r="AL325" s="170"/>
      <c r="AM325" s="170"/>
      <c r="AN325" s="170"/>
      <c r="AO325" s="170"/>
      <c r="AP325" s="170"/>
      <c r="AQ325" s="170"/>
      <c r="AR325" s="170"/>
      <c r="AS325" s="170"/>
      <c r="AT325" s="170"/>
      <c r="AU325" s="170"/>
      <c r="AV325" s="170"/>
      <c r="AW325" s="170"/>
      <c r="AX325" s="170"/>
      <c r="AY325" s="170"/>
      <c r="AZ325" s="170"/>
      <c r="BA325" s="170"/>
      <c r="BB325" s="170"/>
      <c r="BC325" s="170"/>
      <c r="BD325" s="170"/>
      <c r="BE325" s="170"/>
      <c r="BF325" s="170"/>
      <c r="BG325" s="170"/>
      <c r="BH325" s="170"/>
      <c r="BI325" s="170"/>
      <c r="BJ325" s="170"/>
      <c r="BK325" s="170"/>
      <c r="BL325" s="170"/>
      <c r="BM325" s="170"/>
      <c r="BN325" s="170"/>
      <c r="BO325" s="170"/>
      <c r="BP325" s="170"/>
      <c r="BQ325" s="170"/>
      <c r="BR325" s="170"/>
      <c r="BS325" s="170"/>
      <c r="BT325" s="170"/>
      <c r="BU325" s="170"/>
      <c r="BV325" s="170"/>
      <c r="BW325" s="170"/>
      <c r="BX325" s="170"/>
      <c r="BY325" s="170"/>
      <c r="BZ325" s="170"/>
    </row>
    <row r="326" spans="1:78" x14ac:dyDescent="0.2">
      <c r="A326" s="170"/>
      <c r="B326" s="170"/>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c r="AA326" s="170"/>
      <c r="AB326" s="170"/>
      <c r="AC326" s="170"/>
      <c r="AD326" s="170"/>
      <c r="AE326" s="170"/>
      <c r="AF326" s="170"/>
      <c r="AG326" s="170"/>
      <c r="AH326" s="170"/>
      <c r="AI326" s="170"/>
      <c r="AJ326" s="170"/>
      <c r="AK326" s="170"/>
      <c r="AL326" s="170"/>
      <c r="AM326" s="170"/>
      <c r="AN326" s="170"/>
      <c r="AO326" s="170"/>
      <c r="AP326" s="170"/>
      <c r="AQ326" s="170"/>
      <c r="AR326" s="170"/>
      <c r="AS326" s="170"/>
      <c r="AT326" s="170"/>
      <c r="AU326" s="170"/>
      <c r="AV326" s="170"/>
      <c r="AW326" s="170"/>
      <c r="AX326" s="170"/>
      <c r="AY326" s="170"/>
      <c r="AZ326" s="170"/>
      <c r="BA326" s="170"/>
      <c r="BB326" s="170"/>
      <c r="BC326" s="170"/>
      <c r="BD326" s="170"/>
      <c r="BE326" s="170"/>
      <c r="BF326" s="170"/>
      <c r="BG326" s="170"/>
      <c r="BH326" s="170"/>
      <c r="BI326" s="170"/>
      <c r="BJ326" s="170"/>
      <c r="BK326" s="170"/>
      <c r="BL326" s="170"/>
      <c r="BM326" s="170"/>
      <c r="BN326" s="170"/>
      <c r="BO326" s="170"/>
      <c r="BP326" s="170"/>
      <c r="BQ326" s="170"/>
      <c r="BR326" s="170"/>
      <c r="BS326" s="170"/>
      <c r="BT326" s="170"/>
      <c r="BU326" s="170"/>
      <c r="BV326" s="170"/>
      <c r="BW326" s="170"/>
      <c r="BX326" s="170"/>
      <c r="BY326" s="170"/>
      <c r="BZ326" s="170"/>
    </row>
    <row r="327" spans="1:78" x14ac:dyDescent="0.2">
      <c r="A327" s="170"/>
      <c r="B327" s="170"/>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70"/>
      <c r="AL327" s="170"/>
      <c r="AM327" s="170"/>
      <c r="AN327" s="170"/>
      <c r="AO327" s="170"/>
      <c r="AP327" s="170"/>
      <c r="AQ327" s="170"/>
      <c r="AR327" s="170"/>
      <c r="AS327" s="170"/>
      <c r="AT327" s="170"/>
      <c r="AU327" s="170"/>
      <c r="AV327" s="170"/>
      <c r="AW327" s="170"/>
      <c r="AX327" s="170"/>
      <c r="AY327" s="170"/>
      <c r="AZ327" s="170"/>
      <c r="BA327" s="170"/>
      <c r="BB327" s="170"/>
      <c r="BC327" s="170"/>
      <c r="BD327" s="170"/>
      <c r="BE327" s="170"/>
      <c r="BF327" s="170"/>
      <c r="BG327" s="170"/>
      <c r="BH327" s="170"/>
      <c r="BI327" s="170"/>
      <c r="BJ327" s="170"/>
      <c r="BK327" s="170"/>
      <c r="BL327" s="170"/>
      <c r="BM327" s="170"/>
      <c r="BN327" s="170"/>
      <c r="BO327" s="170"/>
      <c r="BP327" s="170"/>
      <c r="BQ327" s="170"/>
      <c r="BR327" s="170"/>
      <c r="BS327" s="170"/>
      <c r="BT327" s="170"/>
      <c r="BU327" s="170"/>
      <c r="BV327" s="170"/>
      <c r="BW327" s="170"/>
      <c r="BX327" s="170"/>
      <c r="BY327" s="170"/>
      <c r="BZ327" s="170"/>
    </row>
    <row r="328" spans="1:78" x14ac:dyDescent="0.2">
      <c r="A328" s="170"/>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c r="AA328" s="170"/>
      <c r="AB328" s="170"/>
      <c r="AC328" s="170"/>
      <c r="AD328" s="170"/>
      <c r="AE328" s="170"/>
      <c r="AF328" s="170"/>
      <c r="AG328" s="170"/>
      <c r="AH328" s="170"/>
      <c r="AI328" s="170"/>
      <c r="AJ328" s="170"/>
      <c r="AK328" s="170"/>
      <c r="AL328" s="170"/>
      <c r="AM328" s="170"/>
      <c r="AN328" s="170"/>
      <c r="AO328" s="170"/>
      <c r="AP328" s="170"/>
      <c r="AQ328" s="170"/>
      <c r="AR328" s="170"/>
      <c r="AS328" s="170"/>
      <c r="AT328" s="170"/>
      <c r="AU328" s="170"/>
      <c r="AV328" s="170"/>
      <c r="AW328" s="170"/>
      <c r="AX328" s="170"/>
      <c r="AY328" s="170"/>
      <c r="AZ328" s="170"/>
      <c r="BA328" s="170"/>
      <c r="BB328" s="170"/>
      <c r="BC328" s="170"/>
      <c r="BD328" s="170"/>
      <c r="BE328" s="170"/>
      <c r="BF328" s="170"/>
      <c r="BG328" s="170"/>
      <c r="BH328" s="170"/>
      <c r="BI328" s="170"/>
      <c r="BJ328" s="170"/>
      <c r="BK328" s="170"/>
      <c r="BL328" s="170"/>
      <c r="BM328" s="170"/>
      <c r="BN328" s="170"/>
      <c r="BO328" s="170"/>
      <c r="BP328" s="170"/>
      <c r="BQ328" s="170"/>
      <c r="BR328" s="170"/>
      <c r="BS328" s="170"/>
      <c r="BT328" s="170"/>
      <c r="BU328" s="170"/>
      <c r="BV328" s="170"/>
      <c r="BW328" s="170"/>
      <c r="BX328" s="170"/>
      <c r="BY328" s="170"/>
      <c r="BZ328" s="170"/>
    </row>
    <row r="329" spans="1:78" x14ac:dyDescent="0.2">
      <c r="A329" s="170"/>
      <c r="B329" s="170"/>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c r="AA329" s="170"/>
      <c r="AB329" s="170"/>
      <c r="AC329" s="170"/>
      <c r="AD329" s="170"/>
      <c r="AE329" s="170"/>
      <c r="AF329" s="170"/>
      <c r="AG329" s="170"/>
      <c r="AH329" s="170"/>
      <c r="AI329" s="170"/>
      <c r="AJ329" s="170"/>
      <c r="AK329" s="170"/>
      <c r="AL329" s="170"/>
      <c r="AM329" s="170"/>
      <c r="AN329" s="170"/>
      <c r="AO329" s="170"/>
      <c r="AP329" s="170"/>
      <c r="AQ329" s="170"/>
      <c r="AR329" s="170"/>
      <c r="AS329" s="170"/>
      <c r="AT329" s="170"/>
      <c r="AU329" s="170"/>
      <c r="AV329" s="170"/>
      <c r="AW329" s="170"/>
      <c r="AX329" s="170"/>
      <c r="AY329" s="170"/>
      <c r="AZ329" s="170"/>
      <c r="BA329" s="170"/>
      <c r="BB329" s="170"/>
      <c r="BC329" s="170"/>
      <c r="BD329" s="170"/>
      <c r="BE329" s="170"/>
      <c r="BF329" s="170"/>
      <c r="BG329" s="170"/>
      <c r="BH329" s="170"/>
      <c r="BI329" s="170"/>
      <c r="BJ329" s="170"/>
      <c r="BK329" s="170"/>
      <c r="BL329" s="170"/>
      <c r="BM329" s="170"/>
      <c r="BN329" s="170"/>
      <c r="BO329" s="170"/>
      <c r="BP329" s="170"/>
      <c r="BQ329" s="170"/>
      <c r="BR329" s="170"/>
      <c r="BS329" s="170"/>
      <c r="BT329" s="170"/>
      <c r="BU329" s="170"/>
      <c r="BV329" s="170"/>
      <c r="BW329" s="170"/>
      <c r="BX329" s="170"/>
      <c r="BY329" s="170"/>
      <c r="BZ329" s="170"/>
    </row>
    <row r="330" spans="1:78" x14ac:dyDescent="0.2">
      <c r="A330" s="170"/>
      <c r="B330" s="170"/>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c r="AA330" s="170"/>
      <c r="AB330" s="170"/>
      <c r="AC330" s="170"/>
      <c r="AD330" s="170"/>
      <c r="AE330" s="170"/>
      <c r="AF330" s="170"/>
      <c r="AG330" s="170"/>
      <c r="AH330" s="170"/>
      <c r="AI330" s="170"/>
      <c r="AJ330" s="170"/>
      <c r="AK330" s="170"/>
      <c r="AL330" s="170"/>
      <c r="AM330" s="170"/>
      <c r="AN330" s="170"/>
      <c r="AO330" s="170"/>
      <c r="AP330" s="170"/>
      <c r="AQ330" s="170"/>
      <c r="AR330" s="170"/>
      <c r="AS330" s="170"/>
      <c r="AT330" s="170"/>
      <c r="AU330" s="170"/>
      <c r="AV330" s="170"/>
      <c r="AW330" s="170"/>
      <c r="AX330" s="170"/>
      <c r="AY330" s="170"/>
      <c r="AZ330" s="170"/>
      <c r="BA330" s="170"/>
      <c r="BB330" s="170"/>
      <c r="BC330" s="170"/>
      <c r="BD330" s="170"/>
      <c r="BE330" s="170"/>
      <c r="BF330" s="170"/>
      <c r="BG330" s="170"/>
      <c r="BH330" s="170"/>
      <c r="BI330" s="170"/>
      <c r="BJ330" s="170"/>
      <c r="BK330" s="170"/>
      <c r="BL330" s="170"/>
      <c r="BM330" s="170"/>
      <c r="BN330" s="170"/>
      <c r="BO330" s="170"/>
      <c r="BP330" s="170"/>
      <c r="BQ330" s="170"/>
      <c r="BR330" s="170"/>
      <c r="BS330" s="170"/>
      <c r="BT330" s="170"/>
      <c r="BU330" s="170"/>
      <c r="BV330" s="170"/>
      <c r="BW330" s="170"/>
      <c r="BX330" s="170"/>
      <c r="BY330" s="170"/>
      <c r="BZ330" s="170"/>
    </row>
    <row r="331" spans="1:78" x14ac:dyDescent="0.2">
      <c r="A331" s="170"/>
      <c r="B331" s="170"/>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c r="AA331" s="170"/>
      <c r="AB331" s="170"/>
      <c r="AC331" s="170"/>
      <c r="AD331" s="170"/>
      <c r="AE331" s="170"/>
      <c r="AF331" s="170"/>
      <c r="AG331" s="170"/>
      <c r="AH331" s="170"/>
      <c r="AI331" s="170"/>
      <c r="AJ331" s="170"/>
      <c r="AK331" s="170"/>
      <c r="AL331" s="170"/>
      <c r="AM331" s="170"/>
      <c r="AN331" s="170"/>
      <c r="AO331" s="170"/>
      <c r="AP331" s="170"/>
      <c r="AQ331" s="170"/>
      <c r="AR331" s="170"/>
      <c r="AS331" s="170"/>
      <c r="AT331" s="170"/>
      <c r="AU331" s="170"/>
      <c r="AV331" s="170"/>
      <c r="AW331" s="170"/>
      <c r="AX331" s="170"/>
      <c r="AY331" s="170"/>
      <c r="AZ331" s="170"/>
      <c r="BA331" s="170"/>
      <c r="BB331" s="170"/>
      <c r="BC331" s="170"/>
      <c r="BD331" s="170"/>
      <c r="BE331" s="170"/>
      <c r="BF331" s="170"/>
      <c r="BG331" s="170"/>
      <c r="BH331" s="170"/>
      <c r="BI331" s="170"/>
      <c r="BJ331" s="170"/>
      <c r="BK331" s="170"/>
      <c r="BL331" s="170"/>
      <c r="BM331" s="170"/>
      <c r="BN331" s="170"/>
      <c r="BO331" s="170"/>
      <c r="BP331" s="170"/>
      <c r="BQ331" s="170"/>
      <c r="BR331" s="170"/>
      <c r="BS331" s="170"/>
      <c r="BT331" s="170"/>
      <c r="BU331" s="170"/>
      <c r="BV331" s="170"/>
      <c r="BW331" s="170"/>
      <c r="BX331" s="170"/>
      <c r="BY331" s="170"/>
      <c r="BZ331" s="170"/>
    </row>
    <row r="332" spans="1:78" x14ac:dyDescent="0.2">
      <c r="A332" s="445"/>
      <c r="B332" s="432"/>
      <c r="C332" s="432"/>
      <c r="D332" s="432"/>
      <c r="E332" s="432"/>
      <c r="F332" s="432"/>
      <c r="G332" s="432"/>
      <c r="H332" s="170"/>
      <c r="I332" s="170"/>
      <c r="J332" s="170"/>
      <c r="K332" s="170"/>
      <c r="L332" s="170"/>
      <c r="M332" s="170"/>
      <c r="N332" s="170"/>
      <c r="O332" s="170"/>
      <c r="P332" s="170"/>
      <c r="Q332" s="170"/>
      <c r="R332" s="170"/>
      <c r="S332" s="170"/>
      <c r="T332" s="170"/>
      <c r="U332" s="170"/>
      <c r="V332" s="170"/>
      <c r="W332" s="170"/>
      <c r="X332" s="170"/>
      <c r="Y332" s="170"/>
      <c r="Z332" s="170"/>
      <c r="AA332" s="170"/>
      <c r="AB332" s="170"/>
      <c r="AC332" s="170"/>
      <c r="AD332" s="170"/>
      <c r="AE332" s="170"/>
      <c r="AF332" s="170"/>
      <c r="AG332" s="170"/>
      <c r="AH332" s="170"/>
      <c r="AI332" s="170"/>
      <c r="AJ332" s="170"/>
      <c r="AK332" s="170"/>
      <c r="AL332" s="170"/>
      <c r="AM332" s="170"/>
      <c r="AN332" s="170"/>
      <c r="AO332" s="170"/>
      <c r="AP332" s="170"/>
      <c r="AQ332" s="170"/>
      <c r="AR332" s="170"/>
      <c r="AS332" s="170"/>
      <c r="AT332" s="170"/>
      <c r="AU332" s="170"/>
      <c r="AV332" s="170"/>
      <c r="AW332" s="170"/>
      <c r="AX332" s="170"/>
      <c r="AY332" s="170"/>
      <c r="AZ332" s="170"/>
      <c r="BA332" s="170"/>
      <c r="BB332" s="170"/>
      <c r="BC332" s="170"/>
      <c r="BD332" s="170"/>
      <c r="BE332" s="170"/>
      <c r="BF332" s="170"/>
      <c r="BG332" s="170"/>
      <c r="BH332" s="170"/>
      <c r="BI332" s="170"/>
      <c r="BJ332" s="170"/>
      <c r="BK332" s="170"/>
      <c r="BL332" s="170"/>
      <c r="BM332" s="170"/>
      <c r="BN332" s="170"/>
      <c r="BO332" s="170"/>
      <c r="BP332" s="170"/>
      <c r="BQ332" s="170"/>
      <c r="BR332" s="170"/>
      <c r="BS332" s="170"/>
      <c r="BT332" s="170"/>
      <c r="BU332" s="170"/>
      <c r="BV332" s="170"/>
      <c r="BW332" s="170"/>
      <c r="BX332" s="170"/>
      <c r="BY332" s="170"/>
      <c r="BZ332" s="170"/>
    </row>
    <row r="333" spans="1:78" x14ac:dyDescent="0.2">
      <c r="A333" s="445"/>
      <c r="B333" s="300"/>
      <c r="C333" s="301"/>
      <c r="D333" s="301"/>
      <c r="E333" s="300"/>
      <c r="F333" s="301"/>
      <c r="G333" s="301"/>
      <c r="H333" s="170"/>
      <c r="I333" s="170"/>
      <c r="J333" s="170"/>
      <c r="K333" s="170"/>
      <c r="L333" s="170"/>
      <c r="M333" s="170"/>
      <c r="N333" s="170"/>
      <c r="O333" s="170"/>
      <c r="P333" s="170"/>
      <c r="Q333" s="170"/>
      <c r="R333" s="170"/>
      <c r="S333" s="170"/>
      <c r="T333" s="170"/>
      <c r="U333" s="170"/>
      <c r="V333" s="170"/>
      <c r="W333" s="170"/>
      <c r="X333" s="170"/>
      <c r="Y333" s="170"/>
      <c r="Z333" s="170"/>
      <c r="AA333" s="170"/>
      <c r="AB333" s="170"/>
      <c r="AC333" s="170"/>
      <c r="AD333" s="170"/>
      <c r="AE333" s="170"/>
      <c r="AF333" s="170"/>
      <c r="AG333" s="170"/>
      <c r="AH333" s="170"/>
      <c r="AI333" s="170"/>
      <c r="AJ333" s="170"/>
      <c r="AK333" s="170"/>
      <c r="AL333" s="170"/>
      <c r="AM333" s="170"/>
      <c r="AN333" s="170"/>
      <c r="AO333" s="170"/>
      <c r="AP333" s="170"/>
      <c r="AQ333" s="170"/>
      <c r="AR333" s="170"/>
      <c r="AS333" s="170"/>
      <c r="AT333" s="170"/>
      <c r="AU333" s="170"/>
      <c r="AV333" s="170"/>
      <c r="AW333" s="170"/>
      <c r="AX333" s="170"/>
      <c r="AY333" s="170"/>
      <c r="AZ333" s="170"/>
      <c r="BA333" s="170"/>
      <c r="BB333" s="170"/>
      <c r="BC333" s="170"/>
      <c r="BD333" s="170"/>
      <c r="BE333" s="170"/>
      <c r="BF333" s="170"/>
      <c r="BG333" s="170"/>
      <c r="BH333" s="170"/>
      <c r="BI333" s="170"/>
      <c r="BJ333" s="170"/>
      <c r="BK333" s="170"/>
      <c r="BL333" s="170"/>
      <c r="BM333" s="170"/>
      <c r="BN333" s="170"/>
      <c r="BO333" s="170"/>
      <c r="BP333" s="170"/>
      <c r="BQ333" s="170"/>
      <c r="BR333" s="170"/>
      <c r="BS333" s="170"/>
      <c r="BT333" s="170"/>
      <c r="BU333" s="170"/>
      <c r="BV333" s="170"/>
      <c r="BW333" s="170"/>
      <c r="BX333" s="170"/>
      <c r="BY333" s="170"/>
      <c r="BZ333" s="170"/>
    </row>
    <row r="334" spans="1:78" x14ac:dyDescent="0.2">
      <c r="A334" s="173"/>
      <c r="B334" s="172"/>
      <c r="C334" s="172"/>
      <c r="D334" s="172"/>
      <c r="E334" s="172"/>
      <c r="F334" s="172"/>
      <c r="G334" s="172"/>
      <c r="H334" s="170"/>
      <c r="I334" s="170"/>
      <c r="J334" s="170"/>
      <c r="K334" s="170"/>
      <c r="L334" s="170"/>
      <c r="M334" s="170"/>
      <c r="N334" s="170"/>
      <c r="O334" s="170"/>
      <c r="P334" s="170"/>
      <c r="Q334" s="170"/>
      <c r="R334" s="170"/>
      <c r="S334" s="170"/>
      <c r="T334" s="170"/>
      <c r="U334" s="170"/>
      <c r="V334" s="170"/>
      <c r="W334" s="170"/>
      <c r="X334" s="170"/>
      <c r="Y334" s="170"/>
      <c r="Z334" s="170"/>
      <c r="AA334" s="170"/>
      <c r="AB334" s="170"/>
      <c r="AC334" s="170"/>
      <c r="AD334" s="170"/>
      <c r="AE334" s="170"/>
      <c r="AF334" s="170"/>
      <c r="AG334" s="170"/>
      <c r="AH334" s="170"/>
      <c r="AI334" s="170"/>
      <c r="AJ334" s="170"/>
      <c r="AK334" s="170"/>
      <c r="AL334" s="170"/>
      <c r="AM334" s="170"/>
      <c r="AN334" s="170"/>
      <c r="AO334" s="170"/>
      <c r="AP334" s="170"/>
      <c r="AQ334" s="170"/>
      <c r="AR334" s="170"/>
      <c r="AS334" s="170"/>
      <c r="AT334" s="170"/>
      <c r="AU334" s="170"/>
      <c r="AV334" s="170"/>
      <c r="AW334" s="170"/>
      <c r="AX334" s="170"/>
      <c r="AY334" s="170"/>
      <c r="AZ334" s="170"/>
      <c r="BA334" s="170"/>
      <c r="BB334" s="170"/>
      <c r="BC334" s="170"/>
      <c r="BD334" s="170"/>
      <c r="BE334" s="170"/>
      <c r="BF334" s="170"/>
      <c r="BG334" s="170"/>
      <c r="BH334" s="170"/>
      <c r="BI334" s="170"/>
      <c r="BJ334" s="170"/>
      <c r="BK334" s="170"/>
      <c r="BL334" s="170"/>
      <c r="BM334" s="170"/>
      <c r="BN334" s="170"/>
      <c r="BO334" s="170"/>
      <c r="BP334" s="170"/>
      <c r="BQ334" s="170"/>
      <c r="BR334" s="170"/>
      <c r="BS334" s="170"/>
      <c r="BT334" s="170"/>
      <c r="BU334" s="170"/>
      <c r="BV334" s="170"/>
      <c r="BW334" s="170"/>
      <c r="BX334" s="170"/>
      <c r="BY334" s="170"/>
      <c r="BZ334" s="170"/>
    </row>
    <row r="335" spans="1:78" x14ac:dyDescent="0.2">
      <c r="A335" s="173"/>
      <c r="B335" s="172"/>
      <c r="C335" s="172"/>
      <c r="D335" s="172"/>
      <c r="E335" s="172"/>
      <c r="F335" s="172"/>
      <c r="G335" s="172"/>
      <c r="H335" s="170"/>
      <c r="I335" s="170"/>
      <c r="J335" s="170"/>
      <c r="K335" s="170"/>
      <c r="L335" s="170"/>
      <c r="M335" s="170"/>
      <c r="N335" s="170"/>
      <c r="O335" s="170"/>
      <c r="P335" s="170"/>
      <c r="Q335" s="170"/>
      <c r="R335" s="170"/>
      <c r="S335" s="170"/>
      <c r="T335" s="170"/>
      <c r="U335" s="170"/>
      <c r="V335" s="170"/>
      <c r="W335" s="170"/>
      <c r="X335" s="170"/>
      <c r="Y335" s="170"/>
      <c r="Z335" s="170"/>
      <c r="AA335" s="170"/>
      <c r="AB335" s="170"/>
      <c r="AC335" s="170"/>
      <c r="AD335" s="170"/>
      <c r="AE335" s="170"/>
      <c r="AF335" s="170"/>
      <c r="AG335" s="170"/>
      <c r="AH335" s="170"/>
      <c r="AI335" s="170"/>
      <c r="AJ335" s="170"/>
      <c r="AK335" s="170"/>
      <c r="AL335" s="170"/>
      <c r="AM335" s="170"/>
      <c r="AN335" s="170"/>
      <c r="AO335" s="170"/>
      <c r="AP335" s="170"/>
      <c r="AQ335" s="170"/>
      <c r="AR335" s="170"/>
      <c r="AS335" s="170"/>
      <c r="AT335" s="170"/>
      <c r="AU335" s="170"/>
      <c r="AV335" s="170"/>
      <c r="AW335" s="170"/>
      <c r="AX335" s="170"/>
      <c r="AY335" s="170"/>
      <c r="AZ335" s="170"/>
      <c r="BA335" s="170"/>
      <c r="BB335" s="170"/>
      <c r="BC335" s="170"/>
      <c r="BD335" s="170"/>
      <c r="BE335" s="170"/>
      <c r="BF335" s="170"/>
      <c r="BG335" s="170"/>
      <c r="BH335" s="170"/>
      <c r="BI335" s="170"/>
      <c r="BJ335" s="170"/>
      <c r="BK335" s="170"/>
      <c r="BL335" s="170"/>
      <c r="BM335" s="170"/>
      <c r="BN335" s="170"/>
      <c r="BO335" s="170"/>
      <c r="BP335" s="170"/>
      <c r="BQ335" s="170"/>
      <c r="BR335" s="170"/>
      <c r="BS335" s="170"/>
      <c r="BT335" s="170"/>
      <c r="BU335" s="170"/>
      <c r="BV335" s="170"/>
      <c r="BW335" s="170"/>
      <c r="BX335" s="170"/>
      <c r="BY335" s="170"/>
      <c r="BZ335" s="170"/>
    </row>
    <row r="336" spans="1:78" x14ac:dyDescent="0.2">
      <c r="A336" s="173"/>
      <c r="B336" s="172"/>
      <c r="C336" s="172"/>
      <c r="D336" s="172"/>
      <c r="E336" s="172"/>
      <c r="F336" s="172"/>
      <c r="G336" s="172"/>
      <c r="H336" s="170"/>
      <c r="I336" s="170"/>
      <c r="J336" s="170"/>
      <c r="K336" s="170"/>
      <c r="L336" s="170"/>
      <c r="M336" s="170"/>
      <c r="N336" s="170"/>
      <c r="O336" s="170"/>
      <c r="P336" s="170"/>
      <c r="Q336" s="170"/>
      <c r="R336" s="170"/>
      <c r="S336" s="170"/>
      <c r="T336" s="170"/>
      <c r="U336" s="170"/>
      <c r="V336" s="170"/>
      <c r="W336" s="170"/>
      <c r="X336" s="170"/>
      <c r="Y336" s="170"/>
      <c r="Z336" s="170"/>
      <c r="AA336" s="170"/>
      <c r="AB336" s="170"/>
      <c r="AC336" s="170"/>
      <c r="AD336" s="170"/>
      <c r="AE336" s="170"/>
      <c r="AF336" s="170"/>
      <c r="AG336" s="170"/>
      <c r="AH336" s="170"/>
      <c r="AI336" s="170"/>
      <c r="AJ336" s="170"/>
      <c r="AK336" s="170"/>
      <c r="AL336" s="170"/>
      <c r="AM336" s="170"/>
      <c r="AN336" s="170"/>
      <c r="AO336" s="170"/>
      <c r="AP336" s="170"/>
      <c r="AQ336" s="170"/>
      <c r="AR336" s="170"/>
      <c r="AS336" s="170"/>
      <c r="AT336" s="170"/>
      <c r="AU336" s="170"/>
      <c r="AV336" s="170"/>
      <c r="AW336" s="170"/>
      <c r="AX336" s="170"/>
      <c r="AY336" s="170"/>
      <c r="AZ336" s="170"/>
      <c r="BA336" s="170"/>
      <c r="BB336" s="170"/>
      <c r="BC336" s="170"/>
      <c r="BD336" s="170"/>
      <c r="BE336" s="170"/>
      <c r="BF336" s="170"/>
      <c r="BG336" s="170"/>
      <c r="BH336" s="170"/>
      <c r="BI336" s="170"/>
      <c r="BJ336" s="170"/>
      <c r="BK336" s="170"/>
      <c r="BL336" s="170"/>
      <c r="BM336" s="170"/>
      <c r="BN336" s="170"/>
      <c r="BO336" s="170"/>
      <c r="BP336" s="170"/>
      <c r="BQ336" s="170"/>
      <c r="BR336" s="170"/>
      <c r="BS336" s="170"/>
      <c r="BT336" s="170"/>
      <c r="BU336" s="170"/>
      <c r="BV336" s="170"/>
      <c r="BW336" s="170"/>
      <c r="BX336" s="170"/>
      <c r="BY336" s="170"/>
      <c r="BZ336" s="170"/>
    </row>
    <row r="337" spans="1:78" x14ac:dyDescent="0.2">
      <c r="A337" s="173"/>
      <c r="B337" s="172"/>
      <c r="C337" s="172"/>
      <c r="D337" s="172"/>
      <c r="E337" s="172"/>
      <c r="F337" s="172"/>
      <c r="G337" s="172"/>
      <c r="H337" s="170"/>
      <c r="I337" s="170"/>
      <c r="J337" s="170"/>
      <c r="K337" s="170"/>
      <c r="L337" s="170"/>
      <c r="M337" s="170"/>
      <c r="N337" s="170"/>
      <c r="O337" s="170"/>
      <c r="P337" s="170"/>
      <c r="Q337" s="170"/>
      <c r="R337" s="170"/>
      <c r="S337" s="170"/>
      <c r="T337" s="170"/>
      <c r="U337" s="170"/>
      <c r="V337" s="170"/>
      <c r="W337" s="170"/>
      <c r="X337" s="170"/>
      <c r="Y337" s="170"/>
      <c r="Z337" s="170"/>
      <c r="AA337" s="170"/>
      <c r="AB337" s="170"/>
      <c r="AC337" s="170"/>
      <c r="AD337" s="170"/>
      <c r="AE337" s="170"/>
      <c r="AF337" s="170"/>
      <c r="AG337" s="170"/>
      <c r="AH337" s="170"/>
      <c r="AI337" s="170"/>
      <c r="AJ337" s="170"/>
      <c r="AK337" s="170"/>
      <c r="AL337" s="170"/>
      <c r="AM337" s="170"/>
      <c r="AN337" s="170"/>
      <c r="AO337" s="170"/>
      <c r="AP337" s="170"/>
      <c r="AQ337" s="170"/>
      <c r="AR337" s="170"/>
      <c r="AS337" s="170"/>
      <c r="AT337" s="170"/>
      <c r="AU337" s="170"/>
      <c r="AV337" s="170"/>
      <c r="AW337" s="170"/>
      <c r="AX337" s="170"/>
      <c r="AY337" s="170"/>
      <c r="AZ337" s="170"/>
      <c r="BA337" s="170"/>
      <c r="BB337" s="170"/>
      <c r="BC337" s="170"/>
      <c r="BD337" s="170"/>
      <c r="BE337" s="170"/>
      <c r="BF337" s="170"/>
      <c r="BG337" s="170"/>
      <c r="BH337" s="170"/>
      <c r="BI337" s="170"/>
      <c r="BJ337" s="170"/>
      <c r="BK337" s="170"/>
      <c r="BL337" s="170"/>
      <c r="BM337" s="170"/>
      <c r="BN337" s="170"/>
      <c r="BO337" s="170"/>
      <c r="BP337" s="170"/>
      <c r="BQ337" s="170"/>
      <c r="BR337" s="170"/>
      <c r="BS337" s="170"/>
      <c r="BT337" s="170"/>
      <c r="BU337" s="170"/>
      <c r="BV337" s="170"/>
      <c r="BW337" s="170"/>
      <c r="BX337" s="170"/>
      <c r="BY337" s="170"/>
      <c r="BZ337" s="170"/>
    </row>
    <row r="338" spans="1:78" x14ac:dyDescent="0.2">
      <c r="A338" s="173"/>
      <c r="B338" s="172"/>
      <c r="C338" s="172"/>
      <c r="D338" s="172"/>
      <c r="E338" s="172"/>
      <c r="F338" s="172"/>
      <c r="G338" s="172"/>
      <c r="H338" s="170"/>
      <c r="I338" s="170"/>
      <c r="J338" s="170"/>
      <c r="K338" s="170"/>
      <c r="L338" s="170"/>
      <c r="M338" s="170"/>
      <c r="N338" s="170"/>
      <c r="O338" s="170"/>
      <c r="P338" s="170"/>
      <c r="Q338" s="170"/>
      <c r="R338" s="170"/>
      <c r="S338" s="170"/>
      <c r="T338" s="170"/>
      <c r="U338" s="170"/>
      <c r="V338" s="170"/>
      <c r="W338" s="170"/>
      <c r="X338" s="170"/>
      <c r="Y338" s="170"/>
      <c r="Z338" s="170"/>
      <c r="AA338" s="170"/>
      <c r="AB338" s="170"/>
      <c r="AC338" s="170"/>
      <c r="AD338" s="170"/>
      <c r="AE338" s="170"/>
      <c r="AF338" s="170"/>
      <c r="AG338" s="170"/>
      <c r="AH338" s="170"/>
      <c r="AI338" s="170"/>
      <c r="AJ338" s="170"/>
      <c r="AK338" s="170"/>
      <c r="AL338" s="170"/>
      <c r="AM338" s="170"/>
      <c r="AN338" s="170"/>
      <c r="AO338" s="170"/>
      <c r="AP338" s="170"/>
      <c r="AQ338" s="170"/>
      <c r="AR338" s="170"/>
      <c r="AS338" s="170"/>
      <c r="AT338" s="170"/>
      <c r="AU338" s="170"/>
      <c r="AV338" s="170"/>
      <c r="AW338" s="170"/>
      <c r="AX338" s="170"/>
      <c r="AY338" s="170"/>
      <c r="AZ338" s="170"/>
      <c r="BA338" s="170"/>
      <c r="BB338" s="170"/>
      <c r="BC338" s="170"/>
      <c r="BD338" s="170"/>
      <c r="BE338" s="170"/>
      <c r="BF338" s="170"/>
      <c r="BG338" s="170"/>
      <c r="BH338" s="170"/>
      <c r="BI338" s="170"/>
      <c r="BJ338" s="170"/>
      <c r="BK338" s="170"/>
      <c r="BL338" s="170"/>
      <c r="BM338" s="170"/>
      <c r="BN338" s="170"/>
      <c r="BO338" s="170"/>
      <c r="BP338" s="170"/>
      <c r="BQ338" s="170"/>
      <c r="BR338" s="170"/>
      <c r="BS338" s="170"/>
      <c r="BT338" s="170"/>
      <c r="BU338" s="170"/>
      <c r="BV338" s="170"/>
      <c r="BW338" s="170"/>
      <c r="BX338" s="170"/>
      <c r="BY338" s="170"/>
      <c r="BZ338" s="170"/>
    </row>
    <row r="339" spans="1:78" x14ac:dyDescent="0.2">
      <c r="A339" s="173"/>
      <c r="B339" s="172"/>
      <c r="C339" s="172"/>
      <c r="D339" s="172"/>
      <c r="E339" s="172"/>
      <c r="F339" s="172"/>
      <c r="G339" s="172"/>
      <c r="H339" s="170"/>
      <c r="I339" s="170"/>
      <c r="J339" s="170"/>
      <c r="K339" s="170"/>
      <c r="L339" s="170"/>
      <c r="M339" s="170"/>
      <c r="N339" s="170"/>
      <c r="O339" s="170"/>
      <c r="P339" s="170"/>
      <c r="Q339" s="170"/>
      <c r="R339" s="170"/>
      <c r="S339" s="170"/>
      <c r="T339" s="170"/>
      <c r="U339" s="170"/>
      <c r="V339" s="170"/>
      <c r="W339" s="170"/>
      <c r="X339" s="170"/>
      <c r="Y339" s="170"/>
      <c r="Z339" s="170"/>
      <c r="AA339" s="170"/>
      <c r="AB339" s="170"/>
      <c r="AC339" s="170"/>
      <c r="AD339" s="170"/>
      <c r="AE339" s="170"/>
      <c r="AF339" s="170"/>
      <c r="AG339" s="170"/>
      <c r="AH339" s="170"/>
      <c r="AI339" s="170"/>
      <c r="AJ339" s="170"/>
      <c r="AK339" s="170"/>
      <c r="AL339" s="170"/>
      <c r="AM339" s="170"/>
      <c r="AN339" s="170"/>
      <c r="AO339" s="170"/>
      <c r="AP339" s="170"/>
      <c r="AQ339" s="170"/>
      <c r="AR339" s="170"/>
      <c r="AS339" s="170"/>
      <c r="AT339" s="170"/>
      <c r="AU339" s="170"/>
      <c r="AV339" s="170"/>
      <c r="AW339" s="170"/>
      <c r="AX339" s="170"/>
      <c r="AY339" s="170"/>
      <c r="AZ339" s="170"/>
      <c r="BA339" s="170"/>
      <c r="BB339" s="170"/>
      <c r="BC339" s="170"/>
      <c r="BD339" s="170"/>
      <c r="BE339" s="170"/>
      <c r="BF339" s="170"/>
      <c r="BG339" s="170"/>
      <c r="BH339" s="170"/>
      <c r="BI339" s="170"/>
      <c r="BJ339" s="170"/>
      <c r="BK339" s="170"/>
      <c r="BL339" s="170"/>
      <c r="BM339" s="170"/>
      <c r="BN339" s="170"/>
      <c r="BO339" s="170"/>
      <c r="BP339" s="170"/>
      <c r="BQ339" s="170"/>
      <c r="BR339" s="170"/>
      <c r="BS339" s="170"/>
      <c r="BT339" s="170"/>
      <c r="BU339" s="170"/>
      <c r="BV339" s="170"/>
      <c r="BW339" s="170"/>
      <c r="BX339" s="170"/>
      <c r="BY339" s="170"/>
      <c r="BZ339" s="170"/>
    </row>
    <row r="340" spans="1:78" x14ac:dyDescent="0.2">
      <c r="A340" s="173"/>
      <c r="B340" s="172"/>
      <c r="C340" s="172"/>
      <c r="D340" s="172"/>
      <c r="E340" s="172"/>
      <c r="F340" s="172"/>
      <c r="G340" s="172"/>
      <c r="H340" s="170"/>
      <c r="I340" s="170"/>
      <c r="J340" s="170"/>
      <c r="K340" s="170"/>
      <c r="L340" s="170"/>
      <c r="M340" s="170"/>
      <c r="N340" s="170"/>
      <c r="O340" s="170"/>
      <c r="P340" s="170"/>
      <c r="Q340" s="170"/>
      <c r="R340" s="170"/>
      <c r="S340" s="170"/>
      <c r="T340" s="170"/>
      <c r="U340" s="170"/>
      <c r="V340" s="170"/>
      <c r="W340" s="170"/>
      <c r="X340" s="170"/>
      <c r="Y340" s="170"/>
      <c r="Z340" s="170"/>
      <c r="AA340" s="170"/>
      <c r="AB340" s="170"/>
      <c r="AC340" s="170"/>
      <c r="AD340" s="170"/>
      <c r="AE340" s="170"/>
      <c r="AF340" s="170"/>
      <c r="AG340" s="170"/>
      <c r="AH340" s="170"/>
      <c r="AI340" s="170"/>
      <c r="AJ340" s="170"/>
      <c r="AK340" s="170"/>
      <c r="AL340" s="170"/>
      <c r="AM340" s="170"/>
      <c r="AN340" s="170"/>
      <c r="AO340" s="170"/>
      <c r="AP340" s="170"/>
      <c r="AQ340" s="170"/>
      <c r="AR340" s="170"/>
      <c r="AS340" s="170"/>
      <c r="AT340" s="170"/>
      <c r="AU340" s="170"/>
      <c r="AV340" s="170"/>
      <c r="AW340" s="170"/>
      <c r="AX340" s="170"/>
      <c r="AY340" s="170"/>
      <c r="AZ340" s="170"/>
      <c r="BA340" s="170"/>
      <c r="BB340" s="170"/>
      <c r="BC340" s="170"/>
      <c r="BD340" s="170"/>
      <c r="BE340" s="170"/>
      <c r="BF340" s="170"/>
      <c r="BG340" s="170"/>
      <c r="BH340" s="170"/>
      <c r="BI340" s="170"/>
      <c r="BJ340" s="170"/>
      <c r="BK340" s="170"/>
      <c r="BL340" s="170"/>
      <c r="BM340" s="170"/>
      <c r="BN340" s="170"/>
      <c r="BO340" s="170"/>
      <c r="BP340" s="170"/>
      <c r="BQ340" s="170"/>
      <c r="BR340" s="170"/>
      <c r="BS340" s="170"/>
      <c r="BT340" s="170"/>
      <c r="BU340" s="170"/>
      <c r="BV340" s="170"/>
      <c r="BW340" s="170"/>
      <c r="BX340" s="170"/>
      <c r="BY340" s="170"/>
      <c r="BZ340" s="170"/>
    </row>
    <row r="341" spans="1:78" x14ac:dyDescent="0.2">
      <c r="A341" s="173"/>
      <c r="B341" s="172"/>
      <c r="C341" s="172"/>
      <c r="D341" s="172"/>
      <c r="E341" s="172"/>
      <c r="F341" s="172"/>
      <c r="G341" s="172"/>
      <c r="H341" s="170"/>
      <c r="I341" s="170"/>
      <c r="J341" s="170"/>
      <c r="K341" s="170"/>
      <c r="L341" s="170"/>
      <c r="M341" s="170"/>
      <c r="N341" s="170"/>
      <c r="O341" s="170"/>
      <c r="P341" s="170"/>
      <c r="Q341" s="170"/>
      <c r="R341" s="170"/>
      <c r="S341" s="170"/>
      <c r="T341" s="170"/>
      <c r="U341" s="170"/>
      <c r="V341" s="170"/>
      <c r="W341" s="170"/>
      <c r="X341" s="170"/>
      <c r="Y341" s="170"/>
      <c r="Z341" s="170"/>
      <c r="AA341" s="170"/>
      <c r="AB341" s="170"/>
      <c r="AC341" s="170"/>
      <c r="AD341" s="170"/>
      <c r="AE341" s="170"/>
      <c r="AF341" s="170"/>
      <c r="AG341" s="170"/>
      <c r="AH341" s="170"/>
      <c r="AI341" s="170"/>
      <c r="AJ341" s="170"/>
      <c r="AK341" s="170"/>
      <c r="AL341" s="170"/>
      <c r="AM341" s="170"/>
      <c r="AN341" s="170"/>
      <c r="AO341" s="170"/>
      <c r="AP341" s="170"/>
      <c r="AQ341" s="170"/>
      <c r="AR341" s="170"/>
      <c r="AS341" s="170"/>
      <c r="AT341" s="170"/>
      <c r="AU341" s="170"/>
      <c r="AV341" s="170"/>
      <c r="AW341" s="170"/>
      <c r="AX341" s="170"/>
      <c r="AY341" s="170"/>
      <c r="AZ341" s="170"/>
      <c r="BA341" s="170"/>
      <c r="BB341" s="170"/>
      <c r="BC341" s="170"/>
      <c r="BD341" s="170"/>
      <c r="BE341" s="170"/>
      <c r="BF341" s="170"/>
      <c r="BG341" s="170"/>
      <c r="BH341" s="170"/>
      <c r="BI341" s="170"/>
      <c r="BJ341" s="170"/>
      <c r="BK341" s="170"/>
      <c r="BL341" s="170"/>
      <c r="BM341" s="170"/>
      <c r="BN341" s="170"/>
      <c r="BO341" s="170"/>
      <c r="BP341" s="170"/>
      <c r="BQ341" s="170"/>
      <c r="BR341" s="170"/>
      <c r="BS341" s="170"/>
      <c r="BT341" s="170"/>
      <c r="BU341" s="170"/>
      <c r="BV341" s="170"/>
      <c r="BW341" s="170"/>
      <c r="BX341" s="170"/>
      <c r="BY341" s="170"/>
      <c r="BZ341" s="170"/>
    </row>
    <row r="342" spans="1:78" x14ac:dyDescent="0.2">
      <c r="A342" s="173"/>
      <c r="B342" s="172"/>
      <c r="C342" s="172"/>
      <c r="D342" s="172"/>
      <c r="E342" s="172"/>
      <c r="F342" s="172"/>
      <c r="G342" s="172"/>
      <c r="H342" s="170"/>
      <c r="I342" s="170"/>
      <c r="J342" s="170"/>
      <c r="K342" s="170"/>
      <c r="L342" s="170"/>
      <c r="M342" s="170"/>
      <c r="N342" s="170"/>
      <c r="O342" s="170"/>
      <c r="P342" s="170"/>
      <c r="Q342" s="170"/>
      <c r="R342" s="170"/>
      <c r="S342" s="170"/>
      <c r="T342" s="170"/>
      <c r="U342" s="170"/>
      <c r="V342" s="170"/>
      <c r="W342" s="170"/>
      <c r="X342" s="170"/>
      <c r="Y342" s="170"/>
      <c r="Z342" s="170"/>
      <c r="AA342" s="170"/>
      <c r="AB342" s="170"/>
      <c r="AC342" s="170"/>
      <c r="AD342" s="170"/>
      <c r="AE342" s="170"/>
      <c r="AF342" s="170"/>
      <c r="AG342" s="170"/>
      <c r="AH342" s="170"/>
      <c r="AI342" s="170"/>
      <c r="AJ342" s="170"/>
      <c r="AK342" s="170"/>
      <c r="AL342" s="170"/>
      <c r="AM342" s="170"/>
      <c r="AN342" s="170"/>
      <c r="AO342" s="170"/>
      <c r="AP342" s="170"/>
      <c r="AQ342" s="170"/>
      <c r="AR342" s="170"/>
      <c r="AS342" s="170"/>
      <c r="AT342" s="170"/>
      <c r="AU342" s="170"/>
      <c r="AV342" s="170"/>
      <c r="AW342" s="170"/>
      <c r="AX342" s="170"/>
      <c r="AY342" s="170"/>
      <c r="AZ342" s="170"/>
      <c r="BA342" s="170"/>
      <c r="BB342" s="170"/>
      <c r="BC342" s="170"/>
      <c r="BD342" s="170"/>
      <c r="BE342" s="170"/>
      <c r="BF342" s="170"/>
      <c r="BG342" s="170"/>
      <c r="BH342" s="170"/>
      <c r="BI342" s="170"/>
      <c r="BJ342" s="170"/>
      <c r="BK342" s="170"/>
      <c r="BL342" s="170"/>
      <c r="BM342" s="170"/>
      <c r="BN342" s="170"/>
      <c r="BO342" s="170"/>
      <c r="BP342" s="170"/>
      <c r="BQ342" s="170"/>
      <c r="BR342" s="170"/>
      <c r="BS342" s="170"/>
      <c r="BT342" s="170"/>
      <c r="BU342" s="170"/>
      <c r="BV342" s="170"/>
      <c r="BW342" s="170"/>
      <c r="BX342" s="170"/>
      <c r="BY342" s="170"/>
      <c r="BZ342" s="170"/>
    </row>
    <row r="343" spans="1:78" x14ac:dyDescent="0.2">
      <c r="A343" s="173"/>
      <c r="B343" s="172"/>
      <c r="C343" s="172"/>
      <c r="D343" s="172"/>
      <c r="E343" s="172"/>
      <c r="F343" s="172"/>
      <c r="G343" s="172"/>
      <c r="H343" s="170"/>
      <c r="I343" s="170"/>
      <c r="J343" s="170"/>
      <c r="K343" s="170"/>
      <c r="L343" s="170"/>
      <c r="M343" s="170"/>
      <c r="N343" s="170"/>
      <c r="O343" s="170"/>
      <c r="P343" s="170"/>
      <c r="Q343" s="170"/>
      <c r="R343" s="170"/>
      <c r="S343" s="170"/>
      <c r="T343" s="170"/>
      <c r="U343" s="170"/>
      <c r="V343" s="170"/>
      <c r="W343" s="170"/>
      <c r="X343" s="170"/>
      <c r="Y343" s="170"/>
      <c r="Z343" s="170"/>
      <c r="AA343" s="170"/>
      <c r="AB343" s="170"/>
      <c r="AC343" s="170"/>
      <c r="AD343" s="170"/>
      <c r="AE343" s="170"/>
      <c r="AF343" s="170"/>
      <c r="AG343" s="170"/>
      <c r="AH343" s="170"/>
      <c r="AI343" s="170"/>
      <c r="AJ343" s="170"/>
      <c r="AK343" s="170"/>
      <c r="AL343" s="170"/>
      <c r="AM343" s="170"/>
      <c r="AN343" s="170"/>
      <c r="AO343" s="170"/>
      <c r="AP343" s="170"/>
      <c r="AQ343" s="170"/>
      <c r="AR343" s="170"/>
      <c r="AS343" s="170"/>
      <c r="AT343" s="170"/>
      <c r="AU343" s="170"/>
      <c r="AV343" s="170"/>
      <c r="AW343" s="170"/>
      <c r="AX343" s="170"/>
      <c r="AY343" s="170"/>
      <c r="AZ343" s="170"/>
      <c r="BA343" s="170"/>
      <c r="BB343" s="170"/>
      <c r="BC343" s="170"/>
      <c r="BD343" s="170"/>
      <c r="BE343" s="170"/>
      <c r="BF343" s="170"/>
      <c r="BG343" s="170"/>
      <c r="BH343" s="170"/>
      <c r="BI343" s="170"/>
      <c r="BJ343" s="170"/>
      <c r="BK343" s="170"/>
      <c r="BL343" s="170"/>
      <c r="BM343" s="170"/>
      <c r="BN343" s="170"/>
      <c r="BO343" s="170"/>
      <c r="BP343" s="170"/>
      <c r="BQ343" s="170"/>
      <c r="BR343" s="170"/>
      <c r="BS343" s="170"/>
      <c r="BT343" s="170"/>
      <c r="BU343" s="170"/>
      <c r="BV343" s="170"/>
      <c r="BW343" s="170"/>
      <c r="BX343" s="170"/>
      <c r="BY343" s="170"/>
      <c r="BZ343" s="170"/>
    </row>
    <row r="344" spans="1:78" x14ac:dyDescent="0.2">
      <c r="A344" s="173"/>
      <c r="B344" s="172"/>
      <c r="C344" s="172"/>
      <c r="D344" s="172"/>
      <c r="E344" s="172"/>
      <c r="F344" s="172"/>
      <c r="G344" s="172"/>
      <c r="H344" s="170"/>
      <c r="I344" s="170"/>
      <c r="J344" s="170"/>
      <c r="K344" s="170"/>
      <c r="L344" s="170"/>
      <c r="M344" s="170"/>
      <c r="N344" s="170"/>
      <c r="O344" s="170"/>
      <c r="P344" s="170"/>
      <c r="Q344" s="170"/>
      <c r="R344" s="170"/>
      <c r="S344" s="170"/>
      <c r="T344" s="170"/>
      <c r="U344" s="170"/>
      <c r="V344" s="170"/>
      <c r="W344" s="170"/>
      <c r="X344" s="170"/>
      <c r="Y344" s="170"/>
      <c r="Z344" s="170"/>
      <c r="AA344" s="170"/>
      <c r="AB344" s="170"/>
      <c r="AC344" s="170"/>
      <c r="AD344" s="170"/>
      <c r="AE344" s="170"/>
      <c r="AF344" s="170"/>
      <c r="AG344" s="170"/>
      <c r="AH344" s="170"/>
      <c r="AI344" s="170"/>
      <c r="AJ344" s="170"/>
      <c r="AK344" s="170"/>
      <c r="AL344" s="170"/>
      <c r="AM344" s="170"/>
      <c r="AN344" s="170"/>
      <c r="AO344" s="170"/>
      <c r="AP344" s="170"/>
      <c r="AQ344" s="170"/>
      <c r="AR344" s="170"/>
      <c r="AS344" s="170"/>
      <c r="AT344" s="170"/>
      <c r="AU344" s="170"/>
      <c r="AV344" s="170"/>
      <c r="AW344" s="170"/>
      <c r="AX344" s="170"/>
      <c r="AY344" s="170"/>
      <c r="AZ344" s="170"/>
      <c r="BA344" s="170"/>
      <c r="BB344" s="170"/>
      <c r="BC344" s="170"/>
      <c r="BD344" s="170"/>
      <c r="BE344" s="170"/>
      <c r="BF344" s="170"/>
      <c r="BG344" s="170"/>
      <c r="BH344" s="170"/>
      <c r="BI344" s="170"/>
      <c r="BJ344" s="170"/>
      <c r="BK344" s="170"/>
      <c r="BL344" s="170"/>
      <c r="BM344" s="170"/>
      <c r="BN344" s="170"/>
      <c r="BO344" s="170"/>
      <c r="BP344" s="170"/>
      <c r="BQ344" s="170"/>
      <c r="BR344" s="170"/>
      <c r="BS344" s="170"/>
      <c r="BT344" s="170"/>
      <c r="BU344" s="170"/>
      <c r="BV344" s="170"/>
      <c r="BW344" s="170"/>
      <c r="BX344" s="170"/>
      <c r="BY344" s="170"/>
      <c r="BZ344" s="170"/>
    </row>
    <row r="345" spans="1:78" x14ac:dyDescent="0.2">
      <c r="A345" s="173"/>
      <c r="B345" s="172"/>
      <c r="C345" s="172"/>
      <c r="D345" s="172"/>
      <c r="E345" s="172"/>
      <c r="F345" s="172"/>
      <c r="G345" s="172"/>
      <c r="H345" s="170"/>
      <c r="I345" s="170"/>
      <c r="J345" s="170"/>
      <c r="K345" s="170"/>
      <c r="L345" s="170"/>
      <c r="M345" s="170"/>
      <c r="N345" s="170"/>
      <c r="O345" s="170"/>
      <c r="P345" s="170"/>
      <c r="Q345" s="170"/>
      <c r="R345" s="170"/>
      <c r="S345" s="170"/>
      <c r="T345" s="170"/>
      <c r="U345" s="170"/>
      <c r="V345" s="170"/>
      <c r="W345" s="170"/>
      <c r="X345" s="170"/>
      <c r="Y345" s="170"/>
      <c r="Z345" s="170"/>
      <c r="AA345" s="170"/>
      <c r="AB345" s="170"/>
      <c r="AC345" s="170"/>
      <c r="AD345" s="170"/>
      <c r="AE345" s="170"/>
      <c r="AF345" s="170"/>
      <c r="AG345" s="170"/>
      <c r="AH345" s="170"/>
      <c r="AI345" s="170"/>
      <c r="AJ345" s="170"/>
      <c r="AK345" s="170"/>
      <c r="AL345" s="170"/>
      <c r="AM345" s="170"/>
      <c r="AN345" s="170"/>
      <c r="AO345" s="170"/>
      <c r="AP345" s="170"/>
      <c r="AQ345" s="170"/>
      <c r="AR345" s="170"/>
      <c r="AS345" s="170"/>
      <c r="AT345" s="170"/>
      <c r="AU345" s="170"/>
      <c r="AV345" s="170"/>
      <c r="AW345" s="170"/>
      <c r="AX345" s="170"/>
      <c r="AY345" s="170"/>
      <c r="AZ345" s="170"/>
      <c r="BA345" s="170"/>
      <c r="BB345" s="170"/>
      <c r="BC345" s="170"/>
      <c r="BD345" s="170"/>
      <c r="BE345" s="170"/>
      <c r="BF345" s="170"/>
      <c r="BG345" s="170"/>
      <c r="BH345" s="170"/>
      <c r="BI345" s="170"/>
      <c r="BJ345" s="170"/>
      <c r="BK345" s="170"/>
      <c r="BL345" s="170"/>
      <c r="BM345" s="170"/>
      <c r="BN345" s="170"/>
      <c r="BO345" s="170"/>
      <c r="BP345" s="170"/>
      <c r="BQ345" s="170"/>
      <c r="BR345" s="170"/>
      <c r="BS345" s="170"/>
      <c r="BT345" s="170"/>
      <c r="BU345" s="170"/>
      <c r="BV345" s="170"/>
      <c r="BW345" s="170"/>
      <c r="BX345" s="170"/>
      <c r="BY345" s="170"/>
      <c r="BZ345" s="170"/>
    </row>
    <row r="346" spans="1:78" x14ac:dyDescent="0.2">
      <c r="A346" s="173"/>
      <c r="B346" s="172"/>
      <c r="C346" s="172"/>
      <c r="D346" s="172"/>
      <c r="E346" s="172"/>
      <c r="F346" s="172"/>
      <c r="G346" s="172"/>
      <c r="H346" s="170"/>
      <c r="I346" s="170"/>
      <c r="J346" s="170"/>
      <c r="K346" s="170"/>
      <c r="L346" s="170"/>
      <c r="M346" s="170"/>
      <c r="N346" s="170"/>
      <c r="O346" s="170"/>
      <c r="P346" s="170"/>
      <c r="Q346" s="170"/>
      <c r="R346" s="170"/>
      <c r="S346" s="170"/>
      <c r="T346" s="170"/>
      <c r="U346" s="170"/>
      <c r="V346" s="170"/>
      <c r="W346" s="170"/>
      <c r="X346" s="170"/>
      <c r="Y346" s="170"/>
      <c r="Z346" s="170"/>
      <c r="AA346" s="170"/>
      <c r="AB346" s="170"/>
      <c r="AC346" s="170"/>
      <c r="AD346" s="170"/>
      <c r="AE346" s="170"/>
      <c r="AF346" s="170"/>
      <c r="AG346" s="170"/>
      <c r="AH346" s="170"/>
      <c r="AI346" s="170"/>
      <c r="AJ346" s="170"/>
      <c r="AK346" s="170"/>
      <c r="AL346" s="170"/>
      <c r="AM346" s="170"/>
      <c r="AN346" s="170"/>
      <c r="AO346" s="170"/>
      <c r="AP346" s="170"/>
      <c r="AQ346" s="170"/>
      <c r="AR346" s="170"/>
      <c r="AS346" s="170"/>
      <c r="AT346" s="170"/>
      <c r="AU346" s="170"/>
      <c r="AV346" s="170"/>
      <c r="AW346" s="170"/>
      <c r="AX346" s="170"/>
      <c r="AY346" s="170"/>
      <c r="AZ346" s="170"/>
      <c r="BA346" s="170"/>
      <c r="BB346" s="170"/>
      <c r="BC346" s="170"/>
      <c r="BD346" s="170"/>
      <c r="BE346" s="170"/>
      <c r="BF346" s="170"/>
      <c r="BG346" s="170"/>
      <c r="BH346" s="170"/>
      <c r="BI346" s="170"/>
      <c r="BJ346" s="170"/>
      <c r="BK346" s="170"/>
      <c r="BL346" s="170"/>
      <c r="BM346" s="170"/>
      <c r="BN346" s="170"/>
      <c r="BO346" s="170"/>
      <c r="BP346" s="170"/>
      <c r="BQ346" s="170"/>
      <c r="BR346" s="170"/>
      <c r="BS346" s="170"/>
      <c r="BT346" s="170"/>
      <c r="BU346" s="170"/>
      <c r="BV346" s="170"/>
      <c r="BW346" s="170"/>
      <c r="BX346" s="170"/>
      <c r="BY346" s="170"/>
      <c r="BZ346" s="170"/>
    </row>
    <row r="347" spans="1:78" x14ac:dyDescent="0.2">
      <c r="A347" s="173"/>
      <c r="B347" s="172"/>
      <c r="C347" s="172"/>
      <c r="D347" s="172"/>
      <c r="E347" s="172"/>
      <c r="F347" s="172"/>
      <c r="G347" s="172"/>
      <c r="H347" s="170"/>
      <c r="I347" s="170"/>
      <c r="J347" s="170"/>
      <c r="K347" s="170"/>
      <c r="L347" s="170"/>
      <c r="M347" s="170"/>
      <c r="N347" s="170"/>
      <c r="O347" s="170"/>
      <c r="P347" s="170"/>
      <c r="Q347" s="170"/>
      <c r="R347" s="170"/>
      <c r="S347" s="170"/>
      <c r="T347" s="170"/>
      <c r="U347" s="170"/>
      <c r="V347" s="170"/>
      <c r="W347" s="170"/>
      <c r="X347" s="170"/>
      <c r="Y347" s="170"/>
      <c r="Z347" s="170"/>
      <c r="AA347" s="170"/>
      <c r="AB347" s="170"/>
      <c r="AC347" s="170"/>
      <c r="AD347" s="170"/>
      <c r="AE347" s="170"/>
      <c r="AF347" s="170"/>
      <c r="AG347" s="170"/>
      <c r="AH347" s="170"/>
      <c r="AI347" s="170"/>
      <c r="AJ347" s="170"/>
      <c r="AK347" s="170"/>
      <c r="AL347" s="170"/>
      <c r="AM347" s="170"/>
      <c r="AN347" s="170"/>
      <c r="AO347" s="170"/>
      <c r="AP347" s="170"/>
      <c r="AQ347" s="170"/>
      <c r="AR347" s="170"/>
      <c r="AS347" s="170"/>
      <c r="AT347" s="170"/>
      <c r="AU347" s="170"/>
      <c r="AV347" s="170"/>
      <c r="AW347" s="170"/>
      <c r="AX347" s="170"/>
      <c r="AY347" s="170"/>
      <c r="AZ347" s="170"/>
      <c r="BA347" s="170"/>
      <c r="BB347" s="170"/>
      <c r="BC347" s="170"/>
      <c r="BD347" s="170"/>
      <c r="BE347" s="170"/>
      <c r="BF347" s="170"/>
      <c r="BG347" s="170"/>
      <c r="BH347" s="170"/>
      <c r="BI347" s="170"/>
      <c r="BJ347" s="170"/>
      <c r="BK347" s="170"/>
      <c r="BL347" s="170"/>
      <c r="BM347" s="170"/>
      <c r="BN347" s="170"/>
      <c r="BO347" s="170"/>
      <c r="BP347" s="170"/>
      <c r="BQ347" s="170"/>
      <c r="BR347" s="170"/>
      <c r="BS347" s="170"/>
      <c r="BT347" s="170"/>
      <c r="BU347" s="170"/>
      <c r="BV347" s="170"/>
      <c r="BW347" s="170"/>
      <c r="BX347" s="170"/>
      <c r="BY347" s="170"/>
      <c r="BZ347" s="170"/>
    </row>
    <row r="348" spans="1:78" x14ac:dyDescent="0.2">
      <c r="A348" s="173"/>
      <c r="B348" s="172"/>
      <c r="C348" s="172"/>
      <c r="D348" s="172"/>
      <c r="E348" s="172"/>
      <c r="F348" s="172"/>
      <c r="G348" s="172"/>
      <c r="H348" s="170"/>
      <c r="I348" s="170"/>
      <c r="J348" s="170"/>
      <c r="K348" s="170"/>
      <c r="L348" s="170"/>
      <c r="M348" s="170"/>
      <c r="N348" s="170"/>
      <c r="O348" s="170"/>
      <c r="P348" s="170"/>
      <c r="Q348" s="170"/>
      <c r="R348" s="170"/>
      <c r="S348" s="170"/>
      <c r="T348" s="170"/>
      <c r="U348" s="170"/>
      <c r="V348" s="170"/>
      <c r="W348" s="170"/>
      <c r="X348" s="170"/>
      <c r="Y348" s="170"/>
      <c r="Z348" s="170"/>
      <c r="AA348" s="170"/>
      <c r="AB348" s="170"/>
      <c r="AC348" s="170"/>
      <c r="AD348" s="170"/>
      <c r="AE348" s="170"/>
      <c r="AF348" s="170"/>
      <c r="AG348" s="170"/>
      <c r="AH348" s="170"/>
      <c r="AI348" s="170"/>
      <c r="AJ348" s="170"/>
      <c r="AK348" s="170"/>
      <c r="AL348" s="170"/>
      <c r="AM348" s="170"/>
      <c r="AN348" s="170"/>
      <c r="AO348" s="170"/>
      <c r="AP348" s="170"/>
      <c r="AQ348" s="170"/>
      <c r="AR348" s="170"/>
      <c r="AS348" s="170"/>
      <c r="AT348" s="170"/>
      <c r="AU348" s="170"/>
      <c r="AV348" s="170"/>
      <c r="AW348" s="170"/>
      <c r="AX348" s="170"/>
      <c r="AY348" s="170"/>
      <c r="AZ348" s="170"/>
      <c r="BA348" s="170"/>
      <c r="BB348" s="170"/>
      <c r="BC348" s="170"/>
      <c r="BD348" s="170"/>
      <c r="BE348" s="170"/>
      <c r="BF348" s="170"/>
      <c r="BG348" s="170"/>
      <c r="BH348" s="170"/>
      <c r="BI348" s="170"/>
      <c r="BJ348" s="170"/>
      <c r="BK348" s="170"/>
      <c r="BL348" s="170"/>
      <c r="BM348" s="170"/>
      <c r="BN348" s="170"/>
      <c r="BO348" s="170"/>
      <c r="BP348" s="170"/>
      <c r="BQ348" s="170"/>
      <c r="BR348" s="170"/>
      <c r="BS348" s="170"/>
      <c r="BT348" s="170"/>
      <c r="BU348" s="170"/>
      <c r="BV348" s="170"/>
      <c r="BW348" s="170"/>
      <c r="BX348" s="170"/>
      <c r="BY348" s="170"/>
      <c r="BZ348" s="170"/>
    </row>
    <row r="349" spans="1:78" x14ac:dyDescent="0.2">
      <c r="A349" s="173"/>
      <c r="B349" s="172"/>
      <c r="C349" s="172"/>
      <c r="D349" s="172"/>
      <c r="E349" s="172"/>
      <c r="F349" s="172"/>
      <c r="G349" s="172"/>
      <c r="H349" s="170"/>
      <c r="I349" s="170"/>
      <c r="J349" s="170"/>
      <c r="K349" s="170"/>
      <c r="L349" s="170"/>
      <c r="M349" s="170"/>
      <c r="N349" s="170"/>
      <c r="O349" s="170"/>
      <c r="P349" s="170"/>
      <c r="Q349" s="170"/>
      <c r="R349" s="170"/>
      <c r="S349" s="170"/>
      <c r="T349" s="170"/>
      <c r="U349" s="170"/>
      <c r="V349" s="170"/>
      <c r="W349" s="170"/>
      <c r="X349" s="170"/>
      <c r="Y349" s="170"/>
      <c r="Z349" s="170"/>
      <c r="AA349" s="170"/>
      <c r="AB349" s="170"/>
      <c r="AC349" s="170"/>
      <c r="AD349" s="170"/>
      <c r="AE349" s="170"/>
      <c r="AF349" s="170"/>
      <c r="AG349" s="170"/>
      <c r="AH349" s="170"/>
      <c r="AI349" s="170"/>
      <c r="AJ349" s="170"/>
      <c r="AK349" s="170"/>
      <c r="AL349" s="170"/>
      <c r="AM349" s="170"/>
      <c r="AN349" s="170"/>
      <c r="AO349" s="170"/>
      <c r="AP349" s="170"/>
      <c r="AQ349" s="170"/>
      <c r="AR349" s="170"/>
      <c r="AS349" s="170"/>
      <c r="AT349" s="170"/>
      <c r="AU349" s="170"/>
      <c r="AV349" s="170"/>
      <c r="AW349" s="170"/>
      <c r="AX349" s="170"/>
      <c r="AY349" s="170"/>
      <c r="AZ349" s="170"/>
      <c r="BA349" s="170"/>
      <c r="BB349" s="170"/>
      <c r="BC349" s="170"/>
      <c r="BD349" s="170"/>
      <c r="BE349" s="170"/>
      <c r="BF349" s="170"/>
      <c r="BG349" s="170"/>
      <c r="BH349" s="170"/>
      <c r="BI349" s="170"/>
      <c r="BJ349" s="170"/>
      <c r="BK349" s="170"/>
      <c r="BL349" s="170"/>
      <c r="BM349" s="170"/>
      <c r="BN349" s="170"/>
      <c r="BO349" s="170"/>
      <c r="BP349" s="170"/>
      <c r="BQ349" s="170"/>
      <c r="BR349" s="170"/>
      <c r="BS349" s="170"/>
      <c r="BT349" s="170"/>
      <c r="BU349" s="170"/>
      <c r="BV349" s="170"/>
      <c r="BW349" s="170"/>
      <c r="BX349" s="170"/>
      <c r="BY349" s="170"/>
      <c r="BZ349" s="170"/>
    </row>
    <row r="350" spans="1:78" x14ac:dyDescent="0.2">
      <c r="A350" s="173"/>
      <c r="B350" s="172"/>
      <c r="C350" s="172"/>
      <c r="D350" s="172"/>
      <c r="E350" s="172"/>
      <c r="F350" s="172"/>
      <c r="G350" s="172"/>
      <c r="H350" s="170"/>
      <c r="I350" s="170"/>
      <c r="J350" s="170"/>
      <c r="K350" s="170"/>
      <c r="L350" s="170"/>
      <c r="M350" s="170"/>
      <c r="N350" s="170"/>
      <c r="O350" s="170"/>
      <c r="P350" s="170"/>
      <c r="Q350" s="170"/>
      <c r="R350" s="170"/>
      <c r="S350" s="170"/>
      <c r="T350" s="170"/>
      <c r="U350" s="170"/>
      <c r="V350" s="170"/>
      <c r="W350" s="170"/>
      <c r="X350" s="170"/>
      <c r="Y350" s="170"/>
      <c r="Z350" s="170"/>
      <c r="AA350" s="170"/>
      <c r="AB350" s="170"/>
      <c r="AC350" s="170"/>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0"/>
      <c r="BH350" s="170"/>
      <c r="BI350" s="170"/>
      <c r="BJ350" s="170"/>
      <c r="BK350" s="170"/>
      <c r="BL350" s="170"/>
      <c r="BM350" s="170"/>
      <c r="BN350" s="170"/>
      <c r="BO350" s="170"/>
      <c r="BP350" s="170"/>
      <c r="BQ350" s="170"/>
      <c r="BR350" s="170"/>
      <c r="BS350" s="170"/>
      <c r="BT350" s="170"/>
      <c r="BU350" s="170"/>
      <c r="BV350" s="170"/>
      <c r="BW350" s="170"/>
      <c r="BX350" s="170"/>
      <c r="BY350" s="170"/>
      <c r="BZ350" s="170"/>
    </row>
    <row r="351" spans="1:78" x14ac:dyDescent="0.2">
      <c r="A351" s="173"/>
      <c r="B351" s="172"/>
      <c r="C351" s="172"/>
      <c r="D351" s="172"/>
      <c r="E351" s="172"/>
      <c r="F351" s="172"/>
      <c r="G351" s="172"/>
      <c r="H351" s="170"/>
      <c r="I351" s="170"/>
      <c r="J351" s="170"/>
      <c r="K351" s="170"/>
      <c r="L351" s="170"/>
      <c r="M351" s="170"/>
      <c r="N351" s="170"/>
      <c r="O351" s="170"/>
      <c r="P351" s="170"/>
      <c r="Q351" s="170"/>
      <c r="R351" s="170"/>
      <c r="S351" s="170"/>
      <c r="T351" s="170"/>
      <c r="U351" s="170"/>
      <c r="V351" s="170"/>
      <c r="W351" s="170"/>
      <c r="X351" s="170"/>
      <c r="Y351" s="170"/>
      <c r="Z351" s="170"/>
      <c r="AA351" s="170"/>
      <c r="AB351" s="170"/>
      <c r="AC351" s="170"/>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0"/>
      <c r="BH351" s="170"/>
      <c r="BI351" s="170"/>
      <c r="BJ351" s="170"/>
      <c r="BK351" s="170"/>
      <c r="BL351" s="170"/>
      <c r="BM351" s="170"/>
      <c r="BN351" s="170"/>
      <c r="BO351" s="170"/>
      <c r="BP351" s="170"/>
      <c r="BQ351" s="170"/>
      <c r="BR351" s="170"/>
      <c r="BS351" s="170"/>
      <c r="BT351" s="170"/>
      <c r="BU351" s="170"/>
      <c r="BV351" s="170"/>
      <c r="BW351" s="170"/>
      <c r="BX351" s="170"/>
      <c r="BY351" s="170"/>
      <c r="BZ351" s="170"/>
    </row>
    <row r="352" spans="1:78" x14ac:dyDescent="0.2">
      <c r="A352" s="173"/>
      <c r="B352" s="172"/>
      <c r="C352" s="172"/>
      <c r="D352" s="172"/>
      <c r="E352" s="172"/>
      <c r="F352" s="172"/>
      <c r="G352" s="172"/>
      <c r="H352" s="170"/>
      <c r="I352" s="170"/>
      <c r="J352" s="170"/>
      <c r="K352" s="170"/>
      <c r="L352" s="170"/>
      <c r="M352" s="170"/>
      <c r="N352" s="170"/>
      <c r="O352" s="170"/>
      <c r="P352" s="170"/>
      <c r="Q352" s="170"/>
      <c r="R352" s="170"/>
      <c r="S352" s="170"/>
      <c r="T352" s="170"/>
      <c r="U352" s="170"/>
      <c r="V352" s="170"/>
      <c r="W352" s="170"/>
      <c r="X352" s="170"/>
      <c r="Y352" s="170"/>
      <c r="Z352" s="170"/>
      <c r="AA352" s="170"/>
      <c r="AB352" s="170"/>
      <c r="AC352" s="170"/>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170"/>
      <c r="BM352" s="170"/>
      <c r="BN352" s="170"/>
      <c r="BO352" s="170"/>
      <c r="BP352" s="170"/>
      <c r="BQ352" s="170"/>
      <c r="BR352" s="170"/>
      <c r="BS352" s="170"/>
      <c r="BT352" s="170"/>
      <c r="BU352" s="170"/>
      <c r="BV352" s="170"/>
      <c r="BW352" s="170"/>
      <c r="BX352" s="170"/>
      <c r="BY352" s="170"/>
      <c r="BZ352" s="170"/>
    </row>
    <row r="353" spans="1:78" x14ac:dyDescent="0.2">
      <c r="A353" s="173"/>
      <c r="B353" s="172"/>
      <c r="C353" s="172"/>
      <c r="D353" s="172"/>
      <c r="E353" s="172"/>
      <c r="F353" s="172"/>
      <c r="G353" s="172"/>
      <c r="H353" s="170"/>
      <c r="I353" s="170"/>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170"/>
      <c r="BM353" s="170"/>
      <c r="BN353" s="170"/>
      <c r="BO353" s="170"/>
      <c r="BP353" s="170"/>
      <c r="BQ353" s="170"/>
      <c r="BR353" s="170"/>
      <c r="BS353" s="170"/>
      <c r="BT353" s="170"/>
      <c r="BU353" s="170"/>
      <c r="BV353" s="170"/>
      <c r="BW353" s="170"/>
      <c r="BX353" s="170"/>
      <c r="BY353" s="170"/>
      <c r="BZ353" s="170"/>
    </row>
    <row r="354" spans="1:78" x14ac:dyDescent="0.2">
      <c r="A354" s="173"/>
      <c r="B354" s="172"/>
      <c r="C354" s="172"/>
      <c r="D354" s="172"/>
      <c r="E354" s="172"/>
      <c r="F354" s="172"/>
      <c r="G354" s="172"/>
      <c r="H354" s="170"/>
      <c r="I354" s="170"/>
      <c r="J354" s="170"/>
      <c r="K354" s="170"/>
      <c r="L354" s="170"/>
      <c r="M354" s="170"/>
      <c r="N354" s="170"/>
      <c r="O354" s="170"/>
      <c r="P354" s="170"/>
      <c r="Q354" s="170"/>
      <c r="R354" s="170"/>
      <c r="S354" s="170"/>
      <c r="T354" s="170"/>
      <c r="U354" s="170"/>
      <c r="V354" s="170"/>
      <c r="W354" s="170"/>
      <c r="X354" s="170"/>
      <c r="Y354" s="170"/>
      <c r="Z354" s="170"/>
      <c r="AA354" s="170"/>
      <c r="AB354" s="170"/>
      <c r="AC354" s="170"/>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170"/>
      <c r="BM354" s="170"/>
      <c r="BN354" s="170"/>
      <c r="BO354" s="170"/>
      <c r="BP354" s="170"/>
      <c r="BQ354" s="170"/>
      <c r="BR354" s="170"/>
      <c r="BS354" s="170"/>
      <c r="BT354" s="170"/>
      <c r="BU354" s="170"/>
      <c r="BV354" s="170"/>
      <c r="BW354" s="170"/>
      <c r="BX354" s="170"/>
      <c r="BY354" s="170"/>
      <c r="BZ354" s="170"/>
    </row>
    <row r="355" spans="1:78" x14ac:dyDescent="0.2">
      <c r="A355" s="173"/>
      <c r="B355" s="172"/>
      <c r="C355" s="172"/>
      <c r="D355" s="172"/>
      <c r="E355" s="172"/>
      <c r="F355" s="172"/>
      <c r="G355" s="172"/>
      <c r="H355" s="170"/>
      <c r="I355" s="170"/>
      <c r="J355" s="170"/>
      <c r="K355" s="170"/>
      <c r="L355" s="170"/>
      <c r="M355" s="170"/>
      <c r="N355" s="170"/>
      <c r="O355" s="170"/>
      <c r="P355" s="170"/>
      <c r="Q355" s="170"/>
      <c r="R355" s="170"/>
      <c r="S355" s="170"/>
      <c r="T355" s="170"/>
      <c r="U355" s="170"/>
      <c r="V355" s="170"/>
      <c r="W355" s="170"/>
      <c r="X355" s="170"/>
      <c r="Y355" s="170"/>
      <c r="Z355" s="170"/>
      <c r="AA355" s="170"/>
      <c r="AB355" s="170"/>
      <c r="AC355" s="170"/>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170"/>
      <c r="BM355" s="170"/>
      <c r="BN355" s="170"/>
      <c r="BO355" s="170"/>
      <c r="BP355" s="170"/>
      <c r="BQ355" s="170"/>
      <c r="BR355" s="170"/>
      <c r="BS355" s="170"/>
      <c r="BT355" s="170"/>
      <c r="BU355" s="170"/>
      <c r="BV355" s="170"/>
      <c r="BW355" s="170"/>
      <c r="BX355" s="170"/>
      <c r="BY355" s="170"/>
      <c r="BZ355" s="170"/>
    </row>
    <row r="356" spans="1:78" x14ac:dyDescent="0.2">
      <c r="A356" s="173"/>
      <c r="B356" s="172"/>
      <c r="C356" s="172"/>
      <c r="D356" s="172"/>
      <c r="E356" s="172"/>
      <c r="F356" s="172"/>
      <c r="G356" s="172"/>
      <c r="H356" s="170"/>
      <c r="I356" s="170"/>
      <c r="J356" s="170"/>
      <c r="K356" s="170"/>
      <c r="L356" s="170"/>
      <c r="M356" s="170"/>
      <c r="N356" s="170"/>
      <c r="O356" s="170"/>
      <c r="P356" s="170"/>
      <c r="Q356" s="170"/>
      <c r="R356" s="170"/>
      <c r="S356" s="170"/>
      <c r="T356" s="170"/>
      <c r="U356" s="170"/>
      <c r="V356" s="170"/>
      <c r="W356" s="170"/>
      <c r="X356" s="170"/>
      <c r="Y356" s="170"/>
      <c r="Z356" s="170"/>
      <c r="AA356" s="170"/>
      <c r="AB356" s="170"/>
      <c r="AC356" s="170"/>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170"/>
      <c r="BM356" s="170"/>
      <c r="BN356" s="170"/>
      <c r="BO356" s="170"/>
      <c r="BP356" s="170"/>
      <c r="BQ356" s="170"/>
      <c r="BR356" s="170"/>
      <c r="BS356" s="170"/>
      <c r="BT356" s="170"/>
      <c r="BU356" s="170"/>
      <c r="BV356" s="170"/>
      <c r="BW356" s="170"/>
      <c r="BX356" s="170"/>
      <c r="BY356" s="170"/>
      <c r="BZ356" s="170"/>
    </row>
    <row r="357" spans="1:78" x14ac:dyDescent="0.2">
      <c r="A357" s="173"/>
      <c r="B357" s="172"/>
      <c r="C357" s="172"/>
      <c r="D357" s="172"/>
      <c r="E357" s="172"/>
      <c r="F357" s="172"/>
      <c r="G357" s="172"/>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70"/>
      <c r="BB357" s="170"/>
      <c r="BC357" s="170"/>
      <c r="BD357" s="170"/>
      <c r="BE357" s="170"/>
      <c r="BF357" s="170"/>
      <c r="BG357" s="170"/>
      <c r="BH357" s="170"/>
      <c r="BI357" s="170"/>
      <c r="BJ357" s="170"/>
      <c r="BK357" s="170"/>
      <c r="BL357" s="170"/>
      <c r="BM357" s="170"/>
      <c r="BN357" s="170"/>
      <c r="BO357" s="170"/>
      <c r="BP357" s="170"/>
      <c r="BQ357" s="170"/>
      <c r="BR357" s="170"/>
      <c r="BS357" s="170"/>
      <c r="BT357" s="170"/>
      <c r="BU357" s="170"/>
      <c r="BV357" s="170"/>
      <c r="BW357" s="170"/>
      <c r="BX357" s="170"/>
      <c r="BY357" s="170"/>
      <c r="BZ357" s="170"/>
    </row>
    <row r="358" spans="1:78" x14ac:dyDescent="0.2">
      <c r="A358" s="173"/>
      <c r="B358" s="172"/>
      <c r="C358" s="172"/>
      <c r="D358" s="172"/>
      <c r="E358" s="172"/>
      <c r="F358" s="172"/>
      <c r="G358" s="172"/>
      <c r="H358" s="170"/>
      <c r="I358" s="170"/>
      <c r="J358" s="170"/>
      <c r="K358" s="170"/>
      <c r="L358" s="170"/>
      <c r="M358" s="170"/>
      <c r="N358" s="170"/>
      <c r="O358" s="170"/>
      <c r="P358" s="170"/>
      <c r="Q358" s="170"/>
      <c r="R358" s="170"/>
      <c r="S358" s="170"/>
      <c r="T358" s="170"/>
      <c r="U358" s="170"/>
      <c r="V358" s="170"/>
      <c r="W358" s="170"/>
      <c r="X358" s="170"/>
      <c r="Y358" s="170"/>
      <c r="Z358" s="170"/>
      <c r="AA358" s="170"/>
      <c r="AB358" s="170"/>
      <c r="AC358" s="170"/>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c r="BA358" s="170"/>
      <c r="BB358" s="170"/>
      <c r="BC358" s="170"/>
      <c r="BD358" s="170"/>
      <c r="BE358" s="170"/>
      <c r="BF358" s="170"/>
      <c r="BG358" s="170"/>
      <c r="BH358" s="170"/>
      <c r="BI358" s="170"/>
      <c r="BJ358" s="170"/>
      <c r="BK358" s="170"/>
      <c r="BL358" s="170"/>
      <c r="BM358" s="170"/>
      <c r="BN358" s="170"/>
      <c r="BO358" s="170"/>
      <c r="BP358" s="170"/>
      <c r="BQ358" s="170"/>
      <c r="BR358" s="170"/>
      <c r="BS358" s="170"/>
      <c r="BT358" s="170"/>
      <c r="BU358" s="170"/>
      <c r="BV358" s="170"/>
      <c r="BW358" s="170"/>
      <c r="BX358" s="170"/>
      <c r="BY358" s="170"/>
      <c r="BZ358" s="170"/>
    </row>
    <row r="359" spans="1:78" x14ac:dyDescent="0.2">
      <c r="A359" s="173"/>
      <c r="B359" s="172"/>
      <c r="C359" s="172"/>
      <c r="D359" s="172"/>
      <c r="E359" s="172"/>
      <c r="F359" s="172"/>
      <c r="G359" s="172"/>
      <c r="H359" s="170"/>
      <c r="I359" s="170"/>
      <c r="J359" s="170"/>
      <c r="K359" s="170"/>
      <c r="L359" s="170"/>
      <c r="M359" s="170"/>
      <c r="N359" s="170"/>
      <c r="O359" s="170"/>
      <c r="P359" s="170"/>
      <c r="Q359" s="170"/>
      <c r="R359" s="170"/>
      <c r="S359" s="170"/>
      <c r="T359" s="170"/>
      <c r="U359" s="170"/>
      <c r="V359" s="170"/>
      <c r="W359" s="170"/>
      <c r="X359" s="170"/>
      <c r="Y359" s="170"/>
      <c r="Z359" s="170"/>
      <c r="AA359" s="170"/>
      <c r="AB359" s="170"/>
      <c r="AC359" s="170"/>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c r="BA359" s="170"/>
      <c r="BB359" s="170"/>
      <c r="BC359" s="170"/>
      <c r="BD359" s="170"/>
      <c r="BE359" s="170"/>
      <c r="BF359" s="170"/>
      <c r="BG359" s="170"/>
      <c r="BH359" s="170"/>
      <c r="BI359" s="170"/>
      <c r="BJ359" s="170"/>
      <c r="BK359" s="170"/>
      <c r="BL359" s="170"/>
      <c r="BM359" s="170"/>
      <c r="BN359" s="170"/>
      <c r="BO359" s="170"/>
      <c r="BP359" s="170"/>
      <c r="BQ359" s="170"/>
      <c r="BR359" s="170"/>
      <c r="BS359" s="170"/>
      <c r="BT359" s="170"/>
      <c r="BU359" s="170"/>
      <c r="BV359" s="170"/>
      <c r="BW359" s="170"/>
      <c r="BX359" s="170"/>
      <c r="BY359" s="170"/>
      <c r="BZ359" s="170"/>
    </row>
    <row r="360" spans="1:78" x14ac:dyDescent="0.2">
      <c r="A360" s="173"/>
      <c r="B360" s="172"/>
      <c r="C360" s="172"/>
      <c r="D360" s="172"/>
      <c r="E360" s="172"/>
      <c r="F360" s="172"/>
      <c r="G360" s="172"/>
      <c r="H360" s="170"/>
      <c r="I360" s="170"/>
      <c r="J360" s="170"/>
      <c r="K360" s="170"/>
      <c r="L360" s="170"/>
      <c r="M360" s="170"/>
      <c r="N360" s="170"/>
      <c r="O360" s="170"/>
      <c r="P360" s="170"/>
      <c r="Q360" s="170"/>
      <c r="R360" s="170"/>
      <c r="S360" s="170"/>
      <c r="T360" s="170"/>
      <c r="U360" s="170"/>
      <c r="V360" s="170"/>
      <c r="W360" s="170"/>
      <c r="X360" s="170"/>
      <c r="Y360" s="170"/>
      <c r="Z360" s="170"/>
      <c r="AA360" s="170"/>
      <c r="AB360" s="170"/>
      <c r="AC360" s="170"/>
      <c r="AD360" s="170"/>
      <c r="AE360" s="170"/>
      <c r="AF360" s="170"/>
      <c r="AG360" s="170"/>
      <c r="AH360" s="170"/>
      <c r="AI360" s="170"/>
      <c r="AJ360" s="170"/>
      <c r="AK360" s="170"/>
      <c r="AL360" s="170"/>
      <c r="AM360" s="170"/>
      <c r="AN360" s="170"/>
      <c r="AO360" s="170"/>
      <c r="AP360" s="170"/>
      <c r="AQ360" s="170"/>
      <c r="AR360" s="170"/>
      <c r="AS360" s="170"/>
      <c r="AT360" s="170"/>
      <c r="AU360" s="170"/>
      <c r="AV360" s="170"/>
      <c r="AW360" s="170"/>
      <c r="AX360" s="170"/>
      <c r="AY360" s="170"/>
      <c r="AZ360" s="170"/>
      <c r="BA360" s="170"/>
      <c r="BB360" s="170"/>
      <c r="BC360" s="170"/>
      <c r="BD360" s="170"/>
      <c r="BE360" s="170"/>
      <c r="BF360" s="170"/>
      <c r="BG360" s="170"/>
      <c r="BH360" s="170"/>
      <c r="BI360" s="170"/>
      <c r="BJ360" s="170"/>
      <c r="BK360" s="170"/>
      <c r="BL360" s="170"/>
      <c r="BM360" s="170"/>
      <c r="BN360" s="170"/>
      <c r="BO360" s="170"/>
      <c r="BP360" s="170"/>
      <c r="BQ360" s="170"/>
      <c r="BR360" s="170"/>
      <c r="BS360" s="170"/>
      <c r="BT360" s="170"/>
      <c r="BU360" s="170"/>
      <c r="BV360" s="170"/>
      <c r="BW360" s="170"/>
      <c r="BX360" s="170"/>
      <c r="BY360" s="170"/>
      <c r="BZ360" s="170"/>
    </row>
    <row r="361" spans="1:78" x14ac:dyDescent="0.2">
      <c r="A361" s="173"/>
      <c r="B361" s="172"/>
      <c r="C361" s="172"/>
      <c r="D361" s="172"/>
      <c r="E361" s="172"/>
      <c r="F361" s="172"/>
      <c r="G361" s="172"/>
      <c r="H361" s="170"/>
      <c r="I361" s="170"/>
      <c r="J361" s="170"/>
      <c r="K361" s="170"/>
      <c r="L361" s="170"/>
      <c r="M361" s="170"/>
      <c r="N361" s="170"/>
      <c r="O361" s="170"/>
      <c r="P361" s="170"/>
      <c r="Q361" s="170"/>
      <c r="R361" s="170"/>
      <c r="S361" s="170"/>
      <c r="T361" s="170"/>
      <c r="U361" s="170"/>
      <c r="V361" s="170"/>
      <c r="W361" s="170"/>
      <c r="X361" s="170"/>
      <c r="Y361" s="170"/>
      <c r="Z361" s="170"/>
      <c r="AA361" s="170"/>
      <c r="AB361" s="170"/>
      <c r="AC361" s="170"/>
      <c r="AD361" s="170"/>
      <c r="AE361" s="170"/>
      <c r="AF361" s="170"/>
      <c r="AG361" s="170"/>
      <c r="AH361" s="170"/>
      <c r="AI361" s="170"/>
      <c r="AJ361" s="170"/>
      <c r="AK361" s="170"/>
      <c r="AL361" s="170"/>
      <c r="AM361" s="170"/>
      <c r="AN361" s="170"/>
      <c r="AO361" s="170"/>
      <c r="AP361" s="170"/>
      <c r="AQ361" s="170"/>
      <c r="AR361" s="170"/>
      <c r="AS361" s="170"/>
      <c r="AT361" s="170"/>
      <c r="AU361" s="170"/>
      <c r="AV361" s="170"/>
      <c r="AW361" s="170"/>
      <c r="AX361" s="170"/>
      <c r="AY361" s="170"/>
      <c r="AZ361" s="170"/>
      <c r="BA361" s="170"/>
      <c r="BB361" s="170"/>
      <c r="BC361" s="170"/>
      <c r="BD361" s="170"/>
      <c r="BE361" s="170"/>
      <c r="BF361" s="170"/>
      <c r="BG361" s="170"/>
      <c r="BH361" s="170"/>
      <c r="BI361" s="170"/>
      <c r="BJ361" s="170"/>
      <c r="BK361" s="170"/>
      <c r="BL361" s="170"/>
      <c r="BM361" s="170"/>
      <c r="BN361" s="170"/>
      <c r="BO361" s="170"/>
      <c r="BP361" s="170"/>
      <c r="BQ361" s="170"/>
      <c r="BR361" s="170"/>
      <c r="BS361" s="170"/>
      <c r="BT361" s="170"/>
      <c r="BU361" s="170"/>
      <c r="BV361" s="170"/>
      <c r="BW361" s="170"/>
      <c r="BX361" s="170"/>
      <c r="BY361" s="170"/>
      <c r="BZ361" s="170"/>
    </row>
    <row r="362" spans="1:78" x14ac:dyDescent="0.2">
      <c r="A362" s="173"/>
      <c r="B362" s="172"/>
      <c r="C362" s="172"/>
      <c r="D362" s="172"/>
      <c r="E362" s="172"/>
      <c r="F362" s="172"/>
      <c r="G362" s="172"/>
      <c r="H362" s="170"/>
      <c r="I362" s="170"/>
      <c r="J362" s="170"/>
      <c r="K362" s="170"/>
      <c r="L362" s="170"/>
      <c r="M362" s="170"/>
      <c r="N362" s="170"/>
      <c r="O362" s="170"/>
      <c r="P362" s="170"/>
      <c r="Q362" s="170"/>
      <c r="R362" s="170"/>
      <c r="S362" s="170"/>
      <c r="T362" s="170"/>
      <c r="U362" s="170"/>
      <c r="V362" s="170"/>
      <c r="W362" s="170"/>
      <c r="X362" s="170"/>
      <c r="Y362" s="170"/>
      <c r="Z362" s="170"/>
      <c r="AA362" s="170"/>
      <c r="AB362" s="170"/>
      <c r="AC362" s="170"/>
      <c r="AD362" s="170"/>
      <c r="AE362" s="170"/>
      <c r="AF362" s="170"/>
      <c r="AG362" s="170"/>
      <c r="AH362" s="170"/>
      <c r="AI362" s="170"/>
      <c r="AJ362" s="170"/>
      <c r="AK362" s="170"/>
      <c r="AL362" s="170"/>
      <c r="AM362" s="170"/>
      <c r="AN362" s="170"/>
      <c r="AO362" s="170"/>
      <c r="AP362" s="170"/>
      <c r="AQ362" s="170"/>
      <c r="AR362" s="170"/>
      <c r="AS362" s="170"/>
      <c r="AT362" s="170"/>
      <c r="AU362" s="170"/>
      <c r="AV362" s="170"/>
      <c r="AW362" s="170"/>
      <c r="AX362" s="170"/>
      <c r="AY362" s="170"/>
      <c r="AZ362" s="170"/>
      <c r="BA362" s="170"/>
      <c r="BB362" s="170"/>
      <c r="BC362" s="170"/>
      <c r="BD362" s="170"/>
      <c r="BE362" s="170"/>
      <c r="BF362" s="170"/>
      <c r="BG362" s="170"/>
      <c r="BH362" s="170"/>
      <c r="BI362" s="170"/>
      <c r="BJ362" s="170"/>
      <c r="BK362" s="170"/>
      <c r="BL362" s="170"/>
      <c r="BM362" s="170"/>
      <c r="BN362" s="170"/>
      <c r="BO362" s="170"/>
      <c r="BP362" s="170"/>
      <c r="BQ362" s="170"/>
      <c r="BR362" s="170"/>
      <c r="BS362" s="170"/>
      <c r="BT362" s="170"/>
      <c r="BU362" s="170"/>
      <c r="BV362" s="170"/>
      <c r="BW362" s="170"/>
      <c r="BX362" s="170"/>
      <c r="BY362" s="170"/>
      <c r="BZ362" s="170"/>
    </row>
    <row r="363" spans="1:78" x14ac:dyDescent="0.2">
      <c r="A363" s="173"/>
      <c r="B363" s="172"/>
      <c r="C363" s="172"/>
      <c r="D363" s="172"/>
      <c r="E363" s="172"/>
      <c r="F363" s="172"/>
      <c r="G363" s="172"/>
      <c r="H363" s="170"/>
      <c r="I363" s="170"/>
      <c r="J363" s="170"/>
      <c r="K363" s="170"/>
      <c r="L363" s="170"/>
      <c r="M363" s="170"/>
      <c r="N363" s="170"/>
      <c r="O363" s="170"/>
      <c r="P363" s="170"/>
      <c r="Q363" s="170"/>
      <c r="R363" s="170"/>
      <c r="S363" s="170"/>
      <c r="T363" s="170"/>
      <c r="U363" s="170"/>
      <c r="V363" s="170"/>
      <c r="W363" s="170"/>
      <c r="X363" s="170"/>
      <c r="Y363" s="170"/>
      <c r="Z363" s="170"/>
      <c r="AA363" s="170"/>
      <c r="AB363" s="170"/>
      <c r="AC363" s="170"/>
      <c r="AD363" s="170"/>
      <c r="AE363" s="170"/>
      <c r="AF363" s="170"/>
      <c r="AG363" s="170"/>
      <c r="AH363" s="170"/>
      <c r="AI363" s="170"/>
      <c r="AJ363" s="170"/>
      <c r="AK363" s="170"/>
      <c r="AL363" s="170"/>
      <c r="AM363" s="170"/>
      <c r="AN363" s="170"/>
      <c r="AO363" s="170"/>
      <c r="AP363" s="170"/>
      <c r="AQ363" s="170"/>
      <c r="AR363" s="170"/>
      <c r="AS363" s="170"/>
      <c r="AT363" s="170"/>
      <c r="AU363" s="170"/>
      <c r="AV363" s="170"/>
      <c r="AW363" s="170"/>
      <c r="AX363" s="170"/>
      <c r="AY363" s="170"/>
      <c r="AZ363" s="170"/>
      <c r="BA363" s="170"/>
      <c r="BB363" s="170"/>
      <c r="BC363" s="170"/>
      <c r="BD363" s="170"/>
      <c r="BE363" s="170"/>
      <c r="BF363" s="170"/>
      <c r="BG363" s="170"/>
      <c r="BH363" s="170"/>
      <c r="BI363" s="170"/>
      <c r="BJ363" s="170"/>
      <c r="BK363" s="170"/>
      <c r="BL363" s="170"/>
      <c r="BM363" s="170"/>
      <c r="BN363" s="170"/>
      <c r="BO363" s="170"/>
      <c r="BP363" s="170"/>
      <c r="BQ363" s="170"/>
      <c r="BR363" s="170"/>
      <c r="BS363" s="170"/>
      <c r="BT363" s="170"/>
      <c r="BU363" s="170"/>
      <c r="BV363" s="170"/>
      <c r="BW363" s="170"/>
      <c r="BX363" s="170"/>
      <c r="BY363" s="170"/>
      <c r="BZ363" s="170"/>
    </row>
    <row r="364" spans="1:78" x14ac:dyDescent="0.2">
      <c r="A364" s="173"/>
      <c r="B364" s="172"/>
      <c r="C364" s="172"/>
      <c r="D364" s="172"/>
      <c r="E364" s="172"/>
      <c r="F364" s="172"/>
      <c r="G364" s="172"/>
      <c r="H364" s="170"/>
      <c r="I364" s="170"/>
      <c r="J364" s="170"/>
      <c r="K364" s="170"/>
      <c r="L364" s="170"/>
      <c r="M364" s="170"/>
      <c r="N364" s="170"/>
      <c r="O364" s="170"/>
      <c r="P364" s="170"/>
      <c r="Q364" s="170"/>
      <c r="R364" s="170"/>
      <c r="S364" s="170"/>
      <c r="T364" s="170"/>
      <c r="U364" s="170"/>
      <c r="V364" s="170"/>
      <c r="W364" s="170"/>
      <c r="X364" s="170"/>
      <c r="Y364" s="170"/>
      <c r="Z364" s="170"/>
      <c r="AA364" s="170"/>
      <c r="AB364" s="170"/>
      <c r="AC364" s="170"/>
      <c r="AD364" s="170"/>
      <c r="AE364" s="170"/>
      <c r="AF364" s="170"/>
      <c r="AG364" s="170"/>
      <c r="AH364" s="170"/>
      <c r="AI364" s="170"/>
      <c r="AJ364" s="170"/>
      <c r="AK364" s="170"/>
      <c r="AL364" s="170"/>
      <c r="AM364" s="170"/>
      <c r="AN364" s="170"/>
      <c r="AO364" s="170"/>
      <c r="AP364" s="170"/>
      <c r="AQ364" s="170"/>
      <c r="AR364" s="170"/>
      <c r="AS364" s="170"/>
      <c r="AT364" s="170"/>
      <c r="AU364" s="170"/>
      <c r="AV364" s="170"/>
      <c r="AW364" s="170"/>
      <c r="AX364" s="170"/>
      <c r="AY364" s="170"/>
      <c r="AZ364" s="170"/>
      <c r="BA364" s="170"/>
      <c r="BB364" s="170"/>
      <c r="BC364" s="170"/>
      <c r="BD364" s="170"/>
      <c r="BE364" s="170"/>
      <c r="BF364" s="170"/>
      <c r="BG364" s="170"/>
      <c r="BH364" s="170"/>
      <c r="BI364" s="170"/>
      <c r="BJ364" s="170"/>
      <c r="BK364" s="170"/>
      <c r="BL364" s="170"/>
      <c r="BM364" s="170"/>
      <c r="BN364" s="170"/>
      <c r="BO364" s="170"/>
      <c r="BP364" s="170"/>
      <c r="BQ364" s="170"/>
      <c r="BR364" s="170"/>
      <c r="BS364" s="170"/>
      <c r="BT364" s="170"/>
      <c r="BU364" s="170"/>
      <c r="BV364" s="170"/>
      <c r="BW364" s="170"/>
      <c r="BX364" s="170"/>
      <c r="BY364" s="170"/>
      <c r="BZ364" s="170"/>
    </row>
    <row r="365" spans="1:78" x14ac:dyDescent="0.2">
      <c r="A365" s="173"/>
      <c r="B365" s="172"/>
      <c r="C365" s="172"/>
      <c r="D365" s="172"/>
      <c r="E365" s="172"/>
      <c r="F365" s="172"/>
      <c r="G365" s="172"/>
      <c r="H365" s="170"/>
      <c r="I365" s="170"/>
      <c r="J365" s="170"/>
      <c r="K365" s="170"/>
      <c r="L365" s="170"/>
      <c r="M365" s="170"/>
      <c r="N365" s="170"/>
      <c r="O365" s="170"/>
      <c r="P365" s="170"/>
      <c r="Q365" s="170"/>
      <c r="R365" s="170"/>
      <c r="S365" s="170"/>
      <c r="T365" s="170"/>
      <c r="U365" s="170"/>
      <c r="V365" s="170"/>
      <c r="W365" s="170"/>
      <c r="X365" s="170"/>
      <c r="Y365" s="170"/>
      <c r="Z365" s="170"/>
      <c r="AA365" s="170"/>
      <c r="AB365" s="170"/>
      <c r="AC365" s="170"/>
      <c r="AD365" s="170"/>
      <c r="AE365" s="170"/>
      <c r="AF365" s="170"/>
      <c r="AG365" s="170"/>
      <c r="AH365" s="170"/>
      <c r="AI365" s="170"/>
      <c r="AJ365" s="170"/>
      <c r="AK365" s="170"/>
      <c r="AL365" s="170"/>
      <c r="AM365" s="170"/>
      <c r="AN365" s="170"/>
      <c r="AO365" s="170"/>
      <c r="AP365" s="170"/>
      <c r="AQ365" s="170"/>
      <c r="AR365" s="170"/>
      <c r="AS365" s="170"/>
      <c r="AT365" s="170"/>
      <c r="AU365" s="170"/>
      <c r="AV365" s="170"/>
      <c r="AW365" s="170"/>
      <c r="AX365" s="170"/>
      <c r="AY365" s="170"/>
      <c r="AZ365" s="170"/>
      <c r="BA365" s="170"/>
      <c r="BB365" s="170"/>
      <c r="BC365" s="170"/>
      <c r="BD365" s="170"/>
      <c r="BE365" s="170"/>
      <c r="BF365" s="170"/>
      <c r="BG365" s="170"/>
      <c r="BH365" s="170"/>
      <c r="BI365" s="170"/>
      <c r="BJ365" s="170"/>
      <c r="BK365" s="170"/>
      <c r="BL365" s="170"/>
      <c r="BM365" s="170"/>
      <c r="BN365" s="170"/>
      <c r="BO365" s="170"/>
      <c r="BP365" s="170"/>
      <c r="BQ365" s="170"/>
      <c r="BR365" s="170"/>
      <c r="BS365" s="170"/>
      <c r="BT365" s="170"/>
      <c r="BU365" s="170"/>
      <c r="BV365" s="170"/>
      <c r="BW365" s="170"/>
      <c r="BX365" s="170"/>
      <c r="BY365" s="170"/>
      <c r="BZ365" s="170"/>
    </row>
    <row r="366" spans="1:78" x14ac:dyDescent="0.2">
      <c r="A366" s="173"/>
      <c r="B366" s="172"/>
      <c r="C366" s="172"/>
      <c r="D366" s="172"/>
      <c r="E366" s="172"/>
      <c r="F366" s="172"/>
      <c r="G366" s="172"/>
      <c r="H366" s="170"/>
      <c r="I366" s="170"/>
      <c r="J366" s="170"/>
      <c r="K366" s="170"/>
      <c r="L366" s="170"/>
      <c r="M366" s="170"/>
      <c r="N366" s="170"/>
      <c r="O366" s="170"/>
      <c r="P366" s="170"/>
      <c r="Q366" s="170"/>
      <c r="R366" s="170"/>
      <c r="S366" s="170"/>
      <c r="T366" s="170"/>
      <c r="U366" s="170"/>
      <c r="V366" s="170"/>
      <c r="W366" s="170"/>
      <c r="X366" s="170"/>
      <c r="Y366" s="170"/>
      <c r="Z366" s="170"/>
      <c r="AA366" s="170"/>
      <c r="AB366" s="170"/>
      <c r="AC366" s="170"/>
      <c r="AD366" s="170"/>
      <c r="AE366" s="170"/>
      <c r="AF366" s="170"/>
      <c r="AG366" s="170"/>
      <c r="AH366" s="170"/>
      <c r="AI366" s="170"/>
      <c r="AJ366" s="170"/>
      <c r="AK366" s="170"/>
      <c r="AL366" s="170"/>
      <c r="AM366" s="170"/>
      <c r="AN366" s="170"/>
      <c r="AO366" s="170"/>
      <c r="AP366" s="170"/>
      <c r="AQ366" s="170"/>
      <c r="AR366" s="170"/>
      <c r="AS366" s="170"/>
      <c r="AT366" s="170"/>
      <c r="AU366" s="170"/>
      <c r="AV366" s="170"/>
      <c r="AW366" s="170"/>
      <c r="AX366" s="170"/>
      <c r="AY366" s="170"/>
      <c r="AZ366" s="170"/>
      <c r="BA366" s="170"/>
      <c r="BB366" s="170"/>
      <c r="BC366" s="170"/>
      <c r="BD366" s="170"/>
      <c r="BE366" s="170"/>
      <c r="BF366" s="170"/>
      <c r="BG366" s="170"/>
      <c r="BH366" s="170"/>
      <c r="BI366" s="170"/>
      <c r="BJ366" s="170"/>
      <c r="BK366" s="170"/>
      <c r="BL366" s="170"/>
      <c r="BM366" s="170"/>
      <c r="BN366" s="170"/>
      <c r="BO366" s="170"/>
      <c r="BP366" s="170"/>
      <c r="BQ366" s="170"/>
      <c r="BR366" s="170"/>
      <c r="BS366" s="170"/>
      <c r="BT366" s="170"/>
      <c r="BU366" s="170"/>
      <c r="BV366" s="170"/>
      <c r="BW366" s="170"/>
      <c r="BX366" s="170"/>
      <c r="BY366" s="170"/>
      <c r="BZ366" s="170"/>
    </row>
    <row r="367" spans="1:78" x14ac:dyDescent="0.2">
      <c r="A367" s="173"/>
      <c r="B367" s="172"/>
      <c r="C367" s="172"/>
      <c r="D367" s="172"/>
      <c r="E367" s="172"/>
      <c r="F367" s="172"/>
      <c r="G367" s="172"/>
      <c r="H367" s="170"/>
      <c r="I367" s="170"/>
      <c r="J367" s="170"/>
      <c r="K367" s="170"/>
      <c r="L367" s="170"/>
      <c r="M367" s="170"/>
      <c r="N367" s="170"/>
      <c r="O367" s="170"/>
      <c r="P367" s="170"/>
      <c r="Q367" s="170"/>
      <c r="R367" s="170"/>
      <c r="S367" s="170"/>
      <c r="T367" s="170"/>
      <c r="U367" s="170"/>
      <c r="V367" s="170"/>
      <c r="W367" s="170"/>
      <c r="X367" s="170"/>
      <c r="Y367" s="170"/>
      <c r="Z367" s="170"/>
      <c r="AA367" s="170"/>
      <c r="AB367" s="170"/>
      <c r="AC367" s="170"/>
      <c r="AD367" s="170"/>
      <c r="AE367" s="170"/>
      <c r="AF367" s="170"/>
      <c r="AG367" s="170"/>
      <c r="AH367" s="170"/>
      <c r="AI367" s="170"/>
      <c r="AJ367" s="170"/>
      <c r="AK367" s="170"/>
      <c r="AL367" s="170"/>
      <c r="AM367" s="170"/>
      <c r="AN367" s="170"/>
      <c r="AO367" s="170"/>
      <c r="AP367" s="170"/>
      <c r="AQ367" s="170"/>
      <c r="AR367" s="170"/>
      <c r="AS367" s="170"/>
      <c r="AT367" s="170"/>
      <c r="AU367" s="170"/>
      <c r="AV367" s="170"/>
      <c r="AW367" s="170"/>
      <c r="AX367" s="170"/>
      <c r="AY367" s="170"/>
      <c r="AZ367" s="170"/>
      <c r="BA367" s="170"/>
      <c r="BB367" s="170"/>
      <c r="BC367" s="170"/>
      <c r="BD367" s="170"/>
      <c r="BE367" s="170"/>
      <c r="BF367" s="170"/>
      <c r="BG367" s="170"/>
      <c r="BH367" s="170"/>
      <c r="BI367" s="170"/>
      <c r="BJ367" s="170"/>
      <c r="BK367" s="170"/>
      <c r="BL367" s="170"/>
      <c r="BM367" s="170"/>
      <c r="BN367" s="170"/>
      <c r="BO367" s="170"/>
      <c r="BP367" s="170"/>
      <c r="BQ367" s="170"/>
      <c r="BR367" s="170"/>
      <c r="BS367" s="170"/>
      <c r="BT367" s="170"/>
      <c r="BU367" s="170"/>
      <c r="BV367" s="170"/>
      <c r="BW367" s="170"/>
      <c r="BX367" s="170"/>
      <c r="BY367" s="170"/>
      <c r="BZ367" s="170"/>
    </row>
    <row r="368" spans="1:78" x14ac:dyDescent="0.2">
      <c r="A368" s="173"/>
      <c r="B368" s="172"/>
      <c r="C368" s="172"/>
      <c r="D368" s="172"/>
      <c r="E368" s="172"/>
      <c r="F368" s="172"/>
      <c r="G368" s="172"/>
      <c r="H368" s="170"/>
      <c r="I368" s="170"/>
      <c r="J368" s="170"/>
      <c r="K368" s="170"/>
      <c r="L368" s="170"/>
      <c r="M368" s="170"/>
      <c r="N368" s="170"/>
      <c r="O368" s="170"/>
      <c r="P368" s="170"/>
      <c r="Q368" s="170"/>
      <c r="R368" s="170"/>
      <c r="S368" s="170"/>
      <c r="T368" s="170"/>
      <c r="U368" s="170"/>
      <c r="V368" s="170"/>
      <c r="W368" s="170"/>
      <c r="X368" s="170"/>
      <c r="Y368" s="170"/>
      <c r="Z368" s="170"/>
      <c r="AA368" s="170"/>
      <c r="AB368" s="170"/>
      <c r="AC368" s="170"/>
      <c r="AD368" s="170"/>
      <c r="AE368" s="170"/>
      <c r="AF368" s="170"/>
      <c r="AG368" s="170"/>
      <c r="AH368" s="170"/>
      <c r="AI368" s="170"/>
      <c r="AJ368" s="170"/>
      <c r="AK368" s="170"/>
      <c r="AL368" s="170"/>
      <c r="AM368" s="170"/>
      <c r="AN368" s="170"/>
      <c r="AO368" s="170"/>
      <c r="AP368" s="170"/>
      <c r="AQ368" s="170"/>
      <c r="AR368" s="170"/>
      <c r="AS368" s="170"/>
      <c r="AT368" s="170"/>
      <c r="AU368" s="170"/>
      <c r="AV368" s="170"/>
      <c r="AW368" s="170"/>
      <c r="AX368" s="170"/>
      <c r="AY368" s="170"/>
      <c r="AZ368" s="170"/>
      <c r="BA368" s="170"/>
      <c r="BB368" s="170"/>
      <c r="BC368" s="170"/>
      <c r="BD368" s="170"/>
      <c r="BE368" s="170"/>
      <c r="BF368" s="170"/>
      <c r="BG368" s="170"/>
      <c r="BH368" s="170"/>
      <c r="BI368" s="170"/>
      <c r="BJ368" s="170"/>
      <c r="BK368" s="170"/>
      <c r="BL368" s="170"/>
      <c r="BM368" s="170"/>
      <c r="BN368" s="170"/>
      <c r="BO368" s="170"/>
      <c r="BP368" s="170"/>
      <c r="BQ368" s="170"/>
      <c r="BR368" s="170"/>
      <c r="BS368" s="170"/>
      <c r="BT368" s="170"/>
      <c r="BU368" s="170"/>
      <c r="BV368" s="170"/>
      <c r="BW368" s="170"/>
      <c r="BX368" s="170"/>
      <c r="BY368" s="170"/>
      <c r="BZ368" s="170"/>
    </row>
    <row r="369" spans="1:78" x14ac:dyDescent="0.2">
      <c r="A369" s="173"/>
      <c r="B369" s="172"/>
      <c r="C369" s="172"/>
      <c r="D369" s="172"/>
      <c r="E369" s="172"/>
      <c r="F369" s="172"/>
      <c r="G369" s="172"/>
      <c r="H369" s="170"/>
      <c r="I369" s="170"/>
      <c r="J369" s="170"/>
      <c r="K369" s="170"/>
      <c r="L369" s="170"/>
      <c r="M369" s="170"/>
      <c r="N369" s="170"/>
      <c r="O369" s="170"/>
      <c r="P369" s="170"/>
      <c r="Q369" s="170"/>
      <c r="R369" s="170"/>
      <c r="S369" s="170"/>
      <c r="T369" s="170"/>
      <c r="U369" s="170"/>
      <c r="V369" s="170"/>
      <c r="W369" s="170"/>
      <c r="X369" s="170"/>
      <c r="Y369" s="170"/>
      <c r="Z369" s="170"/>
      <c r="AA369" s="170"/>
      <c r="AB369" s="170"/>
      <c r="AC369" s="170"/>
      <c r="AD369" s="170"/>
      <c r="AE369" s="170"/>
      <c r="AF369" s="170"/>
      <c r="AG369" s="170"/>
      <c r="AH369" s="170"/>
      <c r="AI369" s="170"/>
      <c r="AJ369" s="170"/>
      <c r="AK369" s="170"/>
      <c r="AL369" s="170"/>
      <c r="AM369" s="170"/>
      <c r="AN369" s="170"/>
      <c r="AO369" s="170"/>
      <c r="AP369" s="170"/>
      <c r="AQ369" s="170"/>
      <c r="AR369" s="170"/>
      <c r="AS369" s="170"/>
      <c r="AT369" s="170"/>
      <c r="AU369" s="170"/>
      <c r="AV369" s="170"/>
      <c r="AW369" s="170"/>
      <c r="AX369" s="170"/>
      <c r="AY369" s="170"/>
      <c r="AZ369" s="170"/>
      <c r="BA369" s="170"/>
      <c r="BB369" s="170"/>
      <c r="BC369" s="170"/>
      <c r="BD369" s="170"/>
      <c r="BE369" s="170"/>
      <c r="BF369" s="170"/>
      <c r="BG369" s="170"/>
      <c r="BH369" s="170"/>
      <c r="BI369" s="170"/>
      <c r="BJ369" s="170"/>
      <c r="BK369" s="170"/>
      <c r="BL369" s="170"/>
      <c r="BM369" s="170"/>
      <c r="BN369" s="170"/>
      <c r="BO369" s="170"/>
      <c r="BP369" s="170"/>
      <c r="BQ369" s="170"/>
      <c r="BR369" s="170"/>
      <c r="BS369" s="170"/>
      <c r="BT369" s="170"/>
      <c r="BU369" s="170"/>
      <c r="BV369" s="170"/>
      <c r="BW369" s="170"/>
      <c r="BX369" s="170"/>
      <c r="BY369" s="170"/>
      <c r="BZ369" s="170"/>
    </row>
    <row r="370" spans="1:78" x14ac:dyDescent="0.2">
      <c r="A370" s="173"/>
      <c r="B370" s="172"/>
      <c r="C370" s="172"/>
      <c r="D370" s="172"/>
      <c r="E370" s="172"/>
      <c r="F370" s="172"/>
      <c r="G370" s="172"/>
      <c r="H370" s="170"/>
      <c r="I370" s="170"/>
      <c r="J370" s="170"/>
      <c r="K370" s="170"/>
      <c r="L370" s="170"/>
      <c r="M370" s="170"/>
      <c r="N370" s="170"/>
      <c r="O370" s="170"/>
      <c r="P370" s="170"/>
      <c r="Q370" s="170"/>
      <c r="R370" s="170"/>
      <c r="S370" s="170"/>
      <c r="T370" s="170"/>
      <c r="U370" s="170"/>
      <c r="V370" s="170"/>
      <c r="W370" s="170"/>
      <c r="X370" s="170"/>
      <c r="Y370" s="170"/>
      <c r="Z370" s="170"/>
      <c r="AA370" s="170"/>
      <c r="AB370" s="170"/>
      <c r="AC370" s="170"/>
      <c r="AD370" s="170"/>
      <c r="AE370" s="170"/>
      <c r="AF370" s="170"/>
      <c r="AG370" s="170"/>
      <c r="AH370" s="170"/>
      <c r="AI370" s="170"/>
      <c r="AJ370" s="170"/>
      <c r="AK370" s="170"/>
      <c r="AL370" s="170"/>
      <c r="AM370" s="170"/>
      <c r="AN370" s="170"/>
      <c r="AO370" s="170"/>
      <c r="AP370" s="170"/>
      <c r="AQ370" s="170"/>
      <c r="AR370" s="170"/>
      <c r="AS370" s="170"/>
      <c r="AT370" s="170"/>
      <c r="AU370" s="170"/>
      <c r="AV370" s="170"/>
      <c r="AW370" s="170"/>
      <c r="AX370" s="170"/>
      <c r="AY370" s="170"/>
      <c r="AZ370" s="170"/>
      <c r="BA370" s="170"/>
      <c r="BB370" s="170"/>
      <c r="BC370" s="170"/>
      <c r="BD370" s="170"/>
      <c r="BE370" s="170"/>
      <c r="BF370" s="170"/>
      <c r="BG370" s="170"/>
      <c r="BH370" s="170"/>
      <c r="BI370" s="170"/>
      <c r="BJ370" s="170"/>
      <c r="BK370" s="170"/>
      <c r="BL370" s="170"/>
      <c r="BM370" s="170"/>
      <c r="BN370" s="170"/>
      <c r="BO370" s="170"/>
      <c r="BP370" s="170"/>
      <c r="BQ370" s="170"/>
      <c r="BR370" s="170"/>
      <c r="BS370" s="170"/>
      <c r="BT370" s="170"/>
      <c r="BU370" s="170"/>
      <c r="BV370" s="170"/>
      <c r="BW370" s="170"/>
      <c r="BX370" s="170"/>
      <c r="BY370" s="170"/>
      <c r="BZ370" s="170"/>
    </row>
    <row r="371" spans="1:78" x14ac:dyDescent="0.2">
      <c r="A371" s="170"/>
      <c r="B371" s="170"/>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c r="AA371" s="170"/>
      <c r="AB371" s="170"/>
      <c r="AC371" s="170"/>
      <c r="AD371" s="170"/>
      <c r="AE371" s="170"/>
      <c r="AF371" s="170"/>
      <c r="AG371" s="170"/>
      <c r="AH371" s="170"/>
      <c r="AI371" s="170"/>
      <c r="AJ371" s="170"/>
      <c r="AK371" s="170"/>
      <c r="AL371" s="170"/>
      <c r="AM371" s="170"/>
      <c r="AN371" s="170"/>
      <c r="AO371" s="170"/>
      <c r="AP371" s="170"/>
      <c r="AQ371" s="170"/>
      <c r="AR371" s="170"/>
      <c r="AS371" s="170"/>
      <c r="AT371" s="170"/>
      <c r="AU371" s="170"/>
      <c r="AV371" s="170"/>
      <c r="AW371" s="170"/>
      <c r="AX371" s="170"/>
      <c r="AY371" s="170"/>
      <c r="AZ371" s="170"/>
      <c r="BA371" s="170"/>
      <c r="BB371" s="170"/>
      <c r="BC371" s="170"/>
      <c r="BD371" s="170"/>
      <c r="BE371" s="170"/>
      <c r="BF371" s="170"/>
      <c r="BG371" s="170"/>
      <c r="BH371" s="170"/>
      <c r="BI371" s="170"/>
      <c r="BJ371" s="170"/>
      <c r="BK371" s="170"/>
      <c r="BL371" s="170"/>
      <c r="BM371" s="170"/>
      <c r="BN371" s="170"/>
      <c r="BO371" s="170"/>
      <c r="BP371" s="170"/>
      <c r="BQ371" s="170"/>
      <c r="BR371" s="170"/>
      <c r="BS371" s="170"/>
      <c r="BT371" s="170"/>
      <c r="BU371" s="170"/>
      <c r="BV371" s="170"/>
      <c r="BW371" s="170"/>
      <c r="BX371" s="170"/>
      <c r="BY371" s="170"/>
      <c r="BZ371" s="170"/>
    </row>
    <row r="372" spans="1:78" x14ac:dyDescent="0.2">
      <c r="A372" s="170"/>
      <c r="B372" s="170"/>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c r="AA372" s="170"/>
      <c r="AB372" s="170"/>
      <c r="AC372" s="170"/>
      <c r="AD372" s="170"/>
      <c r="AE372" s="170"/>
      <c r="AF372" s="170"/>
      <c r="AG372" s="170"/>
      <c r="AH372" s="170"/>
      <c r="AI372" s="170"/>
      <c r="AJ372" s="170"/>
      <c r="AK372" s="170"/>
      <c r="AL372" s="170"/>
      <c r="AM372" s="170"/>
      <c r="AN372" s="170"/>
      <c r="AO372" s="170"/>
      <c r="AP372" s="170"/>
      <c r="AQ372" s="170"/>
      <c r="AR372" s="170"/>
      <c r="AS372" s="170"/>
      <c r="AT372" s="170"/>
      <c r="AU372" s="170"/>
      <c r="AV372" s="170"/>
      <c r="AW372" s="170"/>
      <c r="AX372" s="170"/>
      <c r="AY372" s="170"/>
      <c r="AZ372" s="170"/>
      <c r="BA372" s="170"/>
      <c r="BB372" s="170"/>
      <c r="BC372" s="170"/>
      <c r="BD372" s="170"/>
      <c r="BE372" s="170"/>
      <c r="BF372" s="170"/>
      <c r="BG372" s="170"/>
      <c r="BH372" s="170"/>
      <c r="BI372" s="170"/>
      <c r="BJ372" s="170"/>
      <c r="BK372" s="170"/>
      <c r="BL372" s="170"/>
      <c r="BM372" s="170"/>
      <c r="BN372" s="170"/>
      <c r="BO372" s="170"/>
      <c r="BP372" s="170"/>
      <c r="BQ372" s="170"/>
      <c r="BR372" s="170"/>
      <c r="BS372" s="170"/>
      <c r="BT372" s="170"/>
      <c r="BU372" s="170"/>
      <c r="BV372" s="170"/>
      <c r="BW372" s="170"/>
      <c r="BX372" s="170"/>
      <c r="BY372" s="170"/>
      <c r="BZ372" s="170"/>
    </row>
    <row r="373" spans="1:78" x14ac:dyDescent="0.2">
      <c r="A373" s="170"/>
      <c r="B373" s="170"/>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c r="AA373" s="170"/>
      <c r="AB373" s="170"/>
      <c r="AC373" s="170"/>
      <c r="AD373" s="170"/>
      <c r="AE373" s="170"/>
      <c r="AF373" s="170"/>
      <c r="AG373" s="170"/>
      <c r="AH373" s="170"/>
      <c r="AI373" s="170"/>
      <c r="AJ373" s="170"/>
      <c r="AK373" s="170"/>
      <c r="AL373" s="170"/>
      <c r="AM373" s="170"/>
      <c r="AN373" s="170"/>
      <c r="AO373" s="170"/>
      <c r="AP373" s="170"/>
      <c r="AQ373" s="170"/>
      <c r="AR373" s="170"/>
      <c r="AS373" s="170"/>
      <c r="AT373" s="170"/>
      <c r="AU373" s="170"/>
      <c r="AV373" s="170"/>
      <c r="AW373" s="170"/>
      <c r="AX373" s="170"/>
      <c r="AY373" s="170"/>
      <c r="AZ373" s="170"/>
      <c r="BA373" s="170"/>
      <c r="BB373" s="170"/>
      <c r="BC373" s="170"/>
      <c r="BD373" s="170"/>
      <c r="BE373" s="170"/>
      <c r="BF373" s="170"/>
      <c r="BG373" s="170"/>
      <c r="BH373" s="170"/>
      <c r="BI373" s="170"/>
      <c r="BJ373" s="170"/>
      <c r="BK373" s="170"/>
      <c r="BL373" s="170"/>
      <c r="BM373" s="170"/>
      <c r="BN373" s="170"/>
      <c r="BO373" s="170"/>
      <c r="BP373" s="170"/>
      <c r="BQ373" s="170"/>
      <c r="BR373" s="170"/>
      <c r="BS373" s="170"/>
      <c r="BT373" s="170"/>
      <c r="BU373" s="170"/>
      <c r="BV373" s="170"/>
      <c r="BW373" s="170"/>
      <c r="BX373" s="170"/>
      <c r="BY373" s="170"/>
      <c r="BZ373" s="170"/>
    </row>
    <row r="374" spans="1:78" x14ac:dyDescent="0.2">
      <c r="A374" s="170"/>
      <c r="B374" s="170"/>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c r="AA374" s="170"/>
      <c r="AB374" s="170"/>
      <c r="AC374" s="170"/>
      <c r="AD374" s="170"/>
      <c r="AE374" s="170"/>
      <c r="AF374" s="170"/>
      <c r="AG374" s="170"/>
      <c r="AH374" s="170"/>
      <c r="AI374" s="170"/>
      <c r="AJ374" s="170"/>
      <c r="AK374" s="170"/>
      <c r="AL374" s="170"/>
      <c r="AM374" s="170"/>
      <c r="AN374" s="170"/>
      <c r="AO374" s="170"/>
      <c r="AP374" s="170"/>
      <c r="AQ374" s="170"/>
      <c r="AR374" s="170"/>
      <c r="AS374" s="170"/>
      <c r="AT374" s="170"/>
      <c r="AU374" s="170"/>
      <c r="AV374" s="170"/>
      <c r="AW374" s="170"/>
      <c r="AX374" s="170"/>
      <c r="AY374" s="170"/>
      <c r="AZ374" s="170"/>
      <c r="BA374" s="170"/>
      <c r="BB374" s="170"/>
      <c r="BC374" s="170"/>
      <c r="BD374" s="170"/>
      <c r="BE374" s="170"/>
      <c r="BF374" s="170"/>
      <c r="BG374" s="170"/>
      <c r="BH374" s="170"/>
      <c r="BI374" s="170"/>
      <c r="BJ374" s="170"/>
      <c r="BK374" s="170"/>
      <c r="BL374" s="170"/>
      <c r="BM374" s="170"/>
      <c r="BN374" s="170"/>
      <c r="BO374" s="170"/>
      <c r="BP374" s="170"/>
      <c r="BQ374" s="170"/>
      <c r="BR374" s="170"/>
      <c r="BS374" s="170"/>
      <c r="BT374" s="170"/>
      <c r="BU374" s="170"/>
      <c r="BV374" s="170"/>
      <c r="BW374" s="170"/>
      <c r="BX374" s="170"/>
      <c r="BY374" s="170"/>
      <c r="BZ374" s="170"/>
    </row>
    <row r="375" spans="1:78" x14ac:dyDescent="0.2">
      <c r="A375" s="170"/>
      <c r="B375" s="170"/>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c r="AA375" s="170"/>
      <c r="AB375" s="170"/>
      <c r="AC375" s="170"/>
      <c r="AD375" s="170"/>
      <c r="AE375" s="170"/>
      <c r="AF375" s="170"/>
      <c r="AG375" s="170"/>
      <c r="AH375" s="170"/>
      <c r="AI375" s="170"/>
      <c r="AJ375" s="170"/>
      <c r="AK375" s="170"/>
      <c r="AL375" s="170"/>
      <c r="AM375" s="170"/>
      <c r="AN375" s="170"/>
      <c r="AO375" s="170"/>
      <c r="AP375" s="170"/>
      <c r="AQ375" s="170"/>
      <c r="AR375" s="170"/>
      <c r="AS375" s="170"/>
      <c r="AT375" s="170"/>
      <c r="AU375" s="170"/>
      <c r="AV375" s="170"/>
      <c r="AW375" s="170"/>
      <c r="AX375" s="170"/>
      <c r="AY375" s="170"/>
      <c r="AZ375" s="170"/>
      <c r="BA375" s="170"/>
      <c r="BB375" s="170"/>
      <c r="BC375" s="170"/>
      <c r="BD375" s="170"/>
      <c r="BE375" s="170"/>
      <c r="BF375" s="170"/>
      <c r="BG375" s="170"/>
      <c r="BH375" s="170"/>
      <c r="BI375" s="170"/>
      <c r="BJ375" s="170"/>
      <c r="BK375" s="170"/>
      <c r="BL375" s="170"/>
      <c r="BM375" s="170"/>
      <c r="BN375" s="170"/>
      <c r="BO375" s="170"/>
      <c r="BP375" s="170"/>
      <c r="BQ375" s="170"/>
      <c r="BR375" s="170"/>
      <c r="BS375" s="170"/>
      <c r="BT375" s="170"/>
      <c r="BU375" s="170"/>
      <c r="BV375" s="170"/>
      <c r="BW375" s="170"/>
      <c r="BX375" s="170"/>
      <c r="BY375" s="170"/>
      <c r="BZ375" s="170"/>
    </row>
    <row r="376" spans="1:78" x14ac:dyDescent="0.2">
      <c r="A376" s="170"/>
      <c r="B376" s="170"/>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c r="AA376" s="170"/>
      <c r="AB376" s="170"/>
      <c r="AC376" s="170"/>
      <c r="AD376" s="170"/>
      <c r="AE376" s="170"/>
      <c r="AF376" s="170"/>
      <c r="AG376" s="170"/>
      <c r="AH376" s="170"/>
      <c r="AI376" s="170"/>
      <c r="AJ376" s="170"/>
      <c r="AK376" s="170"/>
      <c r="AL376" s="170"/>
      <c r="AM376" s="170"/>
      <c r="AN376" s="170"/>
      <c r="AO376" s="170"/>
      <c r="AP376" s="170"/>
      <c r="AQ376" s="170"/>
      <c r="AR376" s="170"/>
      <c r="AS376" s="170"/>
      <c r="AT376" s="170"/>
      <c r="AU376" s="170"/>
      <c r="AV376" s="170"/>
      <c r="AW376" s="170"/>
      <c r="AX376" s="170"/>
      <c r="AY376" s="170"/>
      <c r="AZ376" s="170"/>
      <c r="BA376" s="170"/>
      <c r="BB376" s="170"/>
      <c r="BC376" s="170"/>
      <c r="BD376" s="170"/>
      <c r="BE376" s="170"/>
      <c r="BF376" s="170"/>
      <c r="BG376" s="170"/>
      <c r="BH376" s="170"/>
      <c r="BI376" s="170"/>
      <c r="BJ376" s="170"/>
      <c r="BK376" s="170"/>
      <c r="BL376" s="170"/>
      <c r="BM376" s="170"/>
      <c r="BN376" s="170"/>
      <c r="BO376" s="170"/>
      <c r="BP376" s="170"/>
      <c r="BQ376" s="170"/>
      <c r="BR376" s="170"/>
      <c r="BS376" s="170"/>
      <c r="BT376" s="170"/>
      <c r="BU376" s="170"/>
      <c r="BV376" s="170"/>
      <c r="BW376" s="170"/>
      <c r="BX376" s="170"/>
      <c r="BY376" s="170"/>
      <c r="BZ376" s="170"/>
    </row>
    <row r="377" spans="1:78" x14ac:dyDescent="0.2">
      <c r="A377" s="170"/>
      <c r="B377" s="170"/>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c r="AB377" s="170"/>
      <c r="AC377" s="170"/>
      <c r="AD377" s="170"/>
      <c r="AE377" s="170"/>
      <c r="AF377" s="170"/>
      <c r="AG377" s="170"/>
      <c r="AH377" s="170"/>
      <c r="AI377" s="170"/>
      <c r="AJ377" s="170"/>
      <c r="AK377" s="170"/>
      <c r="AL377" s="170"/>
      <c r="AM377" s="170"/>
      <c r="AN377" s="170"/>
      <c r="AO377" s="170"/>
      <c r="AP377" s="170"/>
      <c r="AQ377" s="170"/>
      <c r="AR377" s="170"/>
      <c r="AS377" s="170"/>
      <c r="AT377" s="170"/>
      <c r="AU377" s="170"/>
      <c r="AV377" s="170"/>
      <c r="AW377" s="170"/>
      <c r="AX377" s="170"/>
      <c r="AY377" s="170"/>
      <c r="AZ377" s="170"/>
      <c r="BA377" s="170"/>
      <c r="BB377" s="170"/>
      <c r="BC377" s="170"/>
      <c r="BD377" s="170"/>
      <c r="BE377" s="170"/>
      <c r="BF377" s="170"/>
      <c r="BG377" s="170"/>
      <c r="BH377" s="170"/>
      <c r="BI377" s="170"/>
      <c r="BJ377" s="170"/>
      <c r="BK377" s="170"/>
      <c r="BL377" s="170"/>
      <c r="BM377" s="170"/>
      <c r="BN377" s="170"/>
      <c r="BO377" s="170"/>
      <c r="BP377" s="170"/>
      <c r="BQ377" s="170"/>
      <c r="BR377" s="170"/>
      <c r="BS377" s="170"/>
      <c r="BT377" s="170"/>
      <c r="BU377" s="170"/>
      <c r="BV377" s="170"/>
      <c r="BW377" s="170"/>
      <c r="BX377" s="170"/>
      <c r="BY377" s="170"/>
      <c r="BZ377" s="170"/>
    </row>
    <row r="378" spans="1:78" x14ac:dyDescent="0.2">
      <c r="A378" s="170"/>
      <c r="B378" s="170"/>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c r="AA378" s="170"/>
      <c r="AB378" s="170"/>
      <c r="AC378" s="170"/>
      <c r="AD378" s="170"/>
      <c r="AE378" s="170"/>
      <c r="AF378" s="170"/>
      <c r="AG378" s="170"/>
      <c r="AH378" s="170"/>
      <c r="AI378" s="170"/>
      <c r="AJ378" s="170"/>
      <c r="AK378" s="170"/>
      <c r="AL378" s="170"/>
      <c r="AM378" s="170"/>
      <c r="AN378" s="170"/>
      <c r="AO378" s="170"/>
      <c r="AP378" s="170"/>
      <c r="AQ378" s="170"/>
      <c r="AR378" s="170"/>
      <c r="AS378" s="170"/>
      <c r="AT378" s="170"/>
      <c r="AU378" s="170"/>
      <c r="AV378" s="170"/>
      <c r="AW378" s="170"/>
      <c r="AX378" s="170"/>
      <c r="AY378" s="170"/>
      <c r="AZ378" s="170"/>
      <c r="BA378" s="170"/>
      <c r="BB378" s="170"/>
      <c r="BC378" s="170"/>
      <c r="BD378" s="170"/>
      <c r="BE378" s="170"/>
      <c r="BF378" s="170"/>
      <c r="BG378" s="170"/>
      <c r="BH378" s="170"/>
      <c r="BI378" s="170"/>
      <c r="BJ378" s="170"/>
      <c r="BK378" s="170"/>
      <c r="BL378" s="170"/>
      <c r="BM378" s="170"/>
      <c r="BN378" s="170"/>
      <c r="BO378" s="170"/>
      <c r="BP378" s="170"/>
      <c r="BQ378" s="170"/>
      <c r="BR378" s="170"/>
      <c r="BS378" s="170"/>
      <c r="BT378" s="170"/>
      <c r="BU378" s="170"/>
      <c r="BV378" s="170"/>
      <c r="BW378" s="170"/>
      <c r="BX378" s="170"/>
      <c r="BY378" s="170"/>
      <c r="BZ378" s="170"/>
    </row>
    <row r="379" spans="1:78" x14ac:dyDescent="0.2">
      <c r="A379" s="170"/>
      <c r="B379" s="170"/>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c r="AA379" s="170"/>
      <c r="AB379" s="170"/>
      <c r="AC379" s="170"/>
      <c r="AD379" s="170"/>
      <c r="AE379" s="170"/>
      <c r="AF379" s="170"/>
      <c r="AG379" s="170"/>
      <c r="AH379" s="170"/>
      <c r="AI379" s="170"/>
      <c r="AJ379" s="170"/>
      <c r="AK379" s="170"/>
      <c r="AL379" s="170"/>
      <c r="AM379" s="170"/>
      <c r="AN379" s="170"/>
      <c r="AO379" s="170"/>
      <c r="AP379" s="170"/>
      <c r="AQ379" s="170"/>
      <c r="AR379" s="170"/>
      <c r="AS379" s="170"/>
      <c r="AT379" s="170"/>
      <c r="AU379" s="170"/>
      <c r="AV379" s="170"/>
      <c r="AW379" s="170"/>
      <c r="AX379" s="170"/>
      <c r="AY379" s="170"/>
      <c r="AZ379" s="170"/>
      <c r="BA379" s="170"/>
      <c r="BB379" s="170"/>
      <c r="BC379" s="170"/>
      <c r="BD379" s="170"/>
      <c r="BE379" s="170"/>
      <c r="BF379" s="170"/>
      <c r="BG379" s="170"/>
      <c r="BH379" s="170"/>
      <c r="BI379" s="170"/>
      <c r="BJ379" s="170"/>
      <c r="BK379" s="170"/>
      <c r="BL379" s="170"/>
      <c r="BM379" s="170"/>
      <c r="BN379" s="170"/>
      <c r="BO379" s="170"/>
      <c r="BP379" s="170"/>
      <c r="BQ379" s="170"/>
      <c r="BR379" s="170"/>
      <c r="BS379" s="170"/>
      <c r="BT379" s="170"/>
      <c r="BU379" s="170"/>
      <c r="BV379" s="170"/>
      <c r="BW379" s="170"/>
      <c r="BX379" s="170"/>
      <c r="BY379" s="170"/>
      <c r="BZ379" s="170"/>
    </row>
    <row r="380" spans="1:78" x14ac:dyDescent="0.2">
      <c r="A380" s="170"/>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c r="AB380" s="170"/>
      <c r="AC380" s="170"/>
      <c r="AD380" s="170"/>
      <c r="AE380" s="170"/>
      <c r="AF380" s="170"/>
      <c r="AG380" s="170"/>
      <c r="AH380" s="170"/>
      <c r="AI380" s="170"/>
      <c r="AJ380" s="170"/>
      <c r="AK380" s="170"/>
      <c r="AL380" s="170"/>
      <c r="AM380" s="170"/>
      <c r="AN380" s="170"/>
      <c r="AO380" s="170"/>
      <c r="AP380" s="170"/>
      <c r="AQ380" s="170"/>
      <c r="AR380" s="170"/>
      <c r="AS380" s="170"/>
      <c r="AT380" s="170"/>
      <c r="AU380" s="170"/>
      <c r="AV380" s="170"/>
      <c r="AW380" s="170"/>
      <c r="AX380" s="170"/>
      <c r="AY380" s="170"/>
      <c r="AZ380" s="170"/>
      <c r="BA380" s="170"/>
      <c r="BB380" s="170"/>
      <c r="BC380" s="170"/>
      <c r="BD380" s="170"/>
      <c r="BE380" s="170"/>
      <c r="BF380" s="170"/>
      <c r="BG380" s="170"/>
      <c r="BH380" s="170"/>
      <c r="BI380" s="170"/>
      <c r="BJ380" s="170"/>
      <c r="BK380" s="170"/>
      <c r="BL380" s="170"/>
      <c r="BM380" s="170"/>
      <c r="BN380" s="170"/>
      <c r="BO380" s="170"/>
      <c r="BP380" s="170"/>
      <c r="BQ380" s="170"/>
      <c r="BR380" s="170"/>
      <c r="BS380" s="170"/>
      <c r="BT380" s="170"/>
      <c r="BU380" s="170"/>
      <c r="BV380" s="170"/>
      <c r="BW380" s="170"/>
      <c r="BX380" s="170"/>
      <c r="BY380" s="170"/>
      <c r="BZ380" s="170"/>
    </row>
    <row r="381" spans="1:78" x14ac:dyDescent="0.2">
      <c r="A381" s="170"/>
      <c r="B381" s="170"/>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c r="AA381" s="170"/>
      <c r="AB381" s="170"/>
      <c r="AC381" s="170"/>
      <c r="AD381" s="170"/>
      <c r="AE381" s="170"/>
      <c r="AF381" s="170"/>
      <c r="AG381" s="170"/>
      <c r="AH381" s="170"/>
      <c r="AI381" s="170"/>
      <c r="AJ381" s="170"/>
      <c r="AK381" s="170"/>
      <c r="AL381" s="170"/>
      <c r="AM381" s="170"/>
      <c r="AN381" s="170"/>
      <c r="AO381" s="170"/>
      <c r="AP381" s="170"/>
      <c r="AQ381" s="170"/>
      <c r="AR381" s="170"/>
      <c r="AS381" s="170"/>
      <c r="AT381" s="170"/>
      <c r="AU381" s="170"/>
      <c r="AV381" s="170"/>
      <c r="AW381" s="170"/>
      <c r="AX381" s="170"/>
      <c r="AY381" s="170"/>
      <c r="AZ381" s="170"/>
      <c r="BA381" s="170"/>
      <c r="BB381" s="170"/>
      <c r="BC381" s="170"/>
      <c r="BD381" s="170"/>
      <c r="BE381" s="170"/>
      <c r="BF381" s="170"/>
      <c r="BG381" s="170"/>
      <c r="BH381" s="170"/>
      <c r="BI381" s="170"/>
      <c r="BJ381" s="170"/>
      <c r="BK381" s="170"/>
      <c r="BL381" s="170"/>
      <c r="BM381" s="170"/>
      <c r="BN381" s="170"/>
      <c r="BO381" s="170"/>
      <c r="BP381" s="170"/>
      <c r="BQ381" s="170"/>
      <c r="BR381" s="170"/>
      <c r="BS381" s="170"/>
      <c r="BT381" s="170"/>
      <c r="BU381" s="170"/>
      <c r="BV381" s="170"/>
      <c r="BW381" s="170"/>
      <c r="BX381" s="170"/>
      <c r="BY381" s="170"/>
      <c r="BZ381" s="170"/>
    </row>
    <row r="382" spans="1:78" x14ac:dyDescent="0.2">
      <c r="A382" s="170"/>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c r="AB382" s="170"/>
      <c r="AC382" s="170"/>
      <c r="AD382" s="170"/>
      <c r="AE382" s="170"/>
      <c r="AF382" s="170"/>
      <c r="AG382" s="170"/>
      <c r="AH382" s="170"/>
      <c r="AI382" s="170"/>
      <c r="AJ382" s="170"/>
      <c r="AK382" s="170"/>
      <c r="AL382" s="170"/>
      <c r="AM382" s="170"/>
      <c r="AN382" s="170"/>
      <c r="AO382" s="170"/>
      <c r="AP382" s="170"/>
      <c r="AQ382" s="170"/>
      <c r="AR382" s="170"/>
      <c r="AS382" s="170"/>
      <c r="AT382" s="170"/>
      <c r="AU382" s="170"/>
      <c r="AV382" s="170"/>
      <c r="AW382" s="170"/>
      <c r="AX382" s="170"/>
      <c r="AY382" s="170"/>
      <c r="AZ382" s="170"/>
      <c r="BA382" s="170"/>
      <c r="BB382" s="170"/>
      <c r="BC382" s="170"/>
      <c r="BD382" s="170"/>
      <c r="BE382" s="170"/>
      <c r="BF382" s="170"/>
      <c r="BG382" s="170"/>
      <c r="BH382" s="170"/>
      <c r="BI382" s="170"/>
      <c r="BJ382" s="170"/>
      <c r="BK382" s="170"/>
      <c r="BL382" s="170"/>
      <c r="BM382" s="170"/>
      <c r="BN382" s="170"/>
      <c r="BO382" s="170"/>
      <c r="BP382" s="170"/>
      <c r="BQ382" s="170"/>
      <c r="BR382" s="170"/>
      <c r="BS382" s="170"/>
      <c r="BT382" s="170"/>
      <c r="BU382" s="170"/>
      <c r="BV382" s="170"/>
      <c r="BW382" s="170"/>
      <c r="BX382" s="170"/>
      <c r="BY382" s="170"/>
      <c r="BZ382" s="170"/>
    </row>
    <row r="383" spans="1:78" x14ac:dyDescent="0.2">
      <c r="A383" s="170"/>
      <c r="B383" s="170"/>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c r="AA383" s="170"/>
      <c r="AB383" s="170"/>
      <c r="AC383" s="170"/>
      <c r="AD383" s="170"/>
      <c r="AE383" s="170"/>
      <c r="AF383" s="170"/>
      <c r="AG383" s="170"/>
      <c r="AH383" s="170"/>
      <c r="AI383" s="170"/>
      <c r="AJ383" s="170"/>
      <c r="AK383" s="170"/>
      <c r="AL383" s="170"/>
      <c r="AM383" s="170"/>
      <c r="AN383" s="170"/>
      <c r="AO383" s="170"/>
      <c r="AP383" s="170"/>
      <c r="AQ383" s="170"/>
      <c r="AR383" s="170"/>
      <c r="AS383" s="170"/>
      <c r="AT383" s="170"/>
      <c r="AU383" s="170"/>
      <c r="AV383" s="170"/>
      <c r="AW383" s="170"/>
      <c r="AX383" s="170"/>
      <c r="AY383" s="170"/>
      <c r="AZ383" s="170"/>
      <c r="BA383" s="170"/>
      <c r="BB383" s="170"/>
      <c r="BC383" s="170"/>
      <c r="BD383" s="170"/>
      <c r="BE383" s="170"/>
      <c r="BF383" s="170"/>
      <c r="BG383" s="170"/>
      <c r="BH383" s="170"/>
      <c r="BI383" s="170"/>
      <c r="BJ383" s="170"/>
      <c r="BK383" s="170"/>
      <c r="BL383" s="170"/>
      <c r="BM383" s="170"/>
      <c r="BN383" s="170"/>
      <c r="BO383" s="170"/>
      <c r="BP383" s="170"/>
      <c r="BQ383" s="170"/>
      <c r="BR383" s="170"/>
      <c r="BS383" s="170"/>
      <c r="BT383" s="170"/>
      <c r="BU383" s="170"/>
      <c r="BV383" s="170"/>
      <c r="BW383" s="170"/>
      <c r="BX383" s="170"/>
      <c r="BY383" s="170"/>
      <c r="BZ383" s="170"/>
    </row>
    <row r="384" spans="1:78" x14ac:dyDescent="0.2">
      <c r="A384" s="170"/>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c r="AA384" s="170"/>
      <c r="AB384" s="170"/>
      <c r="AC384" s="170"/>
      <c r="AD384" s="170"/>
      <c r="AE384" s="170"/>
      <c r="AF384" s="170"/>
      <c r="AG384" s="170"/>
      <c r="AH384" s="170"/>
      <c r="AI384" s="170"/>
      <c r="AJ384" s="170"/>
      <c r="AK384" s="170"/>
      <c r="AL384" s="170"/>
      <c r="AM384" s="170"/>
      <c r="AN384" s="170"/>
      <c r="AO384" s="170"/>
      <c r="AP384" s="170"/>
      <c r="AQ384" s="170"/>
      <c r="AR384" s="170"/>
      <c r="AS384" s="170"/>
      <c r="AT384" s="170"/>
      <c r="AU384" s="170"/>
      <c r="AV384" s="170"/>
      <c r="AW384" s="170"/>
      <c r="AX384" s="170"/>
      <c r="AY384" s="170"/>
      <c r="AZ384" s="170"/>
      <c r="BA384" s="170"/>
      <c r="BB384" s="170"/>
      <c r="BC384" s="170"/>
      <c r="BD384" s="170"/>
      <c r="BE384" s="170"/>
      <c r="BF384" s="170"/>
      <c r="BG384" s="170"/>
      <c r="BH384" s="170"/>
      <c r="BI384" s="170"/>
      <c r="BJ384" s="170"/>
      <c r="BK384" s="170"/>
      <c r="BL384" s="170"/>
      <c r="BM384" s="170"/>
      <c r="BN384" s="170"/>
      <c r="BO384" s="170"/>
      <c r="BP384" s="170"/>
      <c r="BQ384" s="170"/>
      <c r="BR384" s="170"/>
      <c r="BS384" s="170"/>
      <c r="BT384" s="170"/>
      <c r="BU384" s="170"/>
      <c r="BV384" s="170"/>
      <c r="BW384" s="170"/>
      <c r="BX384" s="170"/>
      <c r="BY384" s="170"/>
      <c r="BZ384" s="170"/>
    </row>
    <row r="385" spans="1:78" x14ac:dyDescent="0.2">
      <c r="A385" s="170"/>
      <c r="B385" s="170"/>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c r="AA385" s="170"/>
      <c r="AB385" s="170"/>
      <c r="AC385" s="170"/>
      <c r="AD385" s="170"/>
      <c r="AE385" s="170"/>
      <c r="AF385" s="170"/>
      <c r="AG385" s="170"/>
      <c r="AH385" s="170"/>
      <c r="AI385" s="170"/>
      <c r="AJ385" s="170"/>
      <c r="AK385" s="170"/>
      <c r="AL385" s="170"/>
      <c r="AM385" s="170"/>
      <c r="AN385" s="170"/>
      <c r="AO385" s="170"/>
      <c r="AP385" s="170"/>
      <c r="AQ385" s="170"/>
      <c r="AR385" s="170"/>
      <c r="AS385" s="170"/>
      <c r="AT385" s="170"/>
      <c r="AU385" s="170"/>
      <c r="AV385" s="170"/>
      <c r="AW385" s="170"/>
      <c r="AX385" s="170"/>
      <c r="AY385" s="170"/>
      <c r="AZ385" s="170"/>
      <c r="BA385" s="170"/>
      <c r="BB385" s="170"/>
      <c r="BC385" s="170"/>
      <c r="BD385" s="170"/>
      <c r="BE385" s="170"/>
      <c r="BF385" s="170"/>
      <c r="BG385" s="170"/>
      <c r="BH385" s="170"/>
      <c r="BI385" s="170"/>
      <c r="BJ385" s="170"/>
      <c r="BK385" s="170"/>
      <c r="BL385" s="170"/>
      <c r="BM385" s="170"/>
      <c r="BN385" s="170"/>
      <c r="BO385" s="170"/>
      <c r="BP385" s="170"/>
      <c r="BQ385" s="170"/>
      <c r="BR385" s="170"/>
      <c r="BS385" s="170"/>
      <c r="BT385" s="170"/>
      <c r="BU385" s="170"/>
      <c r="BV385" s="170"/>
      <c r="BW385" s="170"/>
      <c r="BX385" s="170"/>
      <c r="BY385" s="170"/>
      <c r="BZ385" s="170"/>
    </row>
    <row r="386" spans="1:78" x14ac:dyDescent="0.2">
      <c r="A386" s="170"/>
      <c r="B386" s="170"/>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c r="AA386" s="170"/>
      <c r="AB386" s="170"/>
      <c r="AC386" s="170"/>
      <c r="AD386" s="170"/>
      <c r="AE386" s="170"/>
      <c r="AF386" s="170"/>
      <c r="AG386" s="170"/>
      <c r="AH386" s="170"/>
      <c r="AI386" s="170"/>
      <c r="AJ386" s="170"/>
      <c r="AK386" s="170"/>
      <c r="AL386" s="170"/>
      <c r="AM386" s="170"/>
      <c r="AN386" s="170"/>
      <c r="AO386" s="170"/>
      <c r="AP386" s="170"/>
      <c r="AQ386" s="170"/>
      <c r="AR386" s="170"/>
      <c r="AS386" s="170"/>
      <c r="AT386" s="170"/>
      <c r="AU386" s="170"/>
      <c r="AV386" s="170"/>
      <c r="AW386" s="170"/>
      <c r="AX386" s="170"/>
      <c r="AY386" s="170"/>
      <c r="AZ386" s="170"/>
      <c r="BA386" s="170"/>
      <c r="BB386" s="170"/>
      <c r="BC386" s="170"/>
      <c r="BD386" s="170"/>
      <c r="BE386" s="170"/>
      <c r="BF386" s="170"/>
      <c r="BG386" s="170"/>
      <c r="BH386" s="170"/>
      <c r="BI386" s="170"/>
      <c r="BJ386" s="170"/>
      <c r="BK386" s="170"/>
      <c r="BL386" s="170"/>
      <c r="BM386" s="170"/>
      <c r="BN386" s="170"/>
      <c r="BO386" s="170"/>
      <c r="BP386" s="170"/>
      <c r="BQ386" s="170"/>
      <c r="BR386" s="170"/>
      <c r="BS386" s="170"/>
      <c r="BT386" s="170"/>
      <c r="BU386" s="170"/>
      <c r="BV386" s="170"/>
      <c r="BW386" s="170"/>
      <c r="BX386" s="170"/>
      <c r="BY386" s="170"/>
      <c r="BZ386" s="170"/>
    </row>
    <row r="387" spans="1:78" x14ac:dyDescent="0.2">
      <c r="A387" s="170"/>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c r="AA387" s="170"/>
      <c r="AB387" s="170"/>
      <c r="AC387" s="170"/>
      <c r="AD387" s="170"/>
      <c r="AE387" s="170"/>
      <c r="AF387" s="170"/>
      <c r="AG387" s="170"/>
      <c r="AH387" s="170"/>
      <c r="AI387" s="170"/>
      <c r="AJ387" s="170"/>
      <c r="AK387" s="170"/>
      <c r="AL387" s="170"/>
      <c r="AM387" s="170"/>
      <c r="AN387" s="170"/>
      <c r="AO387" s="170"/>
      <c r="AP387" s="170"/>
      <c r="AQ387" s="170"/>
      <c r="AR387" s="170"/>
      <c r="AS387" s="170"/>
      <c r="AT387" s="170"/>
      <c r="AU387" s="170"/>
      <c r="AV387" s="170"/>
      <c r="AW387" s="170"/>
      <c r="AX387" s="170"/>
      <c r="AY387" s="170"/>
      <c r="AZ387" s="170"/>
      <c r="BA387" s="170"/>
      <c r="BB387" s="170"/>
      <c r="BC387" s="170"/>
      <c r="BD387" s="170"/>
      <c r="BE387" s="170"/>
      <c r="BF387" s="170"/>
      <c r="BG387" s="170"/>
      <c r="BH387" s="170"/>
      <c r="BI387" s="170"/>
      <c r="BJ387" s="170"/>
      <c r="BK387" s="170"/>
      <c r="BL387" s="170"/>
      <c r="BM387" s="170"/>
      <c r="BN387" s="170"/>
      <c r="BO387" s="170"/>
      <c r="BP387" s="170"/>
      <c r="BQ387" s="170"/>
      <c r="BR387" s="170"/>
      <c r="BS387" s="170"/>
      <c r="BT387" s="170"/>
      <c r="BU387" s="170"/>
      <c r="BV387" s="170"/>
      <c r="BW387" s="170"/>
      <c r="BX387" s="170"/>
      <c r="BY387" s="170"/>
      <c r="BZ387" s="170"/>
    </row>
    <row r="388" spans="1:78" x14ac:dyDescent="0.2">
      <c r="A388" s="170"/>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c r="AB388" s="170"/>
      <c r="AC388" s="170"/>
      <c r="AD388" s="170"/>
      <c r="AE388" s="170"/>
      <c r="AF388" s="170"/>
      <c r="AG388" s="170"/>
      <c r="AH388" s="170"/>
      <c r="AI388" s="170"/>
      <c r="AJ388" s="170"/>
      <c r="AK388" s="170"/>
      <c r="AL388" s="170"/>
      <c r="AM388" s="170"/>
      <c r="AN388" s="170"/>
      <c r="AO388" s="170"/>
      <c r="AP388" s="170"/>
      <c r="AQ388" s="170"/>
      <c r="AR388" s="170"/>
      <c r="AS388" s="170"/>
      <c r="AT388" s="170"/>
      <c r="AU388" s="170"/>
      <c r="AV388" s="170"/>
      <c r="AW388" s="170"/>
      <c r="AX388" s="170"/>
      <c r="AY388" s="170"/>
      <c r="AZ388" s="170"/>
      <c r="BA388" s="170"/>
      <c r="BB388" s="170"/>
      <c r="BC388" s="170"/>
      <c r="BD388" s="170"/>
      <c r="BE388" s="170"/>
      <c r="BF388" s="170"/>
      <c r="BG388" s="170"/>
      <c r="BH388" s="170"/>
      <c r="BI388" s="170"/>
      <c r="BJ388" s="170"/>
      <c r="BK388" s="170"/>
      <c r="BL388" s="170"/>
      <c r="BM388" s="170"/>
      <c r="BN388" s="170"/>
      <c r="BO388" s="170"/>
      <c r="BP388" s="170"/>
      <c r="BQ388" s="170"/>
      <c r="BR388" s="170"/>
      <c r="BS388" s="170"/>
      <c r="BT388" s="170"/>
      <c r="BU388" s="170"/>
      <c r="BV388" s="170"/>
      <c r="BW388" s="170"/>
      <c r="BX388" s="170"/>
      <c r="BY388" s="170"/>
      <c r="BZ388" s="170"/>
    </row>
    <row r="389" spans="1:78" x14ac:dyDescent="0.2">
      <c r="A389" s="170"/>
      <c r="B389" s="170"/>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c r="AB389" s="170"/>
      <c r="AC389" s="170"/>
      <c r="AD389" s="170"/>
      <c r="AE389" s="170"/>
      <c r="AF389" s="170"/>
      <c r="AG389" s="170"/>
      <c r="AH389" s="170"/>
      <c r="AI389" s="170"/>
      <c r="AJ389" s="170"/>
      <c r="AK389" s="170"/>
      <c r="AL389" s="170"/>
      <c r="AM389" s="170"/>
      <c r="AN389" s="170"/>
      <c r="AO389" s="170"/>
      <c r="AP389" s="170"/>
      <c r="AQ389" s="170"/>
      <c r="AR389" s="170"/>
      <c r="AS389" s="170"/>
      <c r="AT389" s="170"/>
      <c r="AU389" s="170"/>
      <c r="AV389" s="170"/>
      <c r="AW389" s="170"/>
      <c r="AX389" s="170"/>
      <c r="AY389" s="170"/>
      <c r="AZ389" s="170"/>
      <c r="BA389" s="170"/>
      <c r="BB389" s="170"/>
      <c r="BC389" s="170"/>
      <c r="BD389" s="170"/>
      <c r="BE389" s="170"/>
      <c r="BF389" s="170"/>
      <c r="BG389" s="170"/>
      <c r="BH389" s="170"/>
      <c r="BI389" s="170"/>
      <c r="BJ389" s="170"/>
      <c r="BK389" s="170"/>
      <c r="BL389" s="170"/>
      <c r="BM389" s="170"/>
      <c r="BN389" s="170"/>
      <c r="BO389" s="170"/>
      <c r="BP389" s="170"/>
      <c r="BQ389" s="170"/>
      <c r="BR389" s="170"/>
      <c r="BS389" s="170"/>
      <c r="BT389" s="170"/>
      <c r="BU389" s="170"/>
      <c r="BV389" s="170"/>
      <c r="BW389" s="170"/>
      <c r="BX389" s="170"/>
      <c r="BY389" s="170"/>
      <c r="BZ389" s="170"/>
    </row>
    <row r="390" spans="1:78" x14ac:dyDescent="0.2">
      <c r="A390" s="170"/>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c r="AA390" s="170"/>
      <c r="AB390" s="170"/>
      <c r="AC390" s="170"/>
      <c r="AD390" s="170"/>
      <c r="AE390" s="170"/>
      <c r="AF390" s="170"/>
      <c r="AG390" s="170"/>
      <c r="AH390" s="170"/>
      <c r="AI390" s="170"/>
      <c r="AJ390" s="170"/>
      <c r="AK390" s="170"/>
      <c r="AL390" s="170"/>
      <c r="AM390" s="170"/>
      <c r="AN390" s="170"/>
      <c r="AO390" s="170"/>
      <c r="AP390" s="170"/>
      <c r="AQ390" s="170"/>
      <c r="AR390" s="170"/>
      <c r="AS390" s="170"/>
      <c r="AT390" s="170"/>
      <c r="AU390" s="170"/>
      <c r="AV390" s="170"/>
      <c r="AW390" s="170"/>
      <c r="AX390" s="170"/>
      <c r="AY390" s="170"/>
      <c r="AZ390" s="170"/>
      <c r="BA390" s="170"/>
      <c r="BB390" s="170"/>
      <c r="BC390" s="170"/>
      <c r="BD390" s="170"/>
      <c r="BE390" s="170"/>
      <c r="BF390" s="170"/>
      <c r="BG390" s="170"/>
      <c r="BH390" s="170"/>
      <c r="BI390" s="170"/>
      <c r="BJ390" s="170"/>
      <c r="BK390" s="170"/>
      <c r="BL390" s="170"/>
      <c r="BM390" s="170"/>
      <c r="BN390" s="170"/>
      <c r="BO390" s="170"/>
      <c r="BP390" s="170"/>
      <c r="BQ390" s="170"/>
      <c r="BR390" s="170"/>
      <c r="BS390" s="170"/>
      <c r="BT390" s="170"/>
      <c r="BU390" s="170"/>
      <c r="BV390" s="170"/>
      <c r="BW390" s="170"/>
      <c r="BX390" s="170"/>
      <c r="BY390" s="170"/>
      <c r="BZ390" s="170"/>
    </row>
    <row r="391" spans="1:78" x14ac:dyDescent="0.2">
      <c r="A391" s="170"/>
      <c r="B391" s="170"/>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c r="AA391" s="170"/>
      <c r="AB391" s="170"/>
      <c r="AC391" s="170"/>
      <c r="AD391" s="170"/>
      <c r="AE391" s="170"/>
      <c r="AF391" s="170"/>
      <c r="AG391" s="170"/>
      <c r="AH391" s="170"/>
      <c r="AI391" s="170"/>
      <c r="AJ391" s="170"/>
      <c r="AK391" s="170"/>
      <c r="AL391" s="170"/>
      <c r="AM391" s="170"/>
      <c r="AN391" s="170"/>
      <c r="AO391" s="170"/>
      <c r="AP391" s="170"/>
      <c r="AQ391" s="170"/>
      <c r="AR391" s="170"/>
      <c r="AS391" s="170"/>
      <c r="AT391" s="170"/>
      <c r="AU391" s="170"/>
      <c r="AV391" s="170"/>
      <c r="AW391" s="170"/>
      <c r="AX391" s="170"/>
      <c r="AY391" s="170"/>
      <c r="AZ391" s="170"/>
      <c r="BA391" s="170"/>
      <c r="BB391" s="170"/>
      <c r="BC391" s="170"/>
      <c r="BD391" s="170"/>
      <c r="BE391" s="170"/>
      <c r="BF391" s="170"/>
      <c r="BG391" s="170"/>
      <c r="BH391" s="170"/>
      <c r="BI391" s="170"/>
      <c r="BJ391" s="170"/>
      <c r="BK391" s="170"/>
      <c r="BL391" s="170"/>
      <c r="BM391" s="170"/>
      <c r="BN391" s="170"/>
      <c r="BO391" s="170"/>
      <c r="BP391" s="170"/>
      <c r="BQ391" s="170"/>
      <c r="BR391" s="170"/>
      <c r="BS391" s="170"/>
      <c r="BT391" s="170"/>
      <c r="BU391" s="170"/>
      <c r="BV391" s="170"/>
      <c r="BW391" s="170"/>
      <c r="BX391" s="170"/>
      <c r="BY391" s="170"/>
      <c r="BZ391" s="170"/>
    </row>
    <row r="392" spans="1:78" x14ac:dyDescent="0.2">
      <c r="A392" s="170"/>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c r="AA392" s="170"/>
      <c r="AB392" s="170"/>
      <c r="AC392" s="170"/>
      <c r="AD392" s="170"/>
      <c r="AE392" s="170"/>
      <c r="AF392" s="170"/>
      <c r="AG392" s="170"/>
      <c r="AH392" s="170"/>
      <c r="AI392" s="170"/>
      <c r="AJ392" s="170"/>
      <c r="AK392" s="170"/>
      <c r="AL392" s="170"/>
      <c r="AM392" s="170"/>
      <c r="AN392" s="170"/>
      <c r="AO392" s="170"/>
      <c r="AP392" s="170"/>
      <c r="AQ392" s="170"/>
      <c r="AR392" s="170"/>
      <c r="AS392" s="170"/>
      <c r="AT392" s="170"/>
      <c r="AU392" s="170"/>
      <c r="AV392" s="170"/>
      <c r="AW392" s="170"/>
      <c r="AX392" s="170"/>
      <c r="AY392" s="170"/>
      <c r="AZ392" s="170"/>
      <c r="BA392" s="170"/>
      <c r="BB392" s="170"/>
      <c r="BC392" s="170"/>
      <c r="BD392" s="170"/>
      <c r="BE392" s="170"/>
      <c r="BF392" s="170"/>
      <c r="BG392" s="170"/>
      <c r="BH392" s="170"/>
      <c r="BI392" s="170"/>
      <c r="BJ392" s="170"/>
      <c r="BK392" s="170"/>
      <c r="BL392" s="170"/>
      <c r="BM392" s="170"/>
      <c r="BN392" s="170"/>
      <c r="BO392" s="170"/>
      <c r="BP392" s="170"/>
      <c r="BQ392" s="170"/>
      <c r="BR392" s="170"/>
      <c r="BS392" s="170"/>
      <c r="BT392" s="170"/>
      <c r="BU392" s="170"/>
      <c r="BV392" s="170"/>
      <c r="BW392" s="170"/>
      <c r="BX392" s="170"/>
      <c r="BY392" s="170"/>
      <c r="BZ392" s="170"/>
    </row>
    <row r="393" spans="1:78" x14ac:dyDescent="0.2">
      <c r="A393" s="170"/>
      <c r="B393" s="170"/>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c r="AA393" s="170"/>
      <c r="AB393" s="170"/>
      <c r="AC393" s="170"/>
      <c r="AD393" s="170"/>
      <c r="AE393" s="170"/>
      <c r="AF393" s="170"/>
      <c r="AG393" s="170"/>
      <c r="AH393" s="170"/>
      <c r="AI393" s="170"/>
      <c r="AJ393" s="170"/>
      <c r="AK393" s="170"/>
      <c r="AL393" s="170"/>
      <c r="AM393" s="170"/>
      <c r="AN393" s="170"/>
      <c r="AO393" s="170"/>
      <c r="AP393" s="170"/>
      <c r="AQ393" s="170"/>
      <c r="AR393" s="170"/>
      <c r="AS393" s="170"/>
      <c r="AT393" s="170"/>
      <c r="AU393" s="170"/>
      <c r="AV393" s="170"/>
      <c r="AW393" s="170"/>
      <c r="AX393" s="170"/>
      <c r="AY393" s="170"/>
      <c r="AZ393" s="170"/>
      <c r="BA393" s="170"/>
      <c r="BB393" s="170"/>
      <c r="BC393" s="170"/>
      <c r="BD393" s="170"/>
      <c r="BE393" s="170"/>
      <c r="BF393" s="170"/>
      <c r="BG393" s="170"/>
      <c r="BH393" s="170"/>
      <c r="BI393" s="170"/>
      <c r="BJ393" s="170"/>
      <c r="BK393" s="170"/>
      <c r="BL393" s="170"/>
      <c r="BM393" s="170"/>
      <c r="BN393" s="170"/>
      <c r="BO393" s="170"/>
      <c r="BP393" s="170"/>
      <c r="BQ393" s="170"/>
      <c r="BR393" s="170"/>
      <c r="BS393" s="170"/>
      <c r="BT393" s="170"/>
      <c r="BU393" s="170"/>
      <c r="BV393" s="170"/>
      <c r="BW393" s="170"/>
      <c r="BX393" s="170"/>
      <c r="BY393" s="170"/>
      <c r="BZ393" s="170"/>
    </row>
    <row r="394" spans="1:78" x14ac:dyDescent="0.2">
      <c r="A394" s="170"/>
      <c r="B394" s="170"/>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c r="AA394" s="170"/>
      <c r="AB394" s="170"/>
      <c r="AC394" s="170"/>
      <c r="AD394" s="170"/>
      <c r="AE394" s="170"/>
      <c r="AF394" s="170"/>
      <c r="AG394" s="170"/>
      <c r="AH394" s="170"/>
      <c r="AI394" s="170"/>
      <c r="AJ394" s="170"/>
      <c r="AK394" s="170"/>
      <c r="AL394" s="170"/>
      <c r="AM394" s="170"/>
      <c r="AN394" s="170"/>
      <c r="AO394" s="170"/>
      <c r="AP394" s="170"/>
      <c r="AQ394" s="170"/>
      <c r="AR394" s="170"/>
      <c r="AS394" s="170"/>
      <c r="AT394" s="170"/>
      <c r="AU394" s="170"/>
      <c r="AV394" s="170"/>
      <c r="AW394" s="170"/>
      <c r="AX394" s="170"/>
      <c r="AY394" s="170"/>
      <c r="AZ394" s="170"/>
      <c r="BA394" s="170"/>
      <c r="BB394" s="170"/>
      <c r="BC394" s="170"/>
      <c r="BD394" s="170"/>
      <c r="BE394" s="170"/>
      <c r="BF394" s="170"/>
      <c r="BG394" s="170"/>
      <c r="BH394" s="170"/>
      <c r="BI394" s="170"/>
      <c r="BJ394" s="170"/>
      <c r="BK394" s="170"/>
      <c r="BL394" s="170"/>
      <c r="BM394" s="170"/>
      <c r="BN394" s="170"/>
      <c r="BO394" s="170"/>
      <c r="BP394" s="170"/>
      <c r="BQ394" s="170"/>
      <c r="BR394" s="170"/>
      <c r="BS394" s="170"/>
      <c r="BT394" s="170"/>
      <c r="BU394" s="170"/>
      <c r="BV394" s="170"/>
      <c r="BW394" s="170"/>
      <c r="BX394" s="170"/>
      <c r="BY394" s="170"/>
      <c r="BZ394" s="170"/>
    </row>
    <row r="395" spans="1:78" x14ac:dyDescent="0.2">
      <c r="A395" s="170"/>
      <c r="B395" s="170"/>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c r="AA395" s="170"/>
      <c r="AB395" s="170"/>
      <c r="AC395" s="170"/>
      <c r="AD395" s="170"/>
      <c r="AE395" s="170"/>
      <c r="AF395" s="170"/>
      <c r="AG395" s="170"/>
      <c r="AH395" s="170"/>
      <c r="AI395" s="170"/>
      <c r="AJ395" s="170"/>
      <c r="AK395" s="170"/>
      <c r="AL395" s="170"/>
      <c r="AM395" s="170"/>
      <c r="AN395" s="170"/>
      <c r="AO395" s="170"/>
      <c r="AP395" s="170"/>
      <c r="AQ395" s="170"/>
      <c r="AR395" s="170"/>
      <c r="AS395" s="170"/>
      <c r="AT395" s="170"/>
      <c r="AU395" s="170"/>
      <c r="AV395" s="170"/>
      <c r="AW395" s="170"/>
      <c r="AX395" s="170"/>
      <c r="AY395" s="170"/>
      <c r="AZ395" s="170"/>
      <c r="BA395" s="170"/>
      <c r="BB395" s="170"/>
      <c r="BC395" s="170"/>
      <c r="BD395" s="170"/>
      <c r="BE395" s="170"/>
      <c r="BF395" s="170"/>
      <c r="BG395" s="170"/>
      <c r="BH395" s="170"/>
      <c r="BI395" s="170"/>
      <c r="BJ395" s="170"/>
      <c r="BK395" s="170"/>
      <c r="BL395" s="170"/>
      <c r="BM395" s="170"/>
      <c r="BN395" s="170"/>
      <c r="BO395" s="170"/>
      <c r="BP395" s="170"/>
      <c r="BQ395" s="170"/>
      <c r="BR395" s="170"/>
      <c r="BS395" s="170"/>
      <c r="BT395" s="170"/>
      <c r="BU395" s="170"/>
      <c r="BV395" s="170"/>
      <c r="BW395" s="170"/>
      <c r="BX395" s="170"/>
      <c r="BY395" s="170"/>
      <c r="BZ395" s="170"/>
    </row>
    <row r="396" spans="1:78" x14ac:dyDescent="0.2">
      <c r="A396" s="170"/>
      <c r="B396" s="170"/>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c r="AA396" s="170"/>
      <c r="AB396" s="170"/>
      <c r="AC396" s="170"/>
      <c r="AD396" s="170"/>
      <c r="AE396" s="170"/>
      <c r="AF396" s="170"/>
      <c r="AG396" s="170"/>
      <c r="AH396" s="170"/>
      <c r="AI396" s="170"/>
      <c r="AJ396" s="170"/>
      <c r="AK396" s="170"/>
      <c r="AL396" s="170"/>
      <c r="AM396" s="170"/>
      <c r="AN396" s="170"/>
      <c r="AO396" s="170"/>
      <c r="AP396" s="170"/>
      <c r="AQ396" s="170"/>
      <c r="AR396" s="170"/>
      <c r="AS396" s="170"/>
      <c r="AT396" s="170"/>
      <c r="AU396" s="170"/>
      <c r="AV396" s="170"/>
      <c r="AW396" s="170"/>
      <c r="AX396" s="170"/>
      <c r="AY396" s="170"/>
      <c r="AZ396" s="170"/>
      <c r="BA396" s="170"/>
      <c r="BB396" s="170"/>
      <c r="BC396" s="170"/>
      <c r="BD396" s="170"/>
      <c r="BE396" s="170"/>
      <c r="BF396" s="170"/>
      <c r="BG396" s="170"/>
      <c r="BH396" s="170"/>
      <c r="BI396" s="170"/>
      <c r="BJ396" s="170"/>
      <c r="BK396" s="170"/>
      <c r="BL396" s="170"/>
      <c r="BM396" s="170"/>
      <c r="BN396" s="170"/>
      <c r="BO396" s="170"/>
      <c r="BP396" s="170"/>
      <c r="BQ396" s="170"/>
      <c r="BR396" s="170"/>
      <c r="BS396" s="170"/>
      <c r="BT396" s="170"/>
      <c r="BU396" s="170"/>
      <c r="BV396" s="170"/>
      <c r="BW396" s="170"/>
      <c r="BX396" s="170"/>
      <c r="BY396" s="170"/>
      <c r="BZ396" s="170"/>
    </row>
    <row r="397" spans="1:78" x14ac:dyDescent="0.2">
      <c r="A397" s="170"/>
      <c r="B397" s="170"/>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c r="AA397" s="170"/>
      <c r="AB397" s="170"/>
      <c r="AC397" s="170"/>
      <c r="AD397" s="170"/>
      <c r="AE397" s="170"/>
      <c r="AF397" s="170"/>
      <c r="AG397" s="170"/>
      <c r="AH397" s="170"/>
      <c r="AI397" s="170"/>
      <c r="AJ397" s="170"/>
      <c r="AK397" s="170"/>
      <c r="AL397" s="170"/>
      <c r="AM397" s="170"/>
      <c r="AN397" s="170"/>
      <c r="AO397" s="170"/>
      <c r="AP397" s="170"/>
      <c r="AQ397" s="170"/>
      <c r="AR397" s="170"/>
      <c r="AS397" s="170"/>
      <c r="AT397" s="170"/>
      <c r="AU397" s="170"/>
      <c r="AV397" s="170"/>
      <c r="AW397" s="170"/>
      <c r="AX397" s="170"/>
      <c r="AY397" s="170"/>
      <c r="AZ397" s="170"/>
      <c r="BA397" s="170"/>
      <c r="BB397" s="170"/>
      <c r="BC397" s="170"/>
      <c r="BD397" s="170"/>
      <c r="BE397" s="170"/>
      <c r="BF397" s="170"/>
      <c r="BG397" s="170"/>
      <c r="BH397" s="170"/>
      <c r="BI397" s="170"/>
      <c r="BJ397" s="170"/>
      <c r="BK397" s="170"/>
      <c r="BL397" s="170"/>
      <c r="BM397" s="170"/>
      <c r="BN397" s="170"/>
      <c r="BO397" s="170"/>
      <c r="BP397" s="170"/>
      <c r="BQ397" s="170"/>
      <c r="BR397" s="170"/>
      <c r="BS397" s="170"/>
      <c r="BT397" s="170"/>
      <c r="BU397" s="170"/>
      <c r="BV397" s="170"/>
      <c r="BW397" s="170"/>
      <c r="BX397" s="170"/>
      <c r="BY397" s="170"/>
      <c r="BZ397" s="170"/>
    </row>
    <row r="398" spans="1:78" x14ac:dyDescent="0.2">
      <c r="A398" s="170"/>
      <c r="B398" s="170"/>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c r="AA398" s="170"/>
      <c r="AB398" s="170"/>
      <c r="AC398" s="170"/>
      <c r="AD398" s="170"/>
      <c r="AE398" s="170"/>
      <c r="AF398" s="170"/>
      <c r="AG398" s="170"/>
      <c r="AH398" s="170"/>
      <c r="AI398" s="170"/>
      <c r="AJ398" s="170"/>
      <c r="AK398" s="170"/>
      <c r="AL398" s="170"/>
      <c r="AM398" s="170"/>
      <c r="AN398" s="170"/>
      <c r="AO398" s="170"/>
      <c r="AP398" s="170"/>
      <c r="AQ398" s="170"/>
      <c r="AR398" s="170"/>
      <c r="AS398" s="170"/>
      <c r="AT398" s="170"/>
      <c r="AU398" s="170"/>
      <c r="AV398" s="170"/>
      <c r="AW398" s="170"/>
      <c r="AX398" s="170"/>
      <c r="AY398" s="170"/>
      <c r="AZ398" s="170"/>
      <c r="BA398" s="170"/>
      <c r="BB398" s="170"/>
      <c r="BC398" s="170"/>
      <c r="BD398" s="170"/>
      <c r="BE398" s="170"/>
      <c r="BF398" s="170"/>
      <c r="BG398" s="170"/>
      <c r="BH398" s="170"/>
      <c r="BI398" s="170"/>
      <c r="BJ398" s="170"/>
      <c r="BK398" s="170"/>
      <c r="BL398" s="170"/>
      <c r="BM398" s="170"/>
      <c r="BN398" s="170"/>
      <c r="BO398" s="170"/>
      <c r="BP398" s="170"/>
      <c r="BQ398" s="170"/>
      <c r="BR398" s="170"/>
      <c r="BS398" s="170"/>
      <c r="BT398" s="170"/>
      <c r="BU398" s="170"/>
      <c r="BV398" s="170"/>
      <c r="BW398" s="170"/>
      <c r="BX398" s="170"/>
      <c r="BY398" s="170"/>
      <c r="BZ398" s="170"/>
    </row>
    <row r="399" spans="1:78" x14ac:dyDescent="0.2">
      <c r="A399" s="170"/>
      <c r="B399" s="170"/>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c r="AA399" s="170"/>
      <c r="AB399" s="170"/>
      <c r="AC399" s="170"/>
      <c r="AD399" s="170"/>
      <c r="AE399" s="170"/>
      <c r="AF399" s="170"/>
      <c r="AG399" s="170"/>
      <c r="AH399" s="170"/>
      <c r="AI399" s="170"/>
      <c r="AJ399" s="170"/>
      <c r="AK399" s="170"/>
      <c r="AL399" s="170"/>
      <c r="AM399" s="170"/>
      <c r="AN399" s="170"/>
      <c r="AO399" s="170"/>
      <c r="AP399" s="170"/>
      <c r="AQ399" s="170"/>
      <c r="AR399" s="170"/>
      <c r="AS399" s="170"/>
      <c r="AT399" s="170"/>
      <c r="AU399" s="170"/>
      <c r="AV399" s="170"/>
      <c r="AW399" s="170"/>
      <c r="AX399" s="170"/>
      <c r="AY399" s="170"/>
      <c r="AZ399" s="170"/>
      <c r="BA399" s="170"/>
      <c r="BB399" s="170"/>
      <c r="BC399" s="170"/>
      <c r="BD399" s="170"/>
      <c r="BE399" s="170"/>
      <c r="BF399" s="170"/>
      <c r="BG399" s="170"/>
      <c r="BH399" s="170"/>
      <c r="BI399" s="170"/>
      <c r="BJ399" s="170"/>
      <c r="BK399" s="170"/>
      <c r="BL399" s="170"/>
      <c r="BM399" s="170"/>
      <c r="BN399" s="170"/>
      <c r="BO399" s="170"/>
      <c r="BP399" s="170"/>
      <c r="BQ399" s="170"/>
      <c r="BR399" s="170"/>
      <c r="BS399" s="170"/>
      <c r="BT399" s="170"/>
      <c r="BU399" s="170"/>
      <c r="BV399" s="170"/>
      <c r="BW399" s="170"/>
      <c r="BX399" s="170"/>
      <c r="BY399" s="170"/>
      <c r="BZ399" s="170"/>
    </row>
    <row r="400" spans="1:78" x14ac:dyDescent="0.2">
      <c r="A400" s="170"/>
      <c r="B400" s="170"/>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c r="AA400" s="170"/>
      <c r="AB400" s="170"/>
      <c r="AC400" s="170"/>
      <c r="AD400" s="170"/>
      <c r="AE400" s="170"/>
      <c r="AF400" s="170"/>
      <c r="AG400" s="170"/>
      <c r="AH400" s="170"/>
      <c r="AI400" s="170"/>
      <c r="AJ400" s="170"/>
      <c r="AK400" s="170"/>
      <c r="AL400" s="170"/>
      <c r="AM400" s="170"/>
      <c r="AN400" s="170"/>
      <c r="AO400" s="170"/>
      <c r="AP400" s="170"/>
      <c r="AQ400" s="170"/>
      <c r="AR400" s="170"/>
      <c r="AS400" s="170"/>
      <c r="AT400" s="170"/>
      <c r="AU400" s="170"/>
      <c r="AV400" s="170"/>
      <c r="AW400" s="170"/>
      <c r="AX400" s="170"/>
      <c r="AY400" s="170"/>
      <c r="AZ400" s="170"/>
      <c r="BA400" s="170"/>
      <c r="BB400" s="170"/>
      <c r="BC400" s="170"/>
      <c r="BD400" s="170"/>
      <c r="BE400" s="170"/>
      <c r="BF400" s="170"/>
      <c r="BG400" s="170"/>
      <c r="BH400" s="170"/>
      <c r="BI400" s="170"/>
      <c r="BJ400" s="170"/>
      <c r="BK400" s="170"/>
      <c r="BL400" s="170"/>
      <c r="BM400" s="170"/>
      <c r="BN400" s="170"/>
      <c r="BO400" s="170"/>
      <c r="BP400" s="170"/>
      <c r="BQ400" s="170"/>
      <c r="BR400" s="170"/>
      <c r="BS400" s="170"/>
      <c r="BT400" s="170"/>
      <c r="BU400" s="170"/>
      <c r="BV400" s="170"/>
      <c r="BW400" s="170"/>
      <c r="BX400" s="170"/>
      <c r="BY400" s="170"/>
      <c r="BZ400" s="170"/>
    </row>
    <row r="401" spans="1:78" x14ac:dyDescent="0.2">
      <c r="A401" s="170"/>
      <c r="B401" s="170"/>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c r="AA401" s="170"/>
      <c r="AB401" s="170"/>
      <c r="AC401" s="170"/>
      <c r="AD401" s="170"/>
      <c r="AE401" s="170"/>
      <c r="AF401" s="170"/>
      <c r="AG401" s="170"/>
      <c r="AH401" s="170"/>
      <c r="AI401" s="170"/>
      <c r="AJ401" s="170"/>
      <c r="AK401" s="170"/>
      <c r="AL401" s="170"/>
      <c r="AM401" s="170"/>
      <c r="AN401" s="170"/>
      <c r="AO401" s="170"/>
      <c r="AP401" s="170"/>
      <c r="AQ401" s="170"/>
      <c r="AR401" s="170"/>
      <c r="AS401" s="170"/>
      <c r="AT401" s="170"/>
      <c r="AU401" s="170"/>
      <c r="AV401" s="170"/>
      <c r="AW401" s="170"/>
      <c r="AX401" s="170"/>
      <c r="AY401" s="170"/>
      <c r="AZ401" s="170"/>
      <c r="BA401" s="170"/>
      <c r="BB401" s="170"/>
      <c r="BC401" s="170"/>
      <c r="BD401" s="170"/>
      <c r="BE401" s="170"/>
      <c r="BF401" s="170"/>
      <c r="BG401" s="170"/>
      <c r="BH401" s="170"/>
      <c r="BI401" s="170"/>
      <c r="BJ401" s="170"/>
      <c r="BK401" s="170"/>
      <c r="BL401" s="170"/>
      <c r="BM401" s="170"/>
      <c r="BN401" s="170"/>
      <c r="BO401" s="170"/>
      <c r="BP401" s="170"/>
      <c r="BQ401" s="170"/>
      <c r="BR401" s="170"/>
      <c r="BS401" s="170"/>
      <c r="BT401" s="170"/>
      <c r="BU401" s="170"/>
      <c r="BV401" s="170"/>
      <c r="BW401" s="170"/>
      <c r="BX401" s="170"/>
      <c r="BY401" s="170"/>
      <c r="BZ401" s="170"/>
    </row>
    <row r="402" spans="1:78" x14ac:dyDescent="0.2">
      <c r="A402" s="170"/>
      <c r="B402" s="170"/>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170"/>
      <c r="AL402" s="170"/>
      <c r="AM402" s="170"/>
      <c r="AN402" s="170"/>
      <c r="AO402" s="170"/>
      <c r="AP402" s="170"/>
      <c r="AQ402" s="170"/>
      <c r="AR402" s="170"/>
      <c r="AS402" s="170"/>
      <c r="AT402" s="170"/>
      <c r="AU402" s="170"/>
      <c r="AV402" s="170"/>
      <c r="AW402" s="170"/>
      <c r="AX402" s="170"/>
      <c r="AY402" s="170"/>
      <c r="AZ402" s="170"/>
      <c r="BA402" s="170"/>
      <c r="BB402" s="170"/>
      <c r="BC402" s="170"/>
      <c r="BD402" s="170"/>
      <c r="BE402" s="170"/>
      <c r="BF402" s="170"/>
      <c r="BG402" s="170"/>
      <c r="BH402" s="170"/>
      <c r="BI402" s="170"/>
      <c r="BJ402" s="170"/>
      <c r="BK402" s="170"/>
      <c r="BL402" s="170"/>
      <c r="BM402" s="170"/>
      <c r="BN402" s="170"/>
      <c r="BO402" s="170"/>
      <c r="BP402" s="170"/>
      <c r="BQ402" s="170"/>
      <c r="BR402" s="170"/>
      <c r="BS402" s="170"/>
      <c r="BT402" s="170"/>
      <c r="BU402" s="170"/>
      <c r="BV402" s="170"/>
      <c r="BW402" s="170"/>
      <c r="BX402" s="170"/>
      <c r="BY402" s="170"/>
      <c r="BZ402" s="170"/>
    </row>
    <row r="403" spans="1:78" x14ac:dyDescent="0.2">
      <c r="A403" s="170"/>
      <c r="B403" s="170"/>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c r="AA403" s="170"/>
      <c r="AB403" s="170"/>
      <c r="AC403" s="170"/>
      <c r="AD403" s="170"/>
      <c r="AE403" s="170"/>
      <c r="AF403" s="170"/>
      <c r="AG403" s="170"/>
      <c r="AH403" s="170"/>
      <c r="AI403" s="170"/>
      <c r="AJ403" s="170"/>
      <c r="AK403" s="170"/>
      <c r="AL403" s="170"/>
      <c r="AM403" s="170"/>
      <c r="AN403" s="170"/>
      <c r="AO403" s="170"/>
      <c r="AP403" s="170"/>
      <c r="AQ403" s="170"/>
      <c r="AR403" s="170"/>
      <c r="AS403" s="170"/>
      <c r="AT403" s="170"/>
      <c r="AU403" s="170"/>
      <c r="AV403" s="170"/>
      <c r="AW403" s="170"/>
      <c r="AX403" s="170"/>
      <c r="AY403" s="170"/>
      <c r="AZ403" s="170"/>
      <c r="BA403" s="170"/>
      <c r="BB403" s="170"/>
      <c r="BC403" s="170"/>
      <c r="BD403" s="170"/>
      <c r="BE403" s="170"/>
      <c r="BF403" s="170"/>
      <c r="BG403" s="170"/>
      <c r="BH403" s="170"/>
      <c r="BI403" s="170"/>
      <c r="BJ403" s="170"/>
      <c r="BK403" s="170"/>
      <c r="BL403" s="170"/>
      <c r="BM403" s="170"/>
      <c r="BN403" s="170"/>
      <c r="BO403" s="170"/>
      <c r="BP403" s="170"/>
      <c r="BQ403" s="170"/>
      <c r="BR403" s="170"/>
      <c r="BS403" s="170"/>
      <c r="BT403" s="170"/>
      <c r="BU403" s="170"/>
      <c r="BV403" s="170"/>
      <c r="BW403" s="170"/>
      <c r="BX403" s="170"/>
      <c r="BY403" s="170"/>
      <c r="BZ403" s="170"/>
    </row>
    <row r="404" spans="1:78" x14ac:dyDescent="0.2">
      <c r="A404" s="170"/>
      <c r="B404" s="170"/>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c r="AA404" s="170"/>
      <c r="AB404" s="170"/>
      <c r="AC404" s="170"/>
      <c r="AD404" s="170"/>
      <c r="AE404" s="170"/>
      <c r="AF404" s="170"/>
      <c r="AG404" s="170"/>
      <c r="AH404" s="170"/>
      <c r="AI404" s="170"/>
      <c r="AJ404" s="170"/>
      <c r="AK404" s="170"/>
      <c r="AL404" s="170"/>
      <c r="AM404" s="170"/>
      <c r="AN404" s="170"/>
      <c r="AO404" s="170"/>
      <c r="AP404" s="170"/>
      <c r="AQ404" s="170"/>
      <c r="AR404" s="170"/>
      <c r="AS404" s="170"/>
      <c r="AT404" s="170"/>
      <c r="AU404" s="170"/>
      <c r="AV404" s="170"/>
      <c r="AW404" s="170"/>
      <c r="AX404" s="170"/>
      <c r="AY404" s="170"/>
      <c r="AZ404" s="170"/>
      <c r="BA404" s="170"/>
      <c r="BB404" s="170"/>
      <c r="BC404" s="170"/>
      <c r="BD404" s="170"/>
      <c r="BE404" s="170"/>
      <c r="BF404" s="170"/>
      <c r="BG404" s="170"/>
      <c r="BH404" s="170"/>
      <c r="BI404" s="170"/>
      <c r="BJ404" s="170"/>
      <c r="BK404" s="170"/>
      <c r="BL404" s="170"/>
      <c r="BM404" s="170"/>
      <c r="BN404" s="170"/>
      <c r="BO404" s="170"/>
      <c r="BP404" s="170"/>
      <c r="BQ404" s="170"/>
      <c r="BR404" s="170"/>
      <c r="BS404" s="170"/>
      <c r="BT404" s="170"/>
      <c r="BU404" s="170"/>
      <c r="BV404" s="170"/>
      <c r="BW404" s="170"/>
      <c r="BX404" s="170"/>
      <c r="BY404" s="170"/>
      <c r="BZ404" s="170"/>
    </row>
    <row r="405" spans="1:78" x14ac:dyDescent="0.2">
      <c r="A405" s="170"/>
      <c r="B405" s="170"/>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c r="AA405" s="170"/>
      <c r="AB405" s="170"/>
      <c r="AC405" s="170"/>
      <c r="AD405" s="170"/>
      <c r="AE405" s="170"/>
      <c r="AF405" s="170"/>
      <c r="AG405" s="170"/>
      <c r="AH405" s="170"/>
      <c r="AI405" s="170"/>
      <c r="AJ405" s="170"/>
      <c r="AK405" s="170"/>
      <c r="AL405" s="170"/>
      <c r="AM405" s="170"/>
      <c r="AN405" s="170"/>
      <c r="AO405" s="170"/>
      <c r="AP405" s="170"/>
      <c r="AQ405" s="170"/>
      <c r="AR405" s="170"/>
      <c r="AS405" s="170"/>
      <c r="AT405" s="170"/>
      <c r="AU405" s="170"/>
      <c r="AV405" s="170"/>
      <c r="AW405" s="170"/>
      <c r="AX405" s="170"/>
      <c r="AY405" s="170"/>
      <c r="AZ405" s="170"/>
      <c r="BA405" s="170"/>
      <c r="BB405" s="170"/>
      <c r="BC405" s="170"/>
      <c r="BD405" s="170"/>
      <c r="BE405" s="170"/>
      <c r="BF405" s="170"/>
      <c r="BG405" s="170"/>
      <c r="BH405" s="170"/>
      <c r="BI405" s="170"/>
      <c r="BJ405" s="170"/>
      <c r="BK405" s="170"/>
      <c r="BL405" s="170"/>
      <c r="BM405" s="170"/>
      <c r="BN405" s="170"/>
      <c r="BO405" s="170"/>
      <c r="BP405" s="170"/>
      <c r="BQ405" s="170"/>
      <c r="BR405" s="170"/>
      <c r="BS405" s="170"/>
      <c r="BT405" s="170"/>
      <c r="BU405" s="170"/>
      <c r="BV405" s="170"/>
      <c r="BW405" s="170"/>
      <c r="BX405" s="170"/>
      <c r="BY405" s="170"/>
      <c r="BZ405" s="170"/>
    </row>
    <row r="406" spans="1:78" x14ac:dyDescent="0.2">
      <c r="A406" s="170"/>
      <c r="B406" s="170"/>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c r="AA406" s="170"/>
      <c r="AB406" s="170"/>
      <c r="AC406" s="170"/>
      <c r="AD406" s="170"/>
      <c r="AE406" s="170"/>
      <c r="AF406" s="170"/>
      <c r="AG406" s="170"/>
      <c r="AH406" s="170"/>
      <c r="AI406" s="170"/>
      <c r="AJ406" s="170"/>
      <c r="AK406" s="170"/>
      <c r="AL406" s="170"/>
      <c r="AM406" s="170"/>
      <c r="AN406" s="170"/>
      <c r="AO406" s="170"/>
      <c r="AP406" s="170"/>
      <c r="AQ406" s="170"/>
      <c r="AR406" s="170"/>
      <c r="AS406" s="170"/>
      <c r="AT406" s="170"/>
      <c r="AU406" s="170"/>
      <c r="AV406" s="170"/>
      <c r="AW406" s="170"/>
      <c r="AX406" s="170"/>
      <c r="AY406" s="170"/>
      <c r="AZ406" s="170"/>
      <c r="BA406" s="170"/>
      <c r="BB406" s="170"/>
      <c r="BC406" s="170"/>
      <c r="BD406" s="170"/>
      <c r="BE406" s="170"/>
      <c r="BF406" s="170"/>
      <c r="BG406" s="170"/>
      <c r="BH406" s="170"/>
      <c r="BI406" s="170"/>
      <c r="BJ406" s="170"/>
      <c r="BK406" s="170"/>
      <c r="BL406" s="170"/>
      <c r="BM406" s="170"/>
      <c r="BN406" s="170"/>
      <c r="BO406" s="170"/>
      <c r="BP406" s="170"/>
      <c r="BQ406" s="170"/>
      <c r="BR406" s="170"/>
      <c r="BS406" s="170"/>
      <c r="BT406" s="170"/>
      <c r="BU406" s="170"/>
      <c r="BV406" s="170"/>
      <c r="BW406" s="170"/>
      <c r="BX406" s="170"/>
      <c r="BY406" s="170"/>
      <c r="BZ406" s="170"/>
    </row>
    <row r="407" spans="1:78" x14ac:dyDescent="0.2">
      <c r="A407" s="170"/>
      <c r="B407" s="170"/>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c r="AA407" s="170"/>
      <c r="AB407" s="170"/>
      <c r="AC407" s="170"/>
      <c r="AD407" s="170"/>
      <c r="AE407" s="170"/>
      <c r="AF407" s="170"/>
      <c r="AG407" s="170"/>
      <c r="AH407" s="170"/>
      <c r="AI407" s="170"/>
      <c r="AJ407" s="170"/>
      <c r="AK407" s="170"/>
      <c r="AL407" s="170"/>
      <c r="AM407" s="170"/>
      <c r="AN407" s="170"/>
      <c r="AO407" s="170"/>
      <c r="AP407" s="170"/>
      <c r="AQ407" s="170"/>
      <c r="AR407" s="170"/>
      <c r="AS407" s="170"/>
      <c r="AT407" s="170"/>
      <c r="AU407" s="170"/>
      <c r="AV407" s="170"/>
      <c r="AW407" s="170"/>
      <c r="AX407" s="170"/>
      <c r="AY407" s="170"/>
      <c r="AZ407" s="170"/>
      <c r="BA407" s="170"/>
      <c r="BB407" s="170"/>
      <c r="BC407" s="170"/>
      <c r="BD407" s="170"/>
      <c r="BE407" s="170"/>
      <c r="BF407" s="170"/>
      <c r="BG407" s="170"/>
      <c r="BH407" s="170"/>
      <c r="BI407" s="170"/>
      <c r="BJ407" s="170"/>
      <c r="BK407" s="170"/>
      <c r="BL407" s="170"/>
      <c r="BM407" s="170"/>
      <c r="BN407" s="170"/>
      <c r="BO407" s="170"/>
      <c r="BP407" s="170"/>
      <c r="BQ407" s="170"/>
      <c r="BR407" s="170"/>
      <c r="BS407" s="170"/>
      <c r="BT407" s="170"/>
      <c r="BU407" s="170"/>
      <c r="BV407" s="170"/>
      <c r="BW407" s="170"/>
      <c r="BX407" s="170"/>
      <c r="BY407" s="170"/>
      <c r="BZ407" s="170"/>
    </row>
    <row r="408" spans="1:78" x14ac:dyDescent="0.2">
      <c r="A408" s="170"/>
      <c r="B408" s="170"/>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c r="AA408" s="170"/>
      <c r="AB408" s="170"/>
      <c r="AC408" s="170"/>
      <c r="AD408" s="170"/>
      <c r="AE408" s="170"/>
      <c r="AF408" s="170"/>
      <c r="AG408" s="170"/>
      <c r="AH408" s="170"/>
      <c r="AI408" s="170"/>
      <c r="AJ408" s="170"/>
      <c r="AK408" s="170"/>
      <c r="AL408" s="170"/>
      <c r="AM408" s="170"/>
      <c r="AN408" s="170"/>
      <c r="AO408" s="170"/>
      <c r="AP408" s="170"/>
      <c r="AQ408" s="170"/>
      <c r="AR408" s="170"/>
      <c r="AS408" s="170"/>
      <c r="AT408" s="170"/>
      <c r="AU408" s="170"/>
      <c r="AV408" s="170"/>
      <c r="AW408" s="170"/>
      <c r="AX408" s="170"/>
      <c r="AY408" s="170"/>
      <c r="AZ408" s="170"/>
      <c r="BA408" s="170"/>
      <c r="BB408" s="170"/>
      <c r="BC408" s="170"/>
      <c r="BD408" s="170"/>
      <c r="BE408" s="170"/>
      <c r="BF408" s="170"/>
      <c r="BG408" s="170"/>
      <c r="BH408" s="170"/>
      <c r="BI408" s="170"/>
      <c r="BJ408" s="170"/>
      <c r="BK408" s="170"/>
      <c r="BL408" s="170"/>
      <c r="BM408" s="170"/>
      <c r="BN408" s="170"/>
      <c r="BO408" s="170"/>
      <c r="BP408" s="170"/>
      <c r="BQ408" s="170"/>
      <c r="BR408" s="170"/>
      <c r="BS408" s="170"/>
      <c r="BT408" s="170"/>
      <c r="BU408" s="170"/>
      <c r="BV408" s="170"/>
      <c r="BW408" s="170"/>
      <c r="BX408" s="170"/>
      <c r="BY408" s="170"/>
      <c r="BZ408" s="170"/>
    </row>
    <row r="409" spans="1:78" x14ac:dyDescent="0.2">
      <c r="A409" s="170"/>
      <c r="B409" s="170"/>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c r="AA409" s="170"/>
      <c r="AB409" s="170"/>
      <c r="AC409" s="170"/>
      <c r="AD409" s="170"/>
      <c r="AE409" s="170"/>
      <c r="AF409" s="170"/>
      <c r="AG409" s="170"/>
      <c r="AH409" s="170"/>
      <c r="AI409" s="170"/>
      <c r="AJ409" s="170"/>
      <c r="AK409" s="170"/>
      <c r="AL409" s="170"/>
      <c r="AM409" s="170"/>
      <c r="AN409" s="170"/>
      <c r="AO409" s="170"/>
      <c r="AP409" s="170"/>
      <c r="AQ409" s="170"/>
      <c r="AR409" s="170"/>
      <c r="AS409" s="170"/>
      <c r="AT409" s="170"/>
      <c r="AU409" s="170"/>
      <c r="AV409" s="170"/>
      <c r="AW409" s="170"/>
      <c r="AX409" s="170"/>
      <c r="AY409" s="170"/>
      <c r="AZ409" s="170"/>
      <c r="BA409" s="170"/>
      <c r="BB409" s="170"/>
      <c r="BC409" s="170"/>
      <c r="BD409" s="170"/>
      <c r="BE409" s="170"/>
      <c r="BF409" s="170"/>
      <c r="BG409" s="170"/>
      <c r="BH409" s="170"/>
      <c r="BI409" s="170"/>
      <c r="BJ409" s="170"/>
      <c r="BK409" s="170"/>
      <c r="BL409" s="170"/>
      <c r="BM409" s="170"/>
      <c r="BN409" s="170"/>
      <c r="BO409" s="170"/>
      <c r="BP409" s="170"/>
      <c r="BQ409" s="170"/>
      <c r="BR409" s="170"/>
      <c r="BS409" s="170"/>
      <c r="BT409" s="170"/>
      <c r="BU409" s="170"/>
      <c r="BV409" s="170"/>
      <c r="BW409" s="170"/>
      <c r="BX409" s="170"/>
      <c r="BY409" s="170"/>
      <c r="BZ409" s="170"/>
    </row>
    <row r="410" spans="1:78" x14ac:dyDescent="0.2">
      <c r="A410" s="170"/>
      <c r="B410" s="170"/>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c r="AA410" s="170"/>
      <c r="AB410" s="170"/>
      <c r="AC410" s="170"/>
      <c r="AD410" s="170"/>
      <c r="AE410" s="170"/>
      <c r="AF410" s="170"/>
      <c r="AG410" s="170"/>
      <c r="AH410" s="170"/>
      <c r="AI410" s="170"/>
      <c r="AJ410" s="170"/>
      <c r="AK410" s="170"/>
      <c r="AL410" s="170"/>
      <c r="AM410" s="170"/>
      <c r="AN410" s="170"/>
      <c r="AO410" s="170"/>
      <c r="AP410" s="170"/>
      <c r="AQ410" s="170"/>
      <c r="AR410" s="170"/>
      <c r="AS410" s="170"/>
      <c r="AT410" s="170"/>
      <c r="AU410" s="170"/>
      <c r="AV410" s="170"/>
      <c r="AW410" s="170"/>
      <c r="AX410" s="170"/>
      <c r="AY410" s="170"/>
      <c r="AZ410" s="170"/>
      <c r="BA410" s="170"/>
      <c r="BB410" s="170"/>
      <c r="BC410" s="170"/>
      <c r="BD410" s="170"/>
      <c r="BE410" s="170"/>
      <c r="BF410" s="170"/>
      <c r="BG410" s="170"/>
      <c r="BH410" s="170"/>
      <c r="BI410" s="170"/>
      <c r="BJ410" s="170"/>
      <c r="BK410" s="170"/>
      <c r="BL410" s="170"/>
      <c r="BM410" s="170"/>
      <c r="BN410" s="170"/>
      <c r="BO410" s="170"/>
      <c r="BP410" s="170"/>
      <c r="BQ410" s="170"/>
      <c r="BR410" s="170"/>
      <c r="BS410" s="170"/>
      <c r="BT410" s="170"/>
      <c r="BU410" s="170"/>
      <c r="BV410" s="170"/>
      <c r="BW410" s="170"/>
      <c r="BX410" s="170"/>
      <c r="BY410" s="170"/>
      <c r="BZ410" s="170"/>
    </row>
    <row r="411" spans="1:78" x14ac:dyDescent="0.2">
      <c r="A411" s="170"/>
      <c r="B411" s="170"/>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c r="AA411" s="170"/>
      <c r="AB411" s="170"/>
      <c r="AC411" s="170"/>
      <c r="AD411" s="170"/>
      <c r="AE411" s="170"/>
      <c r="AF411" s="170"/>
      <c r="AG411" s="170"/>
      <c r="AH411" s="170"/>
      <c r="AI411" s="170"/>
      <c r="AJ411" s="170"/>
      <c r="AK411" s="170"/>
      <c r="AL411" s="170"/>
      <c r="AM411" s="170"/>
      <c r="AN411" s="170"/>
      <c r="AO411" s="170"/>
      <c r="AP411" s="170"/>
      <c r="AQ411" s="170"/>
      <c r="AR411" s="170"/>
      <c r="AS411" s="170"/>
      <c r="AT411" s="170"/>
      <c r="AU411" s="170"/>
      <c r="AV411" s="170"/>
      <c r="AW411" s="170"/>
      <c r="AX411" s="170"/>
      <c r="AY411" s="170"/>
      <c r="AZ411" s="170"/>
      <c r="BA411" s="170"/>
      <c r="BB411" s="170"/>
      <c r="BC411" s="170"/>
      <c r="BD411" s="170"/>
      <c r="BE411" s="170"/>
      <c r="BF411" s="170"/>
      <c r="BG411" s="170"/>
      <c r="BH411" s="170"/>
      <c r="BI411" s="170"/>
      <c r="BJ411" s="170"/>
      <c r="BK411" s="170"/>
      <c r="BL411" s="170"/>
      <c r="BM411" s="170"/>
      <c r="BN411" s="170"/>
      <c r="BO411" s="170"/>
      <c r="BP411" s="170"/>
      <c r="BQ411" s="170"/>
      <c r="BR411" s="170"/>
      <c r="BS411" s="170"/>
      <c r="BT411" s="170"/>
      <c r="BU411" s="170"/>
      <c r="BV411" s="170"/>
      <c r="BW411" s="170"/>
      <c r="BX411" s="170"/>
      <c r="BY411" s="170"/>
      <c r="BZ411" s="170"/>
    </row>
    <row r="412" spans="1:78" x14ac:dyDescent="0.2">
      <c r="A412" s="170"/>
      <c r="B412" s="170"/>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c r="AA412" s="170"/>
      <c r="AB412" s="170"/>
      <c r="AC412" s="170"/>
      <c r="AD412" s="170"/>
      <c r="AE412" s="170"/>
      <c r="AF412" s="170"/>
      <c r="AG412" s="170"/>
      <c r="AH412" s="170"/>
      <c r="AI412" s="170"/>
      <c r="AJ412" s="170"/>
      <c r="AK412" s="170"/>
      <c r="AL412" s="170"/>
      <c r="AM412" s="170"/>
      <c r="AN412" s="170"/>
      <c r="AO412" s="170"/>
      <c r="AP412" s="170"/>
      <c r="AQ412" s="170"/>
      <c r="AR412" s="170"/>
      <c r="AS412" s="170"/>
      <c r="AT412" s="170"/>
      <c r="AU412" s="170"/>
      <c r="AV412" s="170"/>
      <c r="AW412" s="170"/>
      <c r="AX412" s="170"/>
      <c r="AY412" s="170"/>
      <c r="AZ412" s="170"/>
      <c r="BA412" s="170"/>
      <c r="BB412" s="170"/>
      <c r="BC412" s="170"/>
      <c r="BD412" s="170"/>
      <c r="BE412" s="170"/>
      <c r="BF412" s="170"/>
      <c r="BG412" s="170"/>
      <c r="BH412" s="170"/>
      <c r="BI412" s="170"/>
      <c r="BJ412" s="170"/>
      <c r="BK412" s="170"/>
      <c r="BL412" s="170"/>
      <c r="BM412" s="170"/>
      <c r="BN412" s="170"/>
      <c r="BO412" s="170"/>
      <c r="BP412" s="170"/>
      <c r="BQ412" s="170"/>
      <c r="BR412" s="170"/>
      <c r="BS412" s="170"/>
      <c r="BT412" s="170"/>
      <c r="BU412" s="170"/>
      <c r="BV412" s="170"/>
      <c r="BW412" s="170"/>
      <c r="BX412" s="170"/>
      <c r="BY412" s="170"/>
      <c r="BZ412" s="170"/>
    </row>
    <row r="413" spans="1:78" x14ac:dyDescent="0.2">
      <c r="A413" s="170"/>
      <c r="B413" s="170"/>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c r="AA413" s="170"/>
      <c r="AB413" s="170"/>
      <c r="AC413" s="170"/>
      <c r="AD413" s="170"/>
      <c r="AE413" s="170"/>
      <c r="AF413" s="170"/>
      <c r="AG413" s="170"/>
      <c r="AH413" s="170"/>
      <c r="AI413" s="170"/>
      <c r="AJ413" s="170"/>
      <c r="AK413" s="170"/>
      <c r="AL413" s="170"/>
      <c r="AM413" s="170"/>
      <c r="AN413" s="170"/>
      <c r="AO413" s="170"/>
      <c r="AP413" s="170"/>
      <c r="AQ413" s="170"/>
      <c r="AR413" s="170"/>
      <c r="AS413" s="170"/>
      <c r="AT413" s="170"/>
      <c r="AU413" s="170"/>
      <c r="AV413" s="170"/>
      <c r="AW413" s="170"/>
      <c r="AX413" s="170"/>
      <c r="AY413" s="170"/>
      <c r="AZ413" s="170"/>
      <c r="BA413" s="170"/>
      <c r="BB413" s="170"/>
      <c r="BC413" s="170"/>
      <c r="BD413" s="170"/>
      <c r="BE413" s="170"/>
      <c r="BF413" s="170"/>
      <c r="BG413" s="170"/>
      <c r="BH413" s="170"/>
      <c r="BI413" s="170"/>
      <c r="BJ413" s="170"/>
      <c r="BK413" s="170"/>
      <c r="BL413" s="170"/>
      <c r="BM413" s="170"/>
      <c r="BN413" s="170"/>
      <c r="BO413" s="170"/>
      <c r="BP413" s="170"/>
      <c r="BQ413" s="170"/>
      <c r="BR413" s="170"/>
      <c r="BS413" s="170"/>
      <c r="BT413" s="170"/>
      <c r="BU413" s="170"/>
      <c r="BV413" s="170"/>
      <c r="BW413" s="170"/>
      <c r="BX413" s="170"/>
      <c r="BY413" s="170"/>
      <c r="BZ413" s="170"/>
    </row>
    <row r="414" spans="1:78" x14ac:dyDescent="0.2">
      <c r="A414" s="170"/>
      <c r="B414" s="170"/>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c r="AA414" s="170"/>
      <c r="AB414" s="170"/>
      <c r="AC414" s="170"/>
      <c r="AD414" s="170"/>
      <c r="AE414" s="170"/>
      <c r="AF414" s="170"/>
      <c r="AG414" s="170"/>
      <c r="AH414" s="170"/>
      <c r="AI414" s="170"/>
      <c r="AJ414" s="170"/>
      <c r="AK414" s="170"/>
      <c r="AL414" s="170"/>
      <c r="AM414" s="170"/>
      <c r="AN414" s="170"/>
      <c r="AO414" s="170"/>
      <c r="AP414" s="170"/>
      <c r="AQ414" s="170"/>
      <c r="AR414" s="170"/>
      <c r="AS414" s="170"/>
      <c r="AT414" s="170"/>
      <c r="AU414" s="170"/>
      <c r="AV414" s="170"/>
      <c r="AW414" s="170"/>
      <c r="AX414" s="170"/>
      <c r="AY414" s="170"/>
      <c r="AZ414" s="170"/>
      <c r="BA414" s="170"/>
      <c r="BB414" s="170"/>
      <c r="BC414" s="170"/>
      <c r="BD414" s="170"/>
      <c r="BE414" s="170"/>
      <c r="BF414" s="170"/>
      <c r="BG414" s="170"/>
      <c r="BH414" s="170"/>
      <c r="BI414" s="170"/>
      <c r="BJ414" s="170"/>
      <c r="BK414" s="170"/>
      <c r="BL414" s="170"/>
      <c r="BM414" s="170"/>
      <c r="BN414" s="170"/>
      <c r="BO414" s="170"/>
      <c r="BP414" s="170"/>
      <c r="BQ414" s="170"/>
      <c r="BR414" s="170"/>
      <c r="BS414" s="170"/>
      <c r="BT414" s="170"/>
      <c r="BU414" s="170"/>
      <c r="BV414" s="170"/>
      <c r="BW414" s="170"/>
      <c r="BX414" s="170"/>
      <c r="BY414" s="170"/>
      <c r="BZ414" s="170"/>
    </row>
    <row r="415" spans="1:78" x14ac:dyDescent="0.2">
      <c r="A415" s="170"/>
      <c r="B415" s="170"/>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c r="AA415" s="170"/>
      <c r="AB415" s="170"/>
      <c r="AC415" s="170"/>
      <c r="AD415" s="170"/>
      <c r="AE415" s="170"/>
      <c r="AF415" s="170"/>
      <c r="AG415" s="170"/>
      <c r="AH415" s="170"/>
      <c r="AI415" s="170"/>
      <c r="AJ415" s="170"/>
      <c r="AK415" s="170"/>
      <c r="AL415" s="170"/>
      <c r="AM415" s="170"/>
      <c r="AN415" s="170"/>
      <c r="AO415" s="170"/>
      <c r="AP415" s="170"/>
      <c r="AQ415" s="170"/>
      <c r="AR415" s="170"/>
      <c r="AS415" s="170"/>
      <c r="AT415" s="170"/>
      <c r="AU415" s="170"/>
      <c r="AV415" s="170"/>
      <c r="AW415" s="170"/>
      <c r="AX415" s="170"/>
      <c r="AY415" s="170"/>
      <c r="AZ415" s="170"/>
      <c r="BA415" s="170"/>
      <c r="BB415" s="170"/>
      <c r="BC415" s="170"/>
      <c r="BD415" s="170"/>
      <c r="BE415" s="170"/>
      <c r="BF415" s="170"/>
      <c r="BG415" s="170"/>
      <c r="BH415" s="170"/>
      <c r="BI415" s="170"/>
      <c r="BJ415" s="170"/>
      <c r="BK415" s="170"/>
      <c r="BL415" s="170"/>
      <c r="BM415" s="170"/>
      <c r="BN415" s="170"/>
      <c r="BO415" s="170"/>
      <c r="BP415" s="170"/>
      <c r="BQ415" s="170"/>
      <c r="BR415" s="170"/>
      <c r="BS415" s="170"/>
      <c r="BT415" s="170"/>
      <c r="BU415" s="170"/>
      <c r="BV415" s="170"/>
      <c r="BW415" s="170"/>
      <c r="BX415" s="170"/>
      <c r="BY415" s="170"/>
      <c r="BZ415" s="170"/>
    </row>
    <row r="416" spans="1:78" x14ac:dyDescent="0.2">
      <c r="A416" s="170"/>
      <c r="B416" s="170"/>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c r="AA416" s="170"/>
      <c r="AB416" s="170"/>
      <c r="AC416" s="170"/>
      <c r="AD416" s="170"/>
      <c r="AE416" s="170"/>
      <c r="AF416" s="170"/>
      <c r="AG416" s="170"/>
      <c r="AH416" s="170"/>
      <c r="AI416" s="170"/>
      <c r="AJ416" s="170"/>
      <c r="AK416" s="170"/>
      <c r="AL416" s="170"/>
      <c r="AM416" s="170"/>
      <c r="AN416" s="170"/>
      <c r="AO416" s="170"/>
      <c r="AP416" s="170"/>
      <c r="AQ416" s="170"/>
      <c r="AR416" s="170"/>
      <c r="AS416" s="170"/>
      <c r="AT416" s="170"/>
      <c r="AU416" s="170"/>
      <c r="AV416" s="170"/>
      <c r="AW416" s="170"/>
      <c r="AX416" s="170"/>
      <c r="AY416" s="170"/>
      <c r="AZ416" s="170"/>
      <c r="BA416" s="170"/>
      <c r="BB416" s="170"/>
      <c r="BC416" s="170"/>
      <c r="BD416" s="170"/>
      <c r="BE416" s="170"/>
      <c r="BF416" s="170"/>
      <c r="BG416" s="170"/>
      <c r="BH416" s="170"/>
      <c r="BI416" s="170"/>
      <c r="BJ416" s="170"/>
      <c r="BK416" s="170"/>
      <c r="BL416" s="170"/>
      <c r="BM416" s="170"/>
      <c r="BN416" s="170"/>
      <c r="BO416" s="170"/>
      <c r="BP416" s="170"/>
      <c r="BQ416" s="170"/>
      <c r="BR416" s="170"/>
      <c r="BS416" s="170"/>
      <c r="BT416" s="170"/>
      <c r="BU416" s="170"/>
      <c r="BV416" s="170"/>
      <c r="BW416" s="170"/>
      <c r="BX416" s="170"/>
      <c r="BY416" s="170"/>
      <c r="BZ416" s="170"/>
    </row>
    <row r="417" spans="1:78" x14ac:dyDescent="0.2">
      <c r="A417" s="170"/>
      <c r="B417" s="170"/>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c r="AA417" s="170"/>
      <c r="AB417" s="170"/>
      <c r="AC417" s="170"/>
      <c r="AD417" s="170"/>
      <c r="AE417" s="170"/>
      <c r="AF417" s="170"/>
      <c r="AG417" s="170"/>
      <c r="AH417" s="170"/>
      <c r="AI417" s="170"/>
      <c r="AJ417" s="170"/>
      <c r="AK417" s="170"/>
      <c r="AL417" s="170"/>
      <c r="AM417" s="170"/>
      <c r="AN417" s="170"/>
      <c r="AO417" s="170"/>
      <c r="AP417" s="170"/>
      <c r="AQ417" s="170"/>
      <c r="AR417" s="170"/>
      <c r="AS417" s="170"/>
      <c r="AT417" s="170"/>
      <c r="AU417" s="170"/>
      <c r="AV417" s="170"/>
      <c r="AW417" s="170"/>
      <c r="AX417" s="170"/>
      <c r="AY417" s="170"/>
      <c r="AZ417" s="170"/>
      <c r="BA417" s="170"/>
      <c r="BB417" s="170"/>
      <c r="BC417" s="170"/>
      <c r="BD417" s="170"/>
      <c r="BE417" s="170"/>
      <c r="BF417" s="170"/>
      <c r="BG417" s="170"/>
      <c r="BH417" s="170"/>
      <c r="BI417" s="170"/>
      <c r="BJ417" s="170"/>
      <c r="BK417" s="170"/>
      <c r="BL417" s="170"/>
      <c r="BM417" s="170"/>
      <c r="BN417" s="170"/>
      <c r="BO417" s="170"/>
      <c r="BP417" s="170"/>
      <c r="BQ417" s="170"/>
      <c r="BR417" s="170"/>
      <c r="BS417" s="170"/>
      <c r="BT417" s="170"/>
      <c r="BU417" s="170"/>
      <c r="BV417" s="170"/>
      <c r="BW417" s="170"/>
      <c r="BX417" s="170"/>
      <c r="BY417" s="170"/>
      <c r="BZ417" s="170"/>
    </row>
    <row r="418" spans="1:78" x14ac:dyDescent="0.2">
      <c r="A418" s="170"/>
      <c r="B418" s="170"/>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c r="AA418" s="170"/>
      <c r="AB418" s="170"/>
      <c r="AC418" s="170"/>
      <c r="AD418" s="170"/>
      <c r="AE418" s="170"/>
      <c r="AF418" s="170"/>
      <c r="AG418" s="170"/>
      <c r="AH418" s="170"/>
      <c r="AI418" s="170"/>
      <c r="AJ418" s="170"/>
      <c r="AK418" s="170"/>
      <c r="AL418" s="170"/>
      <c r="AM418" s="170"/>
      <c r="AN418" s="170"/>
      <c r="AO418" s="170"/>
      <c r="AP418" s="170"/>
      <c r="AQ418" s="170"/>
      <c r="AR418" s="170"/>
      <c r="AS418" s="170"/>
      <c r="AT418" s="170"/>
      <c r="AU418" s="170"/>
      <c r="AV418" s="170"/>
      <c r="AW418" s="170"/>
      <c r="AX418" s="170"/>
      <c r="AY418" s="170"/>
      <c r="AZ418" s="170"/>
      <c r="BA418" s="170"/>
      <c r="BB418" s="170"/>
      <c r="BC418" s="170"/>
      <c r="BD418" s="170"/>
      <c r="BE418" s="170"/>
      <c r="BF418" s="170"/>
      <c r="BG418" s="170"/>
      <c r="BH418" s="170"/>
      <c r="BI418" s="170"/>
      <c r="BJ418" s="170"/>
      <c r="BK418" s="170"/>
      <c r="BL418" s="170"/>
      <c r="BM418" s="170"/>
      <c r="BN418" s="170"/>
      <c r="BO418" s="170"/>
      <c r="BP418" s="170"/>
      <c r="BQ418" s="170"/>
      <c r="BR418" s="170"/>
      <c r="BS418" s="170"/>
      <c r="BT418" s="170"/>
      <c r="BU418" s="170"/>
      <c r="BV418" s="170"/>
      <c r="BW418" s="170"/>
      <c r="BX418" s="170"/>
      <c r="BY418" s="170"/>
      <c r="BZ418" s="170"/>
    </row>
    <row r="419" spans="1:78" x14ac:dyDescent="0.2">
      <c r="A419" s="170"/>
      <c r="B419" s="170"/>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c r="AA419" s="170"/>
      <c r="AB419" s="170"/>
      <c r="AC419" s="170"/>
      <c r="AD419" s="170"/>
      <c r="AE419" s="170"/>
      <c r="AF419" s="170"/>
      <c r="AG419" s="170"/>
      <c r="AH419" s="170"/>
      <c r="AI419" s="170"/>
      <c r="AJ419" s="170"/>
      <c r="AK419" s="170"/>
      <c r="AL419" s="170"/>
      <c r="AM419" s="170"/>
      <c r="AN419" s="170"/>
      <c r="AO419" s="170"/>
      <c r="AP419" s="170"/>
      <c r="AQ419" s="170"/>
      <c r="AR419" s="170"/>
      <c r="AS419" s="170"/>
      <c r="AT419" s="170"/>
      <c r="AU419" s="170"/>
      <c r="AV419" s="170"/>
      <c r="AW419" s="170"/>
      <c r="AX419" s="170"/>
      <c r="AY419" s="170"/>
      <c r="AZ419" s="170"/>
      <c r="BA419" s="170"/>
      <c r="BB419" s="170"/>
      <c r="BC419" s="170"/>
      <c r="BD419" s="170"/>
      <c r="BE419" s="170"/>
      <c r="BF419" s="170"/>
      <c r="BG419" s="170"/>
      <c r="BH419" s="170"/>
      <c r="BI419" s="170"/>
      <c r="BJ419" s="170"/>
      <c r="BK419" s="170"/>
      <c r="BL419" s="170"/>
      <c r="BM419" s="170"/>
      <c r="BN419" s="170"/>
      <c r="BO419" s="170"/>
      <c r="BP419" s="170"/>
      <c r="BQ419" s="170"/>
      <c r="BR419" s="170"/>
      <c r="BS419" s="170"/>
      <c r="BT419" s="170"/>
      <c r="BU419" s="170"/>
      <c r="BV419" s="170"/>
      <c r="BW419" s="170"/>
      <c r="BX419" s="170"/>
      <c r="BY419" s="170"/>
      <c r="BZ419" s="170"/>
    </row>
    <row r="420" spans="1:78" x14ac:dyDescent="0.2">
      <c r="A420" s="170"/>
      <c r="B420" s="170"/>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c r="AA420" s="170"/>
      <c r="AB420" s="170"/>
      <c r="AC420" s="170"/>
      <c r="AD420" s="170"/>
      <c r="AE420" s="170"/>
      <c r="AF420" s="170"/>
      <c r="AG420" s="170"/>
      <c r="AH420" s="170"/>
      <c r="AI420" s="170"/>
      <c r="AJ420" s="170"/>
      <c r="AK420" s="170"/>
      <c r="AL420" s="170"/>
      <c r="AM420" s="170"/>
      <c r="AN420" s="170"/>
      <c r="AO420" s="170"/>
      <c r="AP420" s="170"/>
      <c r="AQ420" s="170"/>
      <c r="AR420" s="170"/>
      <c r="AS420" s="170"/>
      <c r="AT420" s="170"/>
      <c r="AU420" s="170"/>
      <c r="AV420" s="170"/>
      <c r="AW420" s="170"/>
      <c r="AX420" s="170"/>
      <c r="AY420" s="170"/>
      <c r="AZ420" s="170"/>
      <c r="BA420" s="170"/>
      <c r="BB420" s="170"/>
      <c r="BC420" s="170"/>
      <c r="BD420" s="170"/>
      <c r="BE420" s="170"/>
      <c r="BF420" s="170"/>
      <c r="BG420" s="170"/>
      <c r="BH420" s="170"/>
      <c r="BI420" s="170"/>
      <c r="BJ420" s="170"/>
      <c r="BK420" s="170"/>
      <c r="BL420" s="170"/>
      <c r="BM420" s="170"/>
      <c r="BN420" s="170"/>
      <c r="BO420" s="170"/>
      <c r="BP420" s="170"/>
      <c r="BQ420" s="170"/>
      <c r="BR420" s="170"/>
      <c r="BS420" s="170"/>
      <c r="BT420" s="170"/>
      <c r="BU420" s="170"/>
      <c r="BV420" s="170"/>
      <c r="BW420" s="170"/>
      <c r="BX420" s="170"/>
      <c r="BY420" s="170"/>
      <c r="BZ420" s="170"/>
    </row>
    <row r="421" spans="1:78" x14ac:dyDescent="0.2">
      <c r="A421" s="170"/>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c r="AA421" s="170"/>
      <c r="AB421" s="170"/>
      <c r="AC421" s="170"/>
      <c r="AD421" s="170"/>
      <c r="AE421" s="170"/>
      <c r="AF421" s="170"/>
      <c r="AG421" s="170"/>
      <c r="AH421" s="170"/>
      <c r="AI421" s="170"/>
      <c r="AJ421" s="170"/>
      <c r="AK421" s="170"/>
      <c r="AL421" s="170"/>
      <c r="AM421" s="170"/>
      <c r="AN421" s="170"/>
      <c r="AO421" s="170"/>
      <c r="AP421" s="170"/>
      <c r="AQ421" s="170"/>
      <c r="AR421" s="170"/>
      <c r="AS421" s="170"/>
      <c r="AT421" s="170"/>
      <c r="AU421" s="170"/>
      <c r="AV421" s="170"/>
      <c r="AW421" s="170"/>
      <c r="AX421" s="170"/>
      <c r="AY421" s="170"/>
      <c r="AZ421" s="170"/>
      <c r="BA421" s="170"/>
      <c r="BB421" s="170"/>
      <c r="BC421" s="170"/>
      <c r="BD421" s="170"/>
      <c r="BE421" s="170"/>
      <c r="BF421" s="170"/>
      <c r="BG421" s="170"/>
      <c r="BH421" s="170"/>
      <c r="BI421" s="170"/>
      <c r="BJ421" s="170"/>
      <c r="BK421" s="170"/>
      <c r="BL421" s="170"/>
      <c r="BM421" s="170"/>
      <c r="BN421" s="170"/>
      <c r="BO421" s="170"/>
      <c r="BP421" s="170"/>
      <c r="BQ421" s="170"/>
      <c r="BR421" s="170"/>
      <c r="BS421" s="170"/>
      <c r="BT421" s="170"/>
      <c r="BU421" s="170"/>
      <c r="BV421" s="170"/>
      <c r="BW421" s="170"/>
      <c r="BX421" s="170"/>
      <c r="BY421" s="170"/>
      <c r="BZ421" s="170"/>
    </row>
    <row r="422" spans="1:78" x14ac:dyDescent="0.2">
      <c r="A422" s="170"/>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c r="AA422" s="170"/>
      <c r="AB422" s="170"/>
      <c r="AC422" s="170"/>
      <c r="AD422" s="170"/>
      <c r="AE422" s="170"/>
      <c r="AF422" s="170"/>
      <c r="AG422" s="170"/>
      <c r="AH422" s="170"/>
      <c r="AI422" s="170"/>
      <c r="AJ422" s="170"/>
      <c r="AK422" s="170"/>
      <c r="AL422" s="170"/>
      <c r="AM422" s="170"/>
      <c r="AN422" s="170"/>
      <c r="AO422" s="170"/>
      <c r="AP422" s="170"/>
      <c r="AQ422" s="170"/>
      <c r="AR422" s="170"/>
      <c r="AS422" s="170"/>
      <c r="AT422" s="170"/>
      <c r="AU422" s="170"/>
      <c r="AV422" s="170"/>
      <c r="AW422" s="170"/>
      <c r="AX422" s="170"/>
      <c r="AY422" s="170"/>
      <c r="AZ422" s="170"/>
      <c r="BA422" s="170"/>
      <c r="BB422" s="170"/>
      <c r="BC422" s="170"/>
      <c r="BD422" s="170"/>
      <c r="BE422" s="170"/>
      <c r="BF422" s="170"/>
      <c r="BG422" s="170"/>
      <c r="BH422" s="170"/>
      <c r="BI422" s="170"/>
      <c r="BJ422" s="170"/>
      <c r="BK422" s="170"/>
      <c r="BL422" s="170"/>
      <c r="BM422" s="170"/>
      <c r="BN422" s="170"/>
      <c r="BO422" s="170"/>
      <c r="BP422" s="170"/>
      <c r="BQ422" s="170"/>
      <c r="BR422" s="170"/>
      <c r="BS422" s="170"/>
      <c r="BT422" s="170"/>
      <c r="BU422" s="170"/>
      <c r="BV422" s="170"/>
      <c r="BW422" s="170"/>
      <c r="BX422" s="170"/>
      <c r="BY422" s="170"/>
      <c r="BZ422" s="170"/>
    </row>
    <row r="423" spans="1:78" x14ac:dyDescent="0.2">
      <c r="A423" s="170"/>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c r="AA423" s="170"/>
      <c r="AB423" s="170"/>
      <c r="AC423" s="170"/>
      <c r="AD423" s="170"/>
      <c r="AE423" s="170"/>
      <c r="AF423" s="170"/>
      <c r="AG423" s="170"/>
      <c r="AH423" s="170"/>
      <c r="AI423" s="170"/>
      <c r="AJ423" s="170"/>
      <c r="AK423" s="170"/>
      <c r="AL423" s="170"/>
      <c r="AM423" s="170"/>
      <c r="AN423" s="170"/>
      <c r="AO423" s="170"/>
      <c r="AP423" s="170"/>
      <c r="AQ423" s="170"/>
      <c r="AR423" s="170"/>
      <c r="AS423" s="170"/>
      <c r="AT423" s="170"/>
      <c r="AU423" s="170"/>
      <c r="AV423" s="170"/>
      <c r="AW423" s="170"/>
      <c r="AX423" s="170"/>
      <c r="AY423" s="170"/>
      <c r="AZ423" s="170"/>
      <c r="BA423" s="170"/>
      <c r="BB423" s="170"/>
      <c r="BC423" s="170"/>
      <c r="BD423" s="170"/>
      <c r="BE423" s="170"/>
      <c r="BF423" s="170"/>
      <c r="BG423" s="170"/>
      <c r="BH423" s="170"/>
      <c r="BI423" s="170"/>
      <c r="BJ423" s="170"/>
      <c r="BK423" s="170"/>
      <c r="BL423" s="170"/>
      <c r="BM423" s="170"/>
      <c r="BN423" s="170"/>
      <c r="BO423" s="170"/>
      <c r="BP423" s="170"/>
      <c r="BQ423" s="170"/>
      <c r="BR423" s="170"/>
      <c r="BS423" s="170"/>
      <c r="BT423" s="170"/>
      <c r="BU423" s="170"/>
      <c r="BV423" s="170"/>
      <c r="BW423" s="170"/>
      <c r="BX423" s="170"/>
      <c r="BY423" s="170"/>
      <c r="BZ423" s="170"/>
    </row>
    <row r="424" spans="1:78" x14ac:dyDescent="0.2">
      <c r="A424" s="170"/>
      <c r="B424" s="170"/>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c r="AA424" s="170"/>
      <c r="AB424" s="170"/>
      <c r="AC424" s="170"/>
      <c r="AD424" s="170"/>
      <c r="AE424" s="170"/>
      <c r="AF424" s="170"/>
      <c r="AG424" s="170"/>
      <c r="AH424" s="170"/>
      <c r="AI424" s="170"/>
      <c r="AJ424" s="170"/>
      <c r="AK424" s="170"/>
      <c r="AL424" s="170"/>
      <c r="AM424" s="170"/>
      <c r="AN424" s="170"/>
      <c r="AO424" s="170"/>
      <c r="AP424" s="170"/>
      <c r="AQ424" s="170"/>
      <c r="AR424" s="170"/>
      <c r="AS424" s="170"/>
      <c r="AT424" s="170"/>
      <c r="AU424" s="170"/>
      <c r="AV424" s="170"/>
      <c r="AW424" s="170"/>
      <c r="AX424" s="170"/>
      <c r="AY424" s="170"/>
      <c r="AZ424" s="170"/>
      <c r="BA424" s="170"/>
      <c r="BB424" s="170"/>
      <c r="BC424" s="170"/>
      <c r="BD424" s="170"/>
      <c r="BE424" s="170"/>
      <c r="BF424" s="170"/>
      <c r="BG424" s="170"/>
      <c r="BH424" s="170"/>
      <c r="BI424" s="170"/>
      <c r="BJ424" s="170"/>
      <c r="BK424" s="170"/>
      <c r="BL424" s="170"/>
      <c r="BM424" s="170"/>
      <c r="BN424" s="170"/>
      <c r="BO424" s="170"/>
      <c r="BP424" s="170"/>
      <c r="BQ424" s="170"/>
      <c r="BR424" s="170"/>
      <c r="BS424" s="170"/>
      <c r="BT424" s="170"/>
      <c r="BU424" s="170"/>
      <c r="BV424" s="170"/>
      <c r="BW424" s="170"/>
      <c r="BX424" s="170"/>
      <c r="BY424" s="170"/>
      <c r="BZ424" s="170"/>
    </row>
    <row r="425" spans="1:78" x14ac:dyDescent="0.2">
      <c r="A425" s="170"/>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c r="AA425" s="170"/>
      <c r="AB425" s="170"/>
      <c r="AC425" s="170"/>
      <c r="AD425" s="170"/>
      <c r="AE425" s="170"/>
      <c r="AF425" s="170"/>
      <c r="AG425" s="170"/>
      <c r="AH425" s="170"/>
      <c r="AI425" s="170"/>
      <c r="AJ425" s="170"/>
      <c r="AK425" s="170"/>
      <c r="AL425" s="170"/>
      <c r="AM425" s="170"/>
      <c r="AN425" s="170"/>
      <c r="AO425" s="170"/>
      <c r="AP425" s="170"/>
      <c r="AQ425" s="170"/>
      <c r="AR425" s="170"/>
      <c r="AS425" s="170"/>
      <c r="AT425" s="170"/>
      <c r="AU425" s="170"/>
      <c r="AV425" s="170"/>
      <c r="AW425" s="170"/>
      <c r="AX425" s="170"/>
      <c r="AY425" s="170"/>
      <c r="AZ425" s="170"/>
      <c r="BA425" s="170"/>
      <c r="BB425" s="170"/>
      <c r="BC425" s="170"/>
      <c r="BD425" s="170"/>
      <c r="BE425" s="170"/>
      <c r="BF425" s="170"/>
      <c r="BG425" s="170"/>
      <c r="BH425" s="170"/>
      <c r="BI425" s="170"/>
      <c r="BJ425" s="170"/>
      <c r="BK425" s="170"/>
      <c r="BL425" s="170"/>
      <c r="BM425" s="170"/>
      <c r="BN425" s="170"/>
      <c r="BO425" s="170"/>
      <c r="BP425" s="170"/>
      <c r="BQ425" s="170"/>
      <c r="BR425" s="170"/>
      <c r="BS425" s="170"/>
      <c r="BT425" s="170"/>
      <c r="BU425" s="170"/>
      <c r="BV425" s="170"/>
      <c r="BW425" s="170"/>
      <c r="BX425" s="170"/>
      <c r="BY425" s="170"/>
      <c r="BZ425" s="170"/>
    </row>
    <row r="426" spans="1:78" x14ac:dyDescent="0.2">
      <c r="A426" s="170"/>
      <c r="B426" s="170"/>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c r="AA426" s="170"/>
      <c r="AB426" s="170"/>
      <c r="AC426" s="170"/>
      <c r="AD426" s="170"/>
      <c r="AE426" s="170"/>
      <c r="AF426" s="170"/>
      <c r="AG426" s="170"/>
      <c r="AH426" s="170"/>
      <c r="AI426" s="170"/>
      <c r="AJ426" s="170"/>
      <c r="AK426" s="170"/>
      <c r="AL426" s="170"/>
      <c r="AM426" s="170"/>
      <c r="AN426" s="170"/>
      <c r="AO426" s="170"/>
      <c r="AP426" s="170"/>
      <c r="AQ426" s="170"/>
      <c r="AR426" s="170"/>
      <c r="AS426" s="170"/>
      <c r="AT426" s="170"/>
      <c r="AU426" s="170"/>
      <c r="AV426" s="170"/>
      <c r="AW426" s="170"/>
      <c r="AX426" s="170"/>
      <c r="AY426" s="170"/>
      <c r="AZ426" s="170"/>
      <c r="BA426" s="170"/>
      <c r="BB426" s="170"/>
      <c r="BC426" s="170"/>
      <c r="BD426" s="170"/>
      <c r="BE426" s="170"/>
      <c r="BF426" s="170"/>
      <c r="BG426" s="170"/>
      <c r="BH426" s="170"/>
      <c r="BI426" s="170"/>
      <c r="BJ426" s="170"/>
      <c r="BK426" s="170"/>
      <c r="BL426" s="170"/>
      <c r="BM426" s="170"/>
      <c r="BN426" s="170"/>
      <c r="BO426" s="170"/>
      <c r="BP426" s="170"/>
      <c r="BQ426" s="170"/>
      <c r="BR426" s="170"/>
      <c r="BS426" s="170"/>
      <c r="BT426" s="170"/>
      <c r="BU426" s="170"/>
      <c r="BV426" s="170"/>
      <c r="BW426" s="170"/>
      <c r="BX426" s="170"/>
      <c r="BY426" s="170"/>
      <c r="BZ426" s="170"/>
    </row>
    <row r="427" spans="1:78" x14ac:dyDescent="0.2">
      <c r="A427" s="170"/>
      <c r="B427" s="170"/>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c r="AA427" s="170"/>
      <c r="AB427" s="170"/>
      <c r="AC427" s="170"/>
      <c r="AD427" s="170"/>
      <c r="AE427" s="170"/>
      <c r="AF427" s="170"/>
      <c r="AG427" s="170"/>
      <c r="AH427" s="170"/>
      <c r="AI427" s="170"/>
      <c r="AJ427" s="170"/>
      <c r="AK427" s="170"/>
      <c r="AL427" s="170"/>
      <c r="AM427" s="170"/>
      <c r="AN427" s="170"/>
      <c r="AO427" s="170"/>
      <c r="AP427" s="170"/>
      <c r="AQ427" s="170"/>
      <c r="AR427" s="170"/>
      <c r="AS427" s="170"/>
      <c r="AT427" s="170"/>
      <c r="AU427" s="170"/>
      <c r="AV427" s="170"/>
      <c r="AW427" s="170"/>
      <c r="AX427" s="170"/>
      <c r="AY427" s="170"/>
      <c r="AZ427" s="170"/>
      <c r="BA427" s="170"/>
      <c r="BB427" s="170"/>
      <c r="BC427" s="170"/>
      <c r="BD427" s="170"/>
      <c r="BE427" s="170"/>
      <c r="BF427" s="170"/>
      <c r="BG427" s="170"/>
      <c r="BH427" s="170"/>
      <c r="BI427" s="170"/>
      <c r="BJ427" s="170"/>
      <c r="BK427" s="170"/>
      <c r="BL427" s="170"/>
      <c r="BM427" s="170"/>
      <c r="BN427" s="170"/>
      <c r="BO427" s="170"/>
      <c r="BP427" s="170"/>
      <c r="BQ427" s="170"/>
      <c r="BR427" s="170"/>
      <c r="BS427" s="170"/>
      <c r="BT427" s="170"/>
      <c r="BU427" s="170"/>
      <c r="BV427" s="170"/>
      <c r="BW427" s="170"/>
      <c r="BX427" s="170"/>
      <c r="BY427" s="170"/>
      <c r="BZ427" s="170"/>
    </row>
    <row r="428" spans="1:78" x14ac:dyDescent="0.2">
      <c r="A428" s="170"/>
      <c r="B428" s="170"/>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c r="AA428" s="170"/>
      <c r="AB428" s="170"/>
      <c r="AC428" s="170"/>
      <c r="AD428" s="170"/>
      <c r="AE428" s="170"/>
      <c r="AF428" s="170"/>
      <c r="AG428" s="170"/>
      <c r="AH428" s="170"/>
      <c r="AI428" s="170"/>
      <c r="AJ428" s="170"/>
      <c r="AK428" s="170"/>
      <c r="AL428" s="170"/>
      <c r="AM428" s="170"/>
      <c r="AN428" s="170"/>
      <c r="AO428" s="170"/>
      <c r="AP428" s="170"/>
      <c r="AQ428" s="170"/>
      <c r="AR428" s="170"/>
      <c r="AS428" s="170"/>
      <c r="AT428" s="170"/>
      <c r="AU428" s="170"/>
      <c r="AV428" s="170"/>
      <c r="AW428" s="170"/>
      <c r="AX428" s="170"/>
      <c r="AY428" s="170"/>
      <c r="AZ428" s="170"/>
      <c r="BA428" s="170"/>
      <c r="BB428" s="170"/>
      <c r="BC428" s="170"/>
      <c r="BD428" s="170"/>
      <c r="BE428" s="170"/>
      <c r="BF428" s="170"/>
      <c r="BG428" s="170"/>
      <c r="BH428" s="170"/>
      <c r="BI428" s="170"/>
      <c r="BJ428" s="170"/>
      <c r="BK428" s="170"/>
      <c r="BL428" s="170"/>
      <c r="BM428" s="170"/>
      <c r="BN428" s="170"/>
      <c r="BO428" s="170"/>
      <c r="BP428" s="170"/>
      <c r="BQ428" s="170"/>
      <c r="BR428" s="170"/>
      <c r="BS428" s="170"/>
      <c r="BT428" s="170"/>
      <c r="BU428" s="170"/>
      <c r="BV428" s="170"/>
      <c r="BW428" s="170"/>
      <c r="BX428" s="170"/>
      <c r="BY428" s="170"/>
      <c r="BZ428" s="170"/>
    </row>
    <row r="429" spans="1:78" x14ac:dyDescent="0.2">
      <c r="A429" s="170"/>
      <c r="B429" s="170"/>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c r="AA429" s="170"/>
      <c r="AB429" s="170"/>
      <c r="AC429" s="170"/>
      <c r="AD429" s="170"/>
      <c r="AE429" s="170"/>
      <c r="AF429" s="170"/>
      <c r="AG429" s="170"/>
      <c r="AH429" s="170"/>
      <c r="AI429" s="170"/>
      <c r="AJ429" s="170"/>
      <c r="AK429" s="170"/>
      <c r="AL429" s="170"/>
      <c r="AM429" s="170"/>
      <c r="AN429" s="170"/>
      <c r="AO429" s="170"/>
      <c r="AP429" s="170"/>
      <c r="AQ429" s="170"/>
      <c r="AR429" s="170"/>
      <c r="AS429" s="170"/>
      <c r="AT429" s="170"/>
      <c r="AU429" s="170"/>
      <c r="AV429" s="170"/>
      <c r="AW429" s="170"/>
      <c r="AX429" s="170"/>
      <c r="AY429" s="170"/>
      <c r="AZ429" s="170"/>
      <c r="BA429" s="170"/>
      <c r="BB429" s="170"/>
      <c r="BC429" s="170"/>
      <c r="BD429" s="170"/>
      <c r="BE429" s="170"/>
      <c r="BF429" s="170"/>
      <c r="BG429" s="170"/>
      <c r="BH429" s="170"/>
      <c r="BI429" s="170"/>
      <c r="BJ429" s="170"/>
      <c r="BK429" s="170"/>
      <c r="BL429" s="170"/>
      <c r="BM429" s="170"/>
      <c r="BN429" s="170"/>
      <c r="BO429" s="170"/>
      <c r="BP429" s="170"/>
      <c r="BQ429" s="170"/>
      <c r="BR429" s="170"/>
      <c r="BS429" s="170"/>
      <c r="BT429" s="170"/>
      <c r="BU429" s="170"/>
      <c r="BV429" s="170"/>
      <c r="BW429" s="170"/>
      <c r="BX429" s="170"/>
      <c r="BY429" s="170"/>
      <c r="BZ429" s="170"/>
    </row>
    <row r="430" spans="1:78" x14ac:dyDescent="0.2">
      <c r="A430" s="170"/>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c r="AA430" s="170"/>
      <c r="AB430" s="170"/>
      <c r="AC430" s="170"/>
      <c r="AD430" s="170"/>
      <c r="AE430" s="170"/>
      <c r="AF430" s="170"/>
      <c r="AG430" s="170"/>
      <c r="AH430" s="170"/>
      <c r="AI430" s="170"/>
      <c r="AJ430" s="170"/>
      <c r="AK430" s="170"/>
      <c r="AL430" s="170"/>
      <c r="AM430" s="170"/>
      <c r="AN430" s="170"/>
      <c r="AO430" s="170"/>
      <c r="AP430" s="170"/>
      <c r="AQ430" s="170"/>
      <c r="AR430" s="170"/>
      <c r="AS430" s="170"/>
      <c r="AT430" s="170"/>
      <c r="AU430" s="170"/>
      <c r="AV430" s="170"/>
      <c r="AW430" s="170"/>
      <c r="AX430" s="170"/>
      <c r="AY430" s="170"/>
      <c r="AZ430" s="170"/>
      <c r="BA430" s="170"/>
      <c r="BB430" s="170"/>
      <c r="BC430" s="170"/>
      <c r="BD430" s="170"/>
      <c r="BE430" s="170"/>
      <c r="BF430" s="170"/>
      <c r="BG430" s="170"/>
      <c r="BH430" s="170"/>
      <c r="BI430" s="170"/>
      <c r="BJ430" s="170"/>
      <c r="BK430" s="170"/>
      <c r="BL430" s="170"/>
      <c r="BM430" s="170"/>
      <c r="BN430" s="170"/>
      <c r="BO430" s="170"/>
      <c r="BP430" s="170"/>
      <c r="BQ430" s="170"/>
      <c r="BR430" s="170"/>
      <c r="BS430" s="170"/>
      <c r="BT430" s="170"/>
      <c r="BU430" s="170"/>
      <c r="BV430" s="170"/>
      <c r="BW430" s="170"/>
      <c r="BX430" s="170"/>
      <c r="BY430" s="170"/>
      <c r="BZ430" s="170"/>
    </row>
    <row r="431" spans="1:78" x14ac:dyDescent="0.2">
      <c r="A431" s="170"/>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c r="AA431" s="170"/>
      <c r="AB431" s="170"/>
      <c r="AC431" s="170"/>
      <c r="AD431" s="170"/>
      <c r="AE431" s="170"/>
      <c r="AF431" s="170"/>
      <c r="AG431" s="170"/>
      <c r="AH431" s="170"/>
      <c r="AI431" s="170"/>
      <c r="AJ431" s="170"/>
      <c r="AK431" s="170"/>
      <c r="AL431" s="170"/>
      <c r="AM431" s="170"/>
      <c r="AN431" s="170"/>
      <c r="AO431" s="170"/>
      <c r="AP431" s="170"/>
      <c r="AQ431" s="170"/>
      <c r="AR431" s="170"/>
      <c r="AS431" s="170"/>
      <c r="AT431" s="170"/>
      <c r="AU431" s="170"/>
      <c r="AV431" s="170"/>
      <c r="AW431" s="170"/>
      <c r="AX431" s="170"/>
      <c r="AY431" s="170"/>
      <c r="AZ431" s="170"/>
      <c r="BA431" s="170"/>
      <c r="BB431" s="170"/>
      <c r="BC431" s="170"/>
      <c r="BD431" s="170"/>
      <c r="BE431" s="170"/>
      <c r="BF431" s="170"/>
      <c r="BG431" s="170"/>
      <c r="BH431" s="170"/>
      <c r="BI431" s="170"/>
      <c r="BJ431" s="170"/>
      <c r="BK431" s="170"/>
      <c r="BL431" s="170"/>
      <c r="BM431" s="170"/>
      <c r="BN431" s="170"/>
      <c r="BO431" s="170"/>
      <c r="BP431" s="170"/>
      <c r="BQ431" s="170"/>
      <c r="BR431" s="170"/>
      <c r="BS431" s="170"/>
      <c r="BT431" s="170"/>
      <c r="BU431" s="170"/>
      <c r="BV431" s="170"/>
      <c r="BW431" s="170"/>
      <c r="BX431" s="170"/>
      <c r="BY431" s="170"/>
      <c r="BZ431" s="170"/>
    </row>
    <row r="432" spans="1:78" x14ac:dyDescent="0.2">
      <c r="A432" s="170"/>
      <c r="B432" s="170"/>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c r="AA432" s="170"/>
      <c r="AB432" s="170"/>
      <c r="AC432" s="170"/>
      <c r="AD432" s="170"/>
      <c r="AE432" s="170"/>
      <c r="AF432" s="170"/>
      <c r="AG432" s="170"/>
      <c r="AH432" s="170"/>
      <c r="AI432" s="170"/>
      <c r="AJ432" s="170"/>
      <c r="AK432" s="170"/>
      <c r="AL432" s="170"/>
      <c r="AM432" s="170"/>
      <c r="AN432" s="170"/>
      <c r="AO432" s="170"/>
      <c r="AP432" s="170"/>
      <c r="AQ432" s="170"/>
      <c r="AR432" s="170"/>
      <c r="AS432" s="170"/>
      <c r="AT432" s="170"/>
      <c r="AU432" s="170"/>
      <c r="AV432" s="170"/>
      <c r="AW432" s="170"/>
      <c r="AX432" s="170"/>
      <c r="AY432" s="170"/>
      <c r="AZ432" s="170"/>
      <c r="BA432" s="170"/>
      <c r="BB432" s="170"/>
      <c r="BC432" s="170"/>
      <c r="BD432" s="170"/>
      <c r="BE432" s="170"/>
      <c r="BF432" s="170"/>
      <c r="BG432" s="170"/>
      <c r="BH432" s="170"/>
      <c r="BI432" s="170"/>
      <c r="BJ432" s="170"/>
      <c r="BK432" s="170"/>
      <c r="BL432" s="170"/>
      <c r="BM432" s="170"/>
      <c r="BN432" s="170"/>
      <c r="BO432" s="170"/>
      <c r="BP432" s="170"/>
      <c r="BQ432" s="170"/>
      <c r="BR432" s="170"/>
      <c r="BS432" s="170"/>
      <c r="BT432" s="170"/>
      <c r="BU432" s="170"/>
      <c r="BV432" s="170"/>
      <c r="BW432" s="170"/>
      <c r="BX432" s="170"/>
      <c r="BY432" s="170"/>
      <c r="BZ432" s="170"/>
    </row>
    <row r="433" spans="1:78" x14ac:dyDescent="0.2">
      <c r="A433" s="170"/>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c r="AA433" s="170"/>
      <c r="AB433" s="170"/>
      <c r="AC433" s="170"/>
      <c r="AD433" s="170"/>
      <c r="AE433" s="170"/>
      <c r="AF433" s="170"/>
      <c r="AG433" s="170"/>
      <c r="AH433" s="170"/>
      <c r="AI433" s="170"/>
      <c r="AJ433" s="170"/>
      <c r="AK433" s="170"/>
      <c r="AL433" s="170"/>
      <c r="AM433" s="170"/>
      <c r="AN433" s="170"/>
      <c r="AO433" s="170"/>
      <c r="AP433" s="170"/>
      <c r="AQ433" s="170"/>
      <c r="AR433" s="170"/>
      <c r="AS433" s="170"/>
      <c r="AT433" s="170"/>
      <c r="AU433" s="170"/>
      <c r="AV433" s="170"/>
      <c r="AW433" s="170"/>
      <c r="AX433" s="170"/>
      <c r="AY433" s="170"/>
      <c r="AZ433" s="170"/>
      <c r="BA433" s="170"/>
      <c r="BB433" s="170"/>
      <c r="BC433" s="170"/>
      <c r="BD433" s="170"/>
      <c r="BE433" s="170"/>
      <c r="BF433" s="170"/>
      <c r="BG433" s="170"/>
      <c r="BH433" s="170"/>
      <c r="BI433" s="170"/>
      <c r="BJ433" s="170"/>
      <c r="BK433" s="170"/>
      <c r="BL433" s="170"/>
      <c r="BM433" s="170"/>
      <c r="BN433" s="170"/>
      <c r="BO433" s="170"/>
      <c r="BP433" s="170"/>
      <c r="BQ433" s="170"/>
      <c r="BR433" s="170"/>
      <c r="BS433" s="170"/>
      <c r="BT433" s="170"/>
      <c r="BU433" s="170"/>
      <c r="BV433" s="170"/>
      <c r="BW433" s="170"/>
      <c r="BX433" s="170"/>
      <c r="BY433" s="170"/>
      <c r="BZ433" s="170"/>
    </row>
    <row r="434" spans="1:78" x14ac:dyDescent="0.2">
      <c r="A434" s="170"/>
      <c r="B434" s="170"/>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c r="AA434" s="170"/>
      <c r="AB434" s="170"/>
      <c r="AC434" s="170"/>
      <c r="AD434" s="170"/>
      <c r="AE434" s="170"/>
      <c r="AF434" s="170"/>
      <c r="AG434" s="170"/>
      <c r="AH434" s="170"/>
      <c r="AI434" s="170"/>
      <c r="AJ434" s="170"/>
      <c r="AK434" s="170"/>
      <c r="AL434" s="170"/>
      <c r="AM434" s="170"/>
      <c r="AN434" s="170"/>
      <c r="AO434" s="170"/>
      <c r="AP434" s="170"/>
      <c r="AQ434" s="170"/>
      <c r="AR434" s="170"/>
      <c r="AS434" s="170"/>
      <c r="AT434" s="170"/>
      <c r="AU434" s="170"/>
      <c r="AV434" s="170"/>
      <c r="AW434" s="170"/>
      <c r="AX434" s="170"/>
      <c r="AY434" s="170"/>
      <c r="AZ434" s="170"/>
      <c r="BA434" s="170"/>
      <c r="BB434" s="170"/>
      <c r="BC434" s="170"/>
      <c r="BD434" s="170"/>
      <c r="BE434" s="170"/>
      <c r="BF434" s="170"/>
      <c r="BG434" s="170"/>
      <c r="BH434" s="170"/>
      <c r="BI434" s="170"/>
      <c r="BJ434" s="170"/>
      <c r="BK434" s="170"/>
      <c r="BL434" s="170"/>
      <c r="BM434" s="170"/>
      <c r="BN434" s="170"/>
      <c r="BO434" s="170"/>
      <c r="BP434" s="170"/>
      <c r="BQ434" s="170"/>
      <c r="BR434" s="170"/>
      <c r="BS434" s="170"/>
      <c r="BT434" s="170"/>
      <c r="BU434" s="170"/>
      <c r="BV434" s="170"/>
      <c r="BW434" s="170"/>
      <c r="BX434" s="170"/>
      <c r="BY434" s="170"/>
      <c r="BZ434" s="170"/>
    </row>
    <row r="435" spans="1:78" x14ac:dyDescent="0.2">
      <c r="A435" s="170"/>
      <c r="B435" s="170"/>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c r="AA435" s="170"/>
      <c r="AB435" s="170"/>
      <c r="AC435" s="170"/>
      <c r="AD435" s="170"/>
      <c r="AE435" s="170"/>
      <c r="AF435" s="170"/>
      <c r="AG435" s="170"/>
      <c r="AH435" s="170"/>
      <c r="AI435" s="170"/>
      <c r="AJ435" s="170"/>
      <c r="AK435" s="170"/>
      <c r="AL435" s="170"/>
      <c r="AM435" s="170"/>
      <c r="AN435" s="170"/>
      <c r="AO435" s="170"/>
      <c r="AP435" s="170"/>
      <c r="AQ435" s="170"/>
      <c r="AR435" s="170"/>
      <c r="AS435" s="170"/>
      <c r="AT435" s="170"/>
      <c r="AU435" s="170"/>
      <c r="AV435" s="170"/>
      <c r="AW435" s="170"/>
      <c r="AX435" s="170"/>
      <c r="AY435" s="170"/>
      <c r="AZ435" s="170"/>
      <c r="BA435" s="170"/>
      <c r="BB435" s="170"/>
      <c r="BC435" s="170"/>
      <c r="BD435" s="170"/>
      <c r="BE435" s="170"/>
      <c r="BF435" s="170"/>
      <c r="BG435" s="170"/>
      <c r="BH435" s="170"/>
      <c r="BI435" s="170"/>
      <c r="BJ435" s="170"/>
      <c r="BK435" s="170"/>
      <c r="BL435" s="170"/>
      <c r="BM435" s="170"/>
      <c r="BN435" s="170"/>
      <c r="BO435" s="170"/>
      <c r="BP435" s="170"/>
      <c r="BQ435" s="170"/>
      <c r="BR435" s="170"/>
      <c r="BS435" s="170"/>
      <c r="BT435" s="170"/>
      <c r="BU435" s="170"/>
      <c r="BV435" s="170"/>
      <c r="BW435" s="170"/>
      <c r="BX435" s="170"/>
      <c r="BY435" s="170"/>
      <c r="BZ435" s="170"/>
    </row>
    <row r="436" spans="1:78" x14ac:dyDescent="0.2">
      <c r="A436" s="170"/>
      <c r="B436" s="170"/>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c r="AA436" s="170"/>
      <c r="AB436" s="170"/>
      <c r="AC436" s="170"/>
      <c r="AD436" s="170"/>
      <c r="AE436" s="170"/>
      <c r="AF436" s="170"/>
      <c r="AG436" s="170"/>
      <c r="AH436" s="170"/>
      <c r="AI436" s="170"/>
      <c r="AJ436" s="170"/>
      <c r="AK436" s="170"/>
      <c r="AL436" s="170"/>
      <c r="AM436" s="170"/>
      <c r="AN436" s="170"/>
      <c r="AO436" s="170"/>
      <c r="AP436" s="170"/>
      <c r="AQ436" s="170"/>
      <c r="AR436" s="170"/>
      <c r="AS436" s="170"/>
      <c r="AT436" s="170"/>
      <c r="AU436" s="170"/>
      <c r="AV436" s="170"/>
      <c r="AW436" s="170"/>
      <c r="AX436" s="170"/>
      <c r="AY436" s="170"/>
      <c r="AZ436" s="170"/>
      <c r="BA436" s="170"/>
      <c r="BB436" s="170"/>
      <c r="BC436" s="170"/>
      <c r="BD436" s="170"/>
      <c r="BE436" s="170"/>
      <c r="BF436" s="170"/>
      <c r="BG436" s="170"/>
      <c r="BH436" s="170"/>
      <c r="BI436" s="170"/>
      <c r="BJ436" s="170"/>
      <c r="BK436" s="170"/>
      <c r="BL436" s="170"/>
      <c r="BM436" s="170"/>
      <c r="BN436" s="170"/>
      <c r="BO436" s="170"/>
      <c r="BP436" s="170"/>
      <c r="BQ436" s="170"/>
      <c r="BR436" s="170"/>
      <c r="BS436" s="170"/>
      <c r="BT436" s="170"/>
      <c r="BU436" s="170"/>
      <c r="BV436" s="170"/>
      <c r="BW436" s="170"/>
      <c r="BX436" s="170"/>
      <c r="BY436" s="170"/>
      <c r="BZ436" s="170"/>
    </row>
    <row r="437" spans="1:78" x14ac:dyDescent="0.2">
      <c r="A437" s="170"/>
      <c r="B437" s="170"/>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c r="AA437" s="170"/>
      <c r="AB437" s="170"/>
      <c r="AC437" s="170"/>
      <c r="AD437" s="170"/>
      <c r="AE437" s="170"/>
      <c r="AF437" s="170"/>
      <c r="AG437" s="170"/>
      <c r="AH437" s="170"/>
      <c r="AI437" s="170"/>
      <c r="AJ437" s="170"/>
      <c r="AK437" s="170"/>
      <c r="AL437" s="170"/>
      <c r="AM437" s="170"/>
      <c r="AN437" s="170"/>
      <c r="AO437" s="170"/>
      <c r="AP437" s="170"/>
      <c r="AQ437" s="170"/>
      <c r="AR437" s="170"/>
      <c r="AS437" s="170"/>
      <c r="AT437" s="170"/>
      <c r="AU437" s="170"/>
      <c r="AV437" s="170"/>
      <c r="AW437" s="170"/>
      <c r="AX437" s="170"/>
      <c r="AY437" s="170"/>
      <c r="AZ437" s="170"/>
      <c r="BA437" s="170"/>
      <c r="BB437" s="170"/>
      <c r="BC437" s="170"/>
      <c r="BD437" s="170"/>
      <c r="BE437" s="170"/>
      <c r="BF437" s="170"/>
      <c r="BG437" s="170"/>
      <c r="BH437" s="170"/>
      <c r="BI437" s="170"/>
      <c r="BJ437" s="170"/>
      <c r="BK437" s="170"/>
      <c r="BL437" s="170"/>
      <c r="BM437" s="170"/>
      <c r="BN437" s="170"/>
      <c r="BO437" s="170"/>
      <c r="BP437" s="170"/>
      <c r="BQ437" s="170"/>
      <c r="BR437" s="170"/>
      <c r="BS437" s="170"/>
      <c r="BT437" s="170"/>
      <c r="BU437" s="170"/>
      <c r="BV437" s="170"/>
      <c r="BW437" s="170"/>
      <c r="BX437" s="170"/>
      <c r="BY437" s="170"/>
      <c r="BZ437" s="170"/>
    </row>
    <row r="438" spans="1:78" x14ac:dyDescent="0.2">
      <c r="A438" s="170"/>
      <c r="B438" s="170"/>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c r="AA438" s="170"/>
      <c r="AB438" s="170"/>
      <c r="AC438" s="170"/>
      <c r="AD438" s="170"/>
      <c r="AE438" s="170"/>
      <c r="AF438" s="170"/>
      <c r="AG438" s="170"/>
      <c r="AH438" s="170"/>
      <c r="AI438" s="170"/>
      <c r="AJ438" s="170"/>
      <c r="AK438" s="170"/>
      <c r="AL438" s="170"/>
      <c r="AM438" s="170"/>
      <c r="AN438" s="170"/>
      <c r="AO438" s="170"/>
      <c r="AP438" s="170"/>
      <c r="AQ438" s="170"/>
      <c r="AR438" s="170"/>
      <c r="AS438" s="170"/>
      <c r="AT438" s="170"/>
      <c r="AU438" s="170"/>
      <c r="AV438" s="170"/>
      <c r="AW438" s="170"/>
      <c r="AX438" s="170"/>
      <c r="AY438" s="170"/>
      <c r="AZ438" s="170"/>
      <c r="BA438" s="170"/>
      <c r="BB438" s="170"/>
      <c r="BC438" s="170"/>
      <c r="BD438" s="170"/>
      <c r="BE438" s="170"/>
      <c r="BF438" s="170"/>
      <c r="BG438" s="170"/>
      <c r="BH438" s="170"/>
      <c r="BI438" s="170"/>
      <c r="BJ438" s="170"/>
      <c r="BK438" s="170"/>
      <c r="BL438" s="170"/>
      <c r="BM438" s="170"/>
      <c r="BN438" s="170"/>
      <c r="BO438" s="170"/>
      <c r="BP438" s="170"/>
      <c r="BQ438" s="170"/>
      <c r="BR438" s="170"/>
      <c r="BS438" s="170"/>
      <c r="BT438" s="170"/>
      <c r="BU438" s="170"/>
      <c r="BV438" s="170"/>
      <c r="BW438" s="170"/>
      <c r="BX438" s="170"/>
      <c r="BY438" s="170"/>
      <c r="BZ438" s="170"/>
    </row>
    <row r="439" spans="1:78" x14ac:dyDescent="0.2">
      <c r="A439" s="170"/>
      <c r="B439" s="170"/>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c r="AA439" s="170"/>
      <c r="AB439" s="170"/>
      <c r="AC439" s="170"/>
      <c r="AD439" s="170"/>
      <c r="AE439" s="170"/>
      <c r="AF439" s="170"/>
      <c r="AG439" s="170"/>
      <c r="AH439" s="170"/>
      <c r="AI439" s="170"/>
      <c r="AJ439" s="170"/>
      <c r="AK439" s="170"/>
      <c r="AL439" s="170"/>
      <c r="AM439" s="170"/>
      <c r="AN439" s="170"/>
      <c r="AO439" s="170"/>
      <c r="AP439" s="170"/>
      <c r="AQ439" s="170"/>
      <c r="AR439" s="170"/>
      <c r="AS439" s="170"/>
      <c r="AT439" s="170"/>
      <c r="AU439" s="170"/>
      <c r="AV439" s="170"/>
      <c r="AW439" s="170"/>
      <c r="AX439" s="170"/>
      <c r="AY439" s="170"/>
      <c r="AZ439" s="170"/>
      <c r="BA439" s="170"/>
      <c r="BB439" s="170"/>
      <c r="BC439" s="170"/>
      <c r="BD439" s="170"/>
      <c r="BE439" s="170"/>
      <c r="BF439" s="170"/>
      <c r="BG439" s="170"/>
      <c r="BH439" s="170"/>
      <c r="BI439" s="170"/>
      <c r="BJ439" s="170"/>
      <c r="BK439" s="170"/>
      <c r="BL439" s="170"/>
      <c r="BM439" s="170"/>
      <c r="BN439" s="170"/>
      <c r="BO439" s="170"/>
      <c r="BP439" s="170"/>
      <c r="BQ439" s="170"/>
      <c r="BR439" s="170"/>
      <c r="BS439" s="170"/>
      <c r="BT439" s="170"/>
      <c r="BU439" s="170"/>
      <c r="BV439" s="170"/>
      <c r="BW439" s="170"/>
      <c r="BX439" s="170"/>
      <c r="BY439" s="170"/>
      <c r="BZ439" s="170"/>
    </row>
    <row r="440" spans="1:78" x14ac:dyDescent="0.2">
      <c r="A440" s="170"/>
      <c r="B440" s="170"/>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c r="AA440" s="170"/>
      <c r="AB440" s="170"/>
      <c r="AC440" s="170"/>
      <c r="AD440" s="170"/>
      <c r="AE440" s="170"/>
      <c r="AF440" s="170"/>
      <c r="AG440" s="170"/>
      <c r="AH440" s="170"/>
      <c r="AI440" s="170"/>
      <c r="AJ440" s="170"/>
      <c r="AK440" s="170"/>
      <c r="AL440" s="170"/>
      <c r="AM440" s="170"/>
      <c r="AN440" s="170"/>
      <c r="AO440" s="170"/>
      <c r="AP440" s="170"/>
      <c r="AQ440" s="170"/>
      <c r="AR440" s="170"/>
      <c r="AS440" s="170"/>
      <c r="AT440" s="170"/>
      <c r="AU440" s="170"/>
      <c r="AV440" s="170"/>
      <c r="AW440" s="170"/>
      <c r="AX440" s="170"/>
      <c r="AY440" s="170"/>
      <c r="AZ440" s="170"/>
      <c r="BA440" s="170"/>
      <c r="BB440" s="170"/>
      <c r="BC440" s="170"/>
      <c r="BD440" s="170"/>
      <c r="BE440" s="170"/>
      <c r="BF440" s="170"/>
      <c r="BG440" s="170"/>
      <c r="BH440" s="170"/>
      <c r="BI440" s="170"/>
      <c r="BJ440" s="170"/>
      <c r="BK440" s="170"/>
      <c r="BL440" s="170"/>
      <c r="BM440" s="170"/>
      <c r="BN440" s="170"/>
      <c r="BO440" s="170"/>
      <c r="BP440" s="170"/>
      <c r="BQ440" s="170"/>
      <c r="BR440" s="170"/>
      <c r="BS440" s="170"/>
      <c r="BT440" s="170"/>
      <c r="BU440" s="170"/>
      <c r="BV440" s="170"/>
      <c r="BW440" s="170"/>
      <c r="BX440" s="170"/>
      <c r="BY440" s="170"/>
      <c r="BZ440" s="170"/>
    </row>
    <row r="441" spans="1:78" x14ac:dyDescent="0.2">
      <c r="A441" s="170"/>
      <c r="B441" s="170"/>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c r="AA441" s="170"/>
      <c r="AB441" s="170"/>
      <c r="AC441" s="170"/>
      <c r="AD441" s="170"/>
      <c r="AE441" s="170"/>
      <c r="AF441" s="170"/>
      <c r="AG441" s="170"/>
      <c r="AH441" s="170"/>
      <c r="AI441" s="170"/>
      <c r="AJ441" s="170"/>
      <c r="AK441" s="170"/>
      <c r="AL441" s="170"/>
      <c r="AM441" s="170"/>
      <c r="AN441" s="170"/>
      <c r="AO441" s="170"/>
      <c r="AP441" s="170"/>
      <c r="AQ441" s="170"/>
      <c r="AR441" s="170"/>
      <c r="AS441" s="170"/>
      <c r="AT441" s="170"/>
      <c r="AU441" s="170"/>
      <c r="AV441" s="170"/>
      <c r="AW441" s="170"/>
      <c r="AX441" s="170"/>
      <c r="AY441" s="170"/>
      <c r="AZ441" s="170"/>
      <c r="BA441" s="170"/>
      <c r="BB441" s="170"/>
      <c r="BC441" s="170"/>
      <c r="BD441" s="170"/>
      <c r="BE441" s="170"/>
      <c r="BF441" s="170"/>
      <c r="BG441" s="170"/>
      <c r="BH441" s="170"/>
      <c r="BI441" s="170"/>
      <c r="BJ441" s="170"/>
      <c r="BK441" s="170"/>
      <c r="BL441" s="170"/>
      <c r="BM441" s="170"/>
      <c r="BN441" s="170"/>
      <c r="BO441" s="170"/>
      <c r="BP441" s="170"/>
      <c r="BQ441" s="170"/>
      <c r="BR441" s="170"/>
      <c r="BS441" s="170"/>
      <c r="BT441" s="170"/>
      <c r="BU441" s="170"/>
      <c r="BV441" s="170"/>
      <c r="BW441" s="170"/>
      <c r="BX441" s="170"/>
      <c r="BY441" s="170"/>
      <c r="BZ441" s="170"/>
    </row>
    <row r="442" spans="1:78" x14ac:dyDescent="0.2">
      <c r="A442" s="170"/>
      <c r="B442" s="170"/>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c r="AA442" s="170"/>
      <c r="AB442" s="170"/>
      <c r="AC442" s="170"/>
      <c r="AD442" s="170"/>
      <c r="AE442" s="170"/>
      <c r="AF442" s="170"/>
      <c r="AG442" s="170"/>
      <c r="AH442" s="170"/>
      <c r="AI442" s="170"/>
      <c r="AJ442" s="170"/>
      <c r="AK442" s="170"/>
      <c r="AL442" s="170"/>
      <c r="AM442" s="170"/>
      <c r="AN442" s="170"/>
      <c r="AO442" s="170"/>
      <c r="AP442" s="170"/>
      <c r="AQ442" s="170"/>
      <c r="AR442" s="170"/>
      <c r="AS442" s="170"/>
      <c r="AT442" s="170"/>
      <c r="AU442" s="170"/>
      <c r="AV442" s="170"/>
      <c r="AW442" s="170"/>
      <c r="AX442" s="170"/>
      <c r="AY442" s="170"/>
      <c r="AZ442" s="170"/>
      <c r="BA442" s="170"/>
      <c r="BB442" s="170"/>
      <c r="BC442" s="170"/>
      <c r="BD442" s="170"/>
      <c r="BE442" s="170"/>
      <c r="BF442" s="170"/>
      <c r="BG442" s="170"/>
      <c r="BH442" s="170"/>
      <c r="BI442" s="170"/>
      <c r="BJ442" s="170"/>
      <c r="BK442" s="170"/>
      <c r="BL442" s="170"/>
      <c r="BM442" s="170"/>
      <c r="BN442" s="170"/>
      <c r="BO442" s="170"/>
      <c r="BP442" s="170"/>
      <c r="BQ442" s="170"/>
      <c r="BR442" s="170"/>
      <c r="BS442" s="170"/>
      <c r="BT442" s="170"/>
      <c r="BU442" s="170"/>
      <c r="BV442" s="170"/>
      <c r="BW442" s="170"/>
      <c r="BX442" s="170"/>
      <c r="BY442" s="170"/>
      <c r="BZ442" s="170"/>
    </row>
    <row r="443" spans="1:78" x14ac:dyDescent="0.2">
      <c r="A443" s="170"/>
      <c r="B443" s="170"/>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c r="AA443" s="170"/>
      <c r="AB443" s="170"/>
      <c r="AC443" s="170"/>
      <c r="AD443" s="170"/>
      <c r="AE443" s="170"/>
      <c r="AF443" s="170"/>
      <c r="AG443" s="170"/>
      <c r="AH443" s="170"/>
      <c r="AI443" s="170"/>
      <c r="AJ443" s="170"/>
      <c r="AK443" s="170"/>
      <c r="AL443" s="170"/>
      <c r="AM443" s="170"/>
      <c r="AN443" s="170"/>
      <c r="AO443" s="170"/>
      <c r="AP443" s="170"/>
      <c r="AQ443" s="170"/>
      <c r="AR443" s="170"/>
      <c r="AS443" s="170"/>
      <c r="AT443" s="170"/>
      <c r="AU443" s="170"/>
      <c r="AV443" s="170"/>
      <c r="AW443" s="170"/>
      <c r="AX443" s="170"/>
      <c r="AY443" s="170"/>
      <c r="AZ443" s="170"/>
      <c r="BA443" s="170"/>
      <c r="BB443" s="170"/>
      <c r="BC443" s="170"/>
      <c r="BD443" s="170"/>
      <c r="BE443" s="170"/>
      <c r="BF443" s="170"/>
      <c r="BG443" s="170"/>
      <c r="BH443" s="170"/>
      <c r="BI443" s="170"/>
      <c r="BJ443" s="170"/>
      <c r="BK443" s="170"/>
      <c r="BL443" s="170"/>
      <c r="BM443" s="170"/>
      <c r="BN443" s="170"/>
      <c r="BO443" s="170"/>
      <c r="BP443" s="170"/>
      <c r="BQ443" s="170"/>
      <c r="BR443" s="170"/>
      <c r="BS443" s="170"/>
      <c r="BT443" s="170"/>
      <c r="BU443" s="170"/>
      <c r="BV443" s="170"/>
      <c r="BW443" s="170"/>
      <c r="BX443" s="170"/>
      <c r="BY443" s="170"/>
      <c r="BZ443" s="170"/>
    </row>
    <row r="444" spans="1:78" x14ac:dyDescent="0.2">
      <c r="A444" s="170"/>
      <c r="B444" s="170"/>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c r="AA444" s="170"/>
      <c r="AB444" s="170"/>
      <c r="AC444" s="170"/>
      <c r="AD444" s="170"/>
      <c r="AE444" s="170"/>
      <c r="AF444" s="170"/>
      <c r="AG444" s="170"/>
      <c r="AH444" s="170"/>
      <c r="AI444" s="170"/>
      <c r="AJ444" s="170"/>
      <c r="AK444" s="170"/>
      <c r="AL444" s="170"/>
      <c r="AM444" s="170"/>
      <c r="AN444" s="170"/>
      <c r="AO444" s="170"/>
      <c r="AP444" s="170"/>
      <c r="AQ444" s="170"/>
      <c r="AR444" s="170"/>
      <c r="AS444" s="170"/>
      <c r="AT444" s="170"/>
      <c r="AU444" s="170"/>
      <c r="AV444" s="170"/>
      <c r="AW444" s="170"/>
      <c r="AX444" s="170"/>
      <c r="AY444" s="170"/>
      <c r="AZ444" s="170"/>
      <c r="BA444" s="170"/>
      <c r="BB444" s="170"/>
      <c r="BC444" s="170"/>
      <c r="BD444" s="170"/>
      <c r="BE444" s="170"/>
      <c r="BF444" s="170"/>
      <c r="BG444" s="170"/>
      <c r="BH444" s="170"/>
      <c r="BI444" s="170"/>
      <c r="BJ444" s="170"/>
      <c r="BK444" s="170"/>
      <c r="BL444" s="170"/>
      <c r="BM444" s="170"/>
      <c r="BN444" s="170"/>
      <c r="BO444" s="170"/>
      <c r="BP444" s="170"/>
      <c r="BQ444" s="170"/>
      <c r="BR444" s="170"/>
      <c r="BS444" s="170"/>
      <c r="BT444" s="170"/>
      <c r="BU444" s="170"/>
      <c r="BV444" s="170"/>
      <c r="BW444" s="170"/>
      <c r="BX444" s="170"/>
      <c r="BY444" s="170"/>
      <c r="BZ444" s="170"/>
    </row>
    <row r="445" spans="1:78" x14ac:dyDescent="0.2">
      <c r="A445" s="170"/>
      <c r="B445" s="170"/>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c r="AA445" s="170"/>
      <c r="AB445" s="170"/>
      <c r="AC445" s="170"/>
      <c r="AD445" s="170"/>
      <c r="AE445" s="170"/>
      <c r="AF445" s="170"/>
      <c r="AG445" s="170"/>
      <c r="AH445" s="170"/>
      <c r="AI445" s="170"/>
      <c r="AJ445" s="170"/>
      <c r="AK445" s="170"/>
      <c r="AL445" s="170"/>
      <c r="AM445" s="170"/>
      <c r="AN445" s="170"/>
      <c r="AO445" s="170"/>
      <c r="AP445" s="170"/>
      <c r="AQ445" s="170"/>
      <c r="AR445" s="170"/>
      <c r="AS445" s="170"/>
      <c r="AT445" s="170"/>
      <c r="AU445" s="170"/>
      <c r="AV445" s="170"/>
      <c r="AW445" s="170"/>
      <c r="AX445" s="170"/>
      <c r="AY445" s="170"/>
      <c r="AZ445" s="170"/>
      <c r="BA445" s="170"/>
      <c r="BB445" s="170"/>
      <c r="BC445" s="170"/>
      <c r="BD445" s="170"/>
      <c r="BE445" s="170"/>
      <c r="BF445" s="170"/>
      <c r="BG445" s="170"/>
      <c r="BH445" s="170"/>
      <c r="BI445" s="170"/>
      <c r="BJ445" s="170"/>
      <c r="BK445" s="170"/>
      <c r="BL445" s="170"/>
      <c r="BM445" s="170"/>
      <c r="BN445" s="170"/>
      <c r="BO445" s="170"/>
      <c r="BP445" s="170"/>
      <c r="BQ445" s="170"/>
      <c r="BR445" s="170"/>
      <c r="BS445" s="170"/>
      <c r="BT445" s="170"/>
      <c r="BU445" s="170"/>
      <c r="BV445" s="170"/>
      <c r="BW445" s="170"/>
      <c r="BX445" s="170"/>
      <c r="BY445" s="170"/>
      <c r="BZ445" s="170"/>
    </row>
    <row r="446" spans="1:78" x14ac:dyDescent="0.2">
      <c r="A446" s="170"/>
      <c r="B446" s="170"/>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70"/>
      <c r="AL446" s="170"/>
      <c r="AM446" s="170"/>
      <c r="AN446" s="170"/>
      <c r="AO446" s="170"/>
      <c r="AP446" s="170"/>
      <c r="AQ446" s="170"/>
      <c r="AR446" s="170"/>
      <c r="AS446" s="170"/>
      <c r="AT446" s="170"/>
      <c r="AU446" s="170"/>
      <c r="AV446" s="170"/>
      <c r="AW446" s="170"/>
      <c r="AX446" s="170"/>
      <c r="AY446" s="170"/>
      <c r="AZ446" s="170"/>
      <c r="BA446" s="170"/>
      <c r="BB446" s="170"/>
      <c r="BC446" s="170"/>
      <c r="BD446" s="170"/>
      <c r="BE446" s="170"/>
      <c r="BF446" s="170"/>
      <c r="BG446" s="170"/>
      <c r="BH446" s="170"/>
      <c r="BI446" s="170"/>
      <c r="BJ446" s="170"/>
      <c r="BK446" s="170"/>
      <c r="BL446" s="170"/>
      <c r="BM446" s="170"/>
      <c r="BN446" s="170"/>
      <c r="BO446" s="170"/>
      <c r="BP446" s="170"/>
      <c r="BQ446" s="170"/>
      <c r="BR446" s="170"/>
      <c r="BS446" s="170"/>
      <c r="BT446" s="170"/>
      <c r="BU446" s="170"/>
      <c r="BV446" s="170"/>
      <c r="BW446" s="170"/>
      <c r="BX446" s="170"/>
      <c r="BY446" s="170"/>
      <c r="BZ446" s="170"/>
    </row>
    <row r="447" spans="1:78" x14ac:dyDescent="0.2">
      <c r="A447" s="170"/>
      <c r="B447" s="170"/>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c r="AA447" s="170"/>
      <c r="AB447" s="170"/>
      <c r="AC447" s="170"/>
      <c r="AD447" s="170"/>
      <c r="AE447" s="170"/>
      <c r="AF447" s="170"/>
      <c r="AG447" s="170"/>
      <c r="AH447" s="170"/>
      <c r="AI447" s="170"/>
      <c r="AJ447" s="170"/>
      <c r="AK447" s="170"/>
      <c r="AL447" s="170"/>
      <c r="AM447" s="170"/>
      <c r="AN447" s="170"/>
      <c r="AO447" s="170"/>
      <c r="AP447" s="170"/>
      <c r="AQ447" s="170"/>
      <c r="AR447" s="170"/>
      <c r="AS447" s="170"/>
      <c r="AT447" s="170"/>
      <c r="AU447" s="170"/>
      <c r="AV447" s="170"/>
      <c r="AW447" s="170"/>
      <c r="AX447" s="170"/>
      <c r="AY447" s="170"/>
      <c r="AZ447" s="170"/>
      <c r="BA447" s="170"/>
      <c r="BB447" s="170"/>
      <c r="BC447" s="170"/>
      <c r="BD447" s="170"/>
      <c r="BE447" s="170"/>
      <c r="BF447" s="170"/>
      <c r="BG447" s="170"/>
      <c r="BH447" s="170"/>
      <c r="BI447" s="170"/>
      <c r="BJ447" s="170"/>
      <c r="BK447" s="170"/>
      <c r="BL447" s="170"/>
      <c r="BM447" s="170"/>
      <c r="BN447" s="170"/>
      <c r="BO447" s="170"/>
      <c r="BP447" s="170"/>
      <c r="BQ447" s="170"/>
      <c r="BR447" s="170"/>
      <c r="BS447" s="170"/>
      <c r="BT447" s="170"/>
      <c r="BU447" s="170"/>
      <c r="BV447" s="170"/>
      <c r="BW447" s="170"/>
      <c r="BX447" s="170"/>
      <c r="BY447" s="170"/>
      <c r="BZ447" s="170"/>
    </row>
    <row r="448" spans="1:78" x14ac:dyDescent="0.2">
      <c r="A448" s="170"/>
      <c r="B448" s="170"/>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c r="AA448" s="170"/>
      <c r="AB448" s="170"/>
      <c r="AC448" s="170"/>
      <c r="AD448" s="170"/>
      <c r="AE448" s="170"/>
      <c r="AF448" s="170"/>
      <c r="AG448" s="170"/>
      <c r="AH448" s="170"/>
      <c r="AI448" s="170"/>
      <c r="AJ448" s="170"/>
      <c r="AK448" s="170"/>
      <c r="AL448" s="170"/>
      <c r="AM448" s="170"/>
      <c r="AN448" s="170"/>
      <c r="AO448" s="170"/>
      <c r="AP448" s="170"/>
      <c r="AQ448" s="170"/>
      <c r="AR448" s="170"/>
      <c r="AS448" s="170"/>
      <c r="AT448" s="170"/>
      <c r="AU448" s="170"/>
      <c r="AV448" s="170"/>
      <c r="AW448" s="170"/>
      <c r="AX448" s="170"/>
      <c r="AY448" s="170"/>
      <c r="AZ448" s="170"/>
      <c r="BA448" s="170"/>
      <c r="BB448" s="170"/>
      <c r="BC448" s="170"/>
      <c r="BD448" s="170"/>
      <c r="BE448" s="170"/>
      <c r="BF448" s="170"/>
      <c r="BG448" s="170"/>
      <c r="BH448" s="170"/>
      <c r="BI448" s="170"/>
      <c r="BJ448" s="170"/>
      <c r="BK448" s="170"/>
      <c r="BL448" s="170"/>
      <c r="BM448" s="170"/>
      <c r="BN448" s="170"/>
      <c r="BO448" s="170"/>
      <c r="BP448" s="170"/>
      <c r="BQ448" s="170"/>
      <c r="BR448" s="170"/>
      <c r="BS448" s="170"/>
      <c r="BT448" s="170"/>
      <c r="BU448" s="170"/>
      <c r="BV448" s="170"/>
      <c r="BW448" s="170"/>
      <c r="BX448" s="170"/>
      <c r="BY448" s="170"/>
      <c r="BZ448" s="170"/>
    </row>
    <row r="449" spans="1:78" x14ac:dyDescent="0.2">
      <c r="A449" s="170"/>
      <c r="B449" s="170"/>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c r="AA449" s="170"/>
      <c r="AB449" s="170"/>
      <c r="AC449" s="170"/>
      <c r="AD449" s="170"/>
      <c r="AE449" s="170"/>
      <c r="AF449" s="170"/>
      <c r="AG449" s="170"/>
      <c r="AH449" s="170"/>
      <c r="AI449" s="170"/>
      <c r="AJ449" s="170"/>
      <c r="AK449" s="170"/>
      <c r="AL449" s="170"/>
      <c r="AM449" s="170"/>
      <c r="AN449" s="170"/>
      <c r="AO449" s="170"/>
      <c r="AP449" s="170"/>
      <c r="AQ449" s="170"/>
      <c r="AR449" s="170"/>
      <c r="AS449" s="170"/>
      <c r="AT449" s="170"/>
      <c r="AU449" s="170"/>
      <c r="AV449" s="170"/>
      <c r="AW449" s="170"/>
      <c r="AX449" s="170"/>
      <c r="AY449" s="170"/>
      <c r="AZ449" s="170"/>
      <c r="BA449" s="170"/>
      <c r="BB449" s="170"/>
      <c r="BC449" s="170"/>
      <c r="BD449" s="170"/>
      <c r="BE449" s="170"/>
      <c r="BF449" s="170"/>
      <c r="BG449" s="170"/>
      <c r="BH449" s="170"/>
      <c r="BI449" s="170"/>
      <c r="BJ449" s="170"/>
      <c r="BK449" s="170"/>
      <c r="BL449" s="170"/>
      <c r="BM449" s="170"/>
      <c r="BN449" s="170"/>
      <c r="BO449" s="170"/>
      <c r="BP449" s="170"/>
      <c r="BQ449" s="170"/>
      <c r="BR449" s="170"/>
      <c r="BS449" s="170"/>
      <c r="BT449" s="170"/>
      <c r="BU449" s="170"/>
      <c r="BV449" s="170"/>
      <c r="BW449" s="170"/>
      <c r="BX449" s="170"/>
      <c r="BY449" s="170"/>
      <c r="BZ449" s="170"/>
    </row>
    <row r="450" spans="1:78" x14ac:dyDescent="0.2">
      <c r="A450" s="170"/>
      <c r="B450" s="170"/>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c r="AA450" s="170"/>
      <c r="AB450" s="170"/>
      <c r="AC450" s="170"/>
      <c r="AD450" s="170"/>
      <c r="AE450" s="170"/>
      <c r="AF450" s="170"/>
      <c r="AG450" s="170"/>
      <c r="AH450" s="170"/>
      <c r="AI450" s="170"/>
      <c r="AJ450" s="170"/>
      <c r="AK450" s="170"/>
      <c r="AL450" s="170"/>
      <c r="AM450" s="170"/>
      <c r="AN450" s="170"/>
      <c r="AO450" s="170"/>
      <c r="AP450" s="170"/>
      <c r="AQ450" s="170"/>
      <c r="AR450" s="170"/>
      <c r="AS450" s="170"/>
      <c r="AT450" s="170"/>
      <c r="AU450" s="170"/>
      <c r="AV450" s="170"/>
      <c r="AW450" s="170"/>
      <c r="AX450" s="170"/>
      <c r="AY450" s="170"/>
      <c r="AZ450" s="170"/>
      <c r="BA450" s="170"/>
      <c r="BB450" s="170"/>
      <c r="BC450" s="170"/>
      <c r="BD450" s="170"/>
      <c r="BE450" s="170"/>
      <c r="BF450" s="170"/>
      <c r="BG450" s="170"/>
      <c r="BH450" s="170"/>
      <c r="BI450" s="170"/>
      <c r="BJ450" s="170"/>
      <c r="BK450" s="170"/>
      <c r="BL450" s="170"/>
      <c r="BM450" s="170"/>
      <c r="BN450" s="170"/>
      <c r="BO450" s="170"/>
      <c r="BP450" s="170"/>
      <c r="BQ450" s="170"/>
      <c r="BR450" s="170"/>
      <c r="BS450" s="170"/>
      <c r="BT450" s="170"/>
      <c r="BU450" s="170"/>
      <c r="BV450" s="170"/>
      <c r="BW450" s="170"/>
      <c r="BX450" s="170"/>
      <c r="BY450" s="170"/>
      <c r="BZ450" s="170"/>
    </row>
    <row r="451" spans="1:78" x14ac:dyDescent="0.2">
      <c r="A451" s="170"/>
      <c r="B451" s="170"/>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c r="AA451" s="170"/>
      <c r="AB451" s="170"/>
      <c r="AC451" s="170"/>
      <c r="AD451" s="170"/>
      <c r="AE451" s="170"/>
      <c r="AF451" s="170"/>
      <c r="AG451" s="170"/>
      <c r="AH451" s="170"/>
      <c r="AI451" s="170"/>
      <c r="AJ451" s="170"/>
      <c r="AK451" s="170"/>
      <c r="AL451" s="170"/>
      <c r="AM451" s="170"/>
      <c r="AN451" s="170"/>
      <c r="AO451" s="170"/>
      <c r="AP451" s="170"/>
      <c r="AQ451" s="170"/>
      <c r="AR451" s="170"/>
      <c r="AS451" s="170"/>
      <c r="AT451" s="170"/>
      <c r="AU451" s="170"/>
      <c r="AV451" s="170"/>
      <c r="AW451" s="170"/>
      <c r="AX451" s="170"/>
      <c r="AY451" s="170"/>
      <c r="AZ451" s="170"/>
      <c r="BA451" s="170"/>
      <c r="BB451" s="170"/>
      <c r="BC451" s="170"/>
      <c r="BD451" s="170"/>
      <c r="BE451" s="170"/>
      <c r="BF451" s="170"/>
      <c r="BG451" s="170"/>
      <c r="BH451" s="170"/>
      <c r="BI451" s="170"/>
      <c r="BJ451" s="170"/>
      <c r="BK451" s="170"/>
      <c r="BL451" s="170"/>
      <c r="BM451" s="170"/>
      <c r="BN451" s="170"/>
      <c r="BO451" s="170"/>
      <c r="BP451" s="170"/>
      <c r="BQ451" s="170"/>
      <c r="BR451" s="170"/>
      <c r="BS451" s="170"/>
      <c r="BT451" s="170"/>
      <c r="BU451" s="170"/>
      <c r="BV451" s="170"/>
      <c r="BW451" s="170"/>
      <c r="BX451" s="170"/>
      <c r="BY451" s="170"/>
      <c r="BZ451" s="170"/>
    </row>
    <row r="452" spans="1:78" x14ac:dyDescent="0.2">
      <c r="A452" s="170"/>
      <c r="B452" s="170"/>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c r="AA452" s="170"/>
      <c r="AB452" s="170"/>
      <c r="AC452" s="170"/>
      <c r="AD452" s="170"/>
      <c r="AE452" s="170"/>
      <c r="AF452" s="170"/>
      <c r="AG452" s="170"/>
      <c r="AH452" s="170"/>
      <c r="AI452" s="170"/>
      <c r="AJ452" s="170"/>
      <c r="AK452" s="170"/>
      <c r="AL452" s="170"/>
      <c r="AM452" s="170"/>
      <c r="AN452" s="170"/>
      <c r="AO452" s="170"/>
      <c r="AP452" s="170"/>
      <c r="AQ452" s="170"/>
      <c r="AR452" s="170"/>
      <c r="AS452" s="170"/>
      <c r="AT452" s="170"/>
      <c r="AU452" s="170"/>
      <c r="AV452" s="170"/>
      <c r="AW452" s="170"/>
      <c r="AX452" s="170"/>
      <c r="AY452" s="170"/>
      <c r="AZ452" s="170"/>
      <c r="BA452" s="170"/>
      <c r="BB452" s="170"/>
      <c r="BC452" s="170"/>
      <c r="BD452" s="170"/>
      <c r="BE452" s="170"/>
      <c r="BF452" s="170"/>
      <c r="BG452" s="170"/>
      <c r="BH452" s="170"/>
      <c r="BI452" s="170"/>
      <c r="BJ452" s="170"/>
      <c r="BK452" s="170"/>
      <c r="BL452" s="170"/>
      <c r="BM452" s="170"/>
      <c r="BN452" s="170"/>
      <c r="BO452" s="170"/>
      <c r="BP452" s="170"/>
      <c r="BQ452" s="170"/>
      <c r="BR452" s="170"/>
      <c r="BS452" s="170"/>
      <c r="BT452" s="170"/>
      <c r="BU452" s="170"/>
      <c r="BV452" s="170"/>
      <c r="BW452" s="170"/>
      <c r="BX452" s="170"/>
      <c r="BY452" s="170"/>
      <c r="BZ452" s="170"/>
    </row>
    <row r="453" spans="1:78" x14ac:dyDescent="0.2">
      <c r="A453" s="170"/>
      <c r="B453" s="170"/>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c r="AA453" s="170"/>
      <c r="AB453" s="170"/>
      <c r="AC453" s="170"/>
      <c r="AD453" s="170"/>
      <c r="AE453" s="170"/>
      <c r="AF453" s="170"/>
      <c r="AG453" s="170"/>
      <c r="AH453" s="170"/>
      <c r="AI453" s="170"/>
      <c r="AJ453" s="170"/>
      <c r="AK453" s="170"/>
      <c r="AL453" s="170"/>
      <c r="AM453" s="170"/>
      <c r="AN453" s="170"/>
      <c r="AO453" s="170"/>
      <c r="AP453" s="170"/>
      <c r="AQ453" s="170"/>
      <c r="AR453" s="170"/>
      <c r="AS453" s="170"/>
      <c r="AT453" s="170"/>
      <c r="AU453" s="170"/>
      <c r="AV453" s="170"/>
      <c r="AW453" s="170"/>
      <c r="AX453" s="170"/>
      <c r="AY453" s="170"/>
      <c r="AZ453" s="170"/>
      <c r="BA453" s="170"/>
      <c r="BB453" s="170"/>
      <c r="BC453" s="170"/>
      <c r="BD453" s="170"/>
      <c r="BE453" s="170"/>
      <c r="BF453" s="170"/>
      <c r="BG453" s="170"/>
      <c r="BH453" s="170"/>
      <c r="BI453" s="170"/>
      <c r="BJ453" s="170"/>
      <c r="BK453" s="170"/>
      <c r="BL453" s="170"/>
      <c r="BM453" s="170"/>
      <c r="BN453" s="170"/>
      <c r="BO453" s="170"/>
      <c r="BP453" s="170"/>
      <c r="BQ453" s="170"/>
      <c r="BR453" s="170"/>
      <c r="BS453" s="170"/>
      <c r="BT453" s="170"/>
      <c r="BU453" s="170"/>
      <c r="BV453" s="170"/>
      <c r="BW453" s="170"/>
      <c r="BX453" s="170"/>
      <c r="BY453" s="170"/>
      <c r="BZ453" s="170"/>
    </row>
    <row r="454" spans="1:78" x14ac:dyDescent="0.2">
      <c r="A454" s="170"/>
      <c r="B454" s="170"/>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c r="AA454" s="170"/>
      <c r="AB454" s="170"/>
      <c r="AC454" s="170"/>
      <c r="AD454" s="170"/>
      <c r="AE454" s="170"/>
      <c r="AF454" s="170"/>
      <c r="AG454" s="170"/>
      <c r="AH454" s="170"/>
      <c r="AI454" s="170"/>
      <c r="AJ454" s="170"/>
      <c r="AK454" s="170"/>
      <c r="AL454" s="170"/>
      <c r="AM454" s="170"/>
      <c r="AN454" s="170"/>
      <c r="AO454" s="170"/>
      <c r="AP454" s="170"/>
      <c r="AQ454" s="170"/>
      <c r="AR454" s="170"/>
      <c r="AS454" s="170"/>
      <c r="AT454" s="170"/>
      <c r="AU454" s="170"/>
      <c r="AV454" s="170"/>
      <c r="AW454" s="170"/>
      <c r="AX454" s="170"/>
      <c r="AY454" s="170"/>
      <c r="AZ454" s="170"/>
      <c r="BA454" s="170"/>
      <c r="BB454" s="170"/>
      <c r="BC454" s="170"/>
      <c r="BD454" s="170"/>
      <c r="BE454" s="170"/>
      <c r="BF454" s="170"/>
      <c r="BG454" s="170"/>
      <c r="BH454" s="170"/>
      <c r="BI454" s="170"/>
      <c r="BJ454" s="170"/>
      <c r="BK454" s="170"/>
      <c r="BL454" s="170"/>
      <c r="BM454" s="170"/>
      <c r="BN454" s="170"/>
      <c r="BO454" s="170"/>
      <c r="BP454" s="170"/>
      <c r="BQ454" s="170"/>
      <c r="BR454" s="170"/>
      <c r="BS454" s="170"/>
      <c r="BT454" s="170"/>
      <c r="BU454" s="170"/>
      <c r="BV454" s="170"/>
      <c r="BW454" s="170"/>
      <c r="BX454" s="170"/>
      <c r="BY454" s="170"/>
      <c r="BZ454" s="170"/>
    </row>
    <row r="455" spans="1:78" x14ac:dyDescent="0.2">
      <c r="A455" s="170"/>
      <c r="B455" s="170"/>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c r="AA455" s="170"/>
      <c r="AB455" s="170"/>
      <c r="AC455" s="170"/>
      <c r="AD455" s="170"/>
      <c r="AE455" s="170"/>
      <c r="AF455" s="170"/>
      <c r="AG455" s="170"/>
      <c r="AH455" s="170"/>
      <c r="AI455" s="170"/>
      <c r="AJ455" s="170"/>
      <c r="AK455" s="170"/>
      <c r="AL455" s="170"/>
      <c r="AM455" s="170"/>
      <c r="AN455" s="170"/>
      <c r="AO455" s="170"/>
      <c r="AP455" s="170"/>
      <c r="AQ455" s="170"/>
      <c r="AR455" s="170"/>
      <c r="AS455" s="170"/>
      <c r="AT455" s="170"/>
      <c r="AU455" s="170"/>
      <c r="AV455" s="170"/>
      <c r="AW455" s="170"/>
      <c r="AX455" s="170"/>
      <c r="AY455" s="170"/>
      <c r="AZ455" s="170"/>
      <c r="BA455" s="170"/>
      <c r="BB455" s="170"/>
      <c r="BC455" s="170"/>
      <c r="BD455" s="170"/>
      <c r="BE455" s="170"/>
      <c r="BF455" s="170"/>
      <c r="BG455" s="170"/>
      <c r="BH455" s="170"/>
      <c r="BI455" s="170"/>
      <c r="BJ455" s="170"/>
      <c r="BK455" s="170"/>
      <c r="BL455" s="170"/>
      <c r="BM455" s="170"/>
      <c r="BN455" s="170"/>
      <c r="BO455" s="170"/>
      <c r="BP455" s="170"/>
      <c r="BQ455" s="170"/>
      <c r="BR455" s="170"/>
      <c r="BS455" s="170"/>
      <c r="BT455" s="170"/>
      <c r="BU455" s="170"/>
      <c r="BV455" s="170"/>
      <c r="BW455" s="170"/>
      <c r="BX455" s="170"/>
      <c r="BY455" s="170"/>
      <c r="BZ455" s="170"/>
    </row>
    <row r="456" spans="1:78" x14ac:dyDescent="0.2">
      <c r="A456" s="170"/>
      <c r="B456" s="170"/>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c r="AA456" s="170"/>
      <c r="AB456" s="170"/>
      <c r="AC456" s="170"/>
      <c r="AD456" s="170"/>
      <c r="AE456" s="170"/>
      <c r="AF456" s="170"/>
      <c r="AG456" s="170"/>
      <c r="AH456" s="170"/>
      <c r="AI456" s="170"/>
      <c r="AJ456" s="170"/>
      <c r="AK456" s="170"/>
      <c r="AL456" s="170"/>
      <c r="AM456" s="170"/>
      <c r="AN456" s="170"/>
      <c r="AO456" s="170"/>
      <c r="AP456" s="170"/>
      <c r="AQ456" s="170"/>
      <c r="AR456" s="170"/>
      <c r="AS456" s="170"/>
      <c r="AT456" s="170"/>
      <c r="AU456" s="170"/>
      <c r="AV456" s="170"/>
      <c r="AW456" s="170"/>
      <c r="AX456" s="170"/>
      <c r="AY456" s="170"/>
      <c r="AZ456" s="170"/>
      <c r="BA456" s="170"/>
      <c r="BB456" s="170"/>
      <c r="BC456" s="170"/>
      <c r="BD456" s="170"/>
      <c r="BE456" s="170"/>
      <c r="BF456" s="170"/>
      <c r="BG456" s="170"/>
      <c r="BH456" s="170"/>
      <c r="BI456" s="170"/>
      <c r="BJ456" s="170"/>
      <c r="BK456" s="170"/>
      <c r="BL456" s="170"/>
      <c r="BM456" s="170"/>
      <c r="BN456" s="170"/>
      <c r="BO456" s="170"/>
      <c r="BP456" s="170"/>
      <c r="BQ456" s="170"/>
      <c r="BR456" s="170"/>
      <c r="BS456" s="170"/>
      <c r="BT456" s="170"/>
      <c r="BU456" s="170"/>
      <c r="BV456" s="170"/>
      <c r="BW456" s="170"/>
      <c r="BX456" s="170"/>
      <c r="BY456" s="170"/>
      <c r="BZ456" s="170"/>
    </row>
    <row r="457" spans="1:78" x14ac:dyDescent="0.2">
      <c r="A457" s="170"/>
      <c r="B457" s="170"/>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c r="AA457" s="170"/>
      <c r="AB457" s="170"/>
      <c r="AC457" s="170"/>
      <c r="AD457" s="170"/>
      <c r="AE457" s="170"/>
      <c r="AF457" s="170"/>
      <c r="AG457" s="170"/>
      <c r="AH457" s="170"/>
      <c r="AI457" s="170"/>
      <c r="AJ457" s="170"/>
      <c r="AK457" s="170"/>
      <c r="AL457" s="170"/>
      <c r="AM457" s="170"/>
      <c r="AN457" s="170"/>
      <c r="AO457" s="170"/>
      <c r="AP457" s="170"/>
      <c r="AQ457" s="170"/>
      <c r="AR457" s="170"/>
      <c r="AS457" s="170"/>
      <c r="AT457" s="170"/>
      <c r="AU457" s="170"/>
      <c r="AV457" s="170"/>
      <c r="AW457" s="170"/>
      <c r="AX457" s="170"/>
      <c r="AY457" s="170"/>
      <c r="AZ457" s="170"/>
      <c r="BA457" s="170"/>
      <c r="BB457" s="170"/>
      <c r="BC457" s="170"/>
      <c r="BD457" s="170"/>
      <c r="BE457" s="170"/>
      <c r="BF457" s="170"/>
      <c r="BG457" s="170"/>
      <c r="BH457" s="170"/>
      <c r="BI457" s="170"/>
      <c r="BJ457" s="170"/>
      <c r="BK457" s="170"/>
      <c r="BL457" s="170"/>
      <c r="BM457" s="170"/>
      <c r="BN457" s="170"/>
      <c r="BO457" s="170"/>
      <c r="BP457" s="170"/>
      <c r="BQ457" s="170"/>
      <c r="BR457" s="170"/>
      <c r="BS457" s="170"/>
      <c r="BT457" s="170"/>
      <c r="BU457" s="170"/>
      <c r="BV457" s="170"/>
      <c r="BW457" s="170"/>
      <c r="BX457" s="170"/>
      <c r="BY457" s="170"/>
      <c r="BZ457" s="170"/>
    </row>
    <row r="458" spans="1:78" x14ac:dyDescent="0.2">
      <c r="A458" s="170"/>
      <c r="B458" s="170"/>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c r="AA458" s="170"/>
      <c r="AB458" s="170"/>
      <c r="AC458" s="170"/>
      <c r="AD458" s="170"/>
      <c r="AE458" s="170"/>
      <c r="AF458" s="170"/>
      <c r="AG458" s="170"/>
      <c r="AH458" s="170"/>
      <c r="AI458" s="170"/>
      <c r="AJ458" s="170"/>
      <c r="AK458" s="170"/>
      <c r="AL458" s="170"/>
      <c r="AM458" s="170"/>
      <c r="AN458" s="170"/>
      <c r="AO458" s="170"/>
      <c r="AP458" s="170"/>
      <c r="AQ458" s="170"/>
      <c r="AR458" s="170"/>
      <c r="AS458" s="170"/>
      <c r="AT458" s="170"/>
      <c r="AU458" s="170"/>
      <c r="AV458" s="170"/>
      <c r="AW458" s="170"/>
      <c r="AX458" s="170"/>
      <c r="AY458" s="170"/>
      <c r="AZ458" s="170"/>
      <c r="BA458" s="170"/>
      <c r="BB458" s="170"/>
      <c r="BC458" s="170"/>
      <c r="BD458" s="170"/>
      <c r="BE458" s="170"/>
      <c r="BF458" s="170"/>
      <c r="BG458" s="170"/>
      <c r="BH458" s="170"/>
      <c r="BI458" s="170"/>
      <c r="BJ458" s="170"/>
      <c r="BK458" s="170"/>
      <c r="BL458" s="170"/>
      <c r="BM458" s="170"/>
      <c r="BN458" s="170"/>
      <c r="BO458" s="170"/>
      <c r="BP458" s="170"/>
      <c r="BQ458" s="170"/>
      <c r="BR458" s="170"/>
      <c r="BS458" s="170"/>
      <c r="BT458" s="170"/>
      <c r="BU458" s="170"/>
      <c r="BV458" s="170"/>
      <c r="BW458" s="170"/>
      <c r="BX458" s="170"/>
      <c r="BY458" s="170"/>
      <c r="BZ458" s="170"/>
    </row>
    <row r="459" spans="1:78" x14ac:dyDescent="0.2">
      <c r="A459" s="170"/>
      <c r="B459" s="170"/>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c r="AA459" s="170"/>
      <c r="AB459" s="170"/>
      <c r="AC459" s="170"/>
      <c r="AD459" s="170"/>
      <c r="AE459" s="170"/>
      <c r="AF459" s="170"/>
      <c r="AG459" s="170"/>
      <c r="AH459" s="170"/>
      <c r="AI459" s="170"/>
      <c r="AJ459" s="170"/>
      <c r="AK459" s="170"/>
      <c r="AL459" s="170"/>
      <c r="AM459" s="170"/>
      <c r="AN459" s="170"/>
      <c r="AO459" s="170"/>
      <c r="AP459" s="170"/>
      <c r="AQ459" s="170"/>
      <c r="AR459" s="170"/>
      <c r="AS459" s="170"/>
      <c r="AT459" s="170"/>
      <c r="AU459" s="170"/>
      <c r="AV459" s="170"/>
      <c r="AW459" s="170"/>
      <c r="AX459" s="170"/>
      <c r="AY459" s="170"/>
      <c r="AZ459" s="170"/>
      <c r="BA459" s="170"/>
      <c r="BB459" s="170"/>
      <c r="BC459" s="170"/>
      <c r="BD459" s="170"/>
      <c r="BE459" s="170"/>
      <c r="BF459" s="170"/>
      <c r="BG459" s="170"/>
      <c r="BH459" s="170"/>
      <c r="BI459" s="170"/>
      <c r="BJ459" s="170"/>
      <c r="BK459" s="170"/>
      <c r="BL459" s="170"/>
      <c r="BM459" s="170"/>
      <c r="BN459" s="170"/>
      <c r="BO459" s="170"/>
      <c r="BP459" s="170"/>
      <c r="BQ459" s="170"/>
      <c r="BR459" s="170"/>
      <c r="BS459" s="170"/>
      <c r="BT459" s="170"/>
      <c r="BU459" s="170"/>
      <c r="BV459" s="170"/>
      <c r="BW459" s="170"/>
      <c r="BX459" s="170"/>
      <c r="BY459" s="170"/>
      <c r="BZ459" s="170"/>
    </row>
    <row r="460" spans="1:78" x14ac:dyDescent="0.2">
      <c r="A460" s="170"/>
      <c r="B460" s="170"/>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c r="AA460" s="170"/>
      <c r="AB460" s="170"/>
      <c r="AC460" s="170"/>
      <c r="AD460" s="170"/>
      <c r="AE460" s="170"/>
      <c r="AF460" s="170"/>
      <c r="AG460" s="170"/>
      <c r="AH460" s="170"/>
      <c r="AI460" s="170"/>
      <c r="AJ460" s="170"/>
      <c r="AK460" s="170"/>
      <c r="AL460" s="170"/>
      <c r="AM460" s="170"/>
      <c r="AN460" s="170"/>
      <c r="AO460" s="170"/>
      <c r="AP460" s="170"/>
      <c r="AQ460" s="170"/>
      <c r="AR460" s="170"/>
      <c r="AS460" s="170"/>
      <c r="AT460" s="170"/>
      <c r="AU460" s="170"/>
      <c r="AV460" s="170"/>
      <c r="AW460" s="170"/>
      <c r="AX460" s="170"/>
      <c r="AY460" s="170"/>
      <c r="AZ460" s="170"/>
      <c r="BA460" s="170"/>
      <c r="BB460" s="170"/>
      <c r="BC460" s="170"/>
      <c r="BD460" s="170"/>
      <c r="BE460" s="170"/>
      <c r="BF460" s="170"/>
      <c r="BG460" s="170"/>
      <c r="BH460" s="170"/>
      <c r="BI460" s="170"/>
      <c r="BJ460" s="170"/>
      <c r="BK460" s="170"/>
      <c r="BL460" s="170"/>
      <c r="BM460" s="170"/>
      <c r="BN460" s="170"/>
      <c r="BO460" s="170"/>
      <c r="BP460" s="170"/>
      <c r="BQ460" s="170"/>
      <c r="BR460" s="170"/>
      <c r="BS460" s="170"/>
      <c r="BT460" s="170"/>
      <c r="BU460" s="170"/>
      <c r="BV460" s="170"/>
      <c r="BW460" s="170"/>
      <c r="BX460" s="170"/>
      <c r="BY460" s="170"/>
      <c r="BZ460" s="170"/>
    </row>
    <row r="461" spans="1:78" x14ac:dyDescent="0.2">
      <c r="A461" s="170"/>
      <c r="B461" s="170"/>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c r="AA461" s="170"/>
      <c r="AB461" s="170"/>
      <c r="AC461" s="170"/>
      <c r="AD461" s="170"/>
      <c r="AE461" s="170"/>
      <c r="AF461" s="170"/>
      <c r="AG461" s="170"/>
      <c r="AH461" s="170"/>
      <c r="AI461" s="170"/>
      <c r="AJ461" s="170"/>
      <c r="AK461" s="170"/>
      <c r="AL461" s="170"/>
      <c r="AM461" s="170"/>
      <c r="AN461" s="170"/>
      <c r="AO461" s="170"/>
      <c r="AP461" s="170"/>
      <c r="AQ461" s="170"/>
      <c r="AR461" s="170"/>
      <c r="AS461" s="170"/>
      <c r="AT461" s="170"/>
      <c r="AU461" s="170"/>
      <c r="AV461" s="170"/>
      <c r="AW461" s="170"/>
      <c r="AX461" s="170"/>
      <c r="AY461" s="170"/>
      <c r="AZ461" s="170"/>
      <c r="BA461" s="170"/>
      <c r="BB461" s="170"/>
      <c r="BC461" s="170"/>
      <c r="BD461" s="170"/>
      <c r="BE461" s="170"/>
      <c r="BF461" s="170"/>
      <c r="BG461" s="170"/>
      <c r="BH461" s="170"/>
      <c r="BI461" s="170"/>
      <c r="BJ461" s="170"/>
      <c r="BK461" s="170"/>
      <c r="BL461" s="170"/>
      <c r="BM461" s="170"/>
      <c r="BN461" s="170"/>
      <c r="BO461" s="170"/>
      <c r="BP461" s="170"/>
      <c r="BQ461" s="170"/>
      <c r="BR461" s="170"/>
      <c r="BS461" s="170"/>
      <c r="BT461" s="170"/>
      <c r="BU461" s="170"/>
      <c r="BV461" s="170"/>
      <c r="BW461" s="170"/>
      <c r="BX461" s="170"/>
      <c r="BY461" s="170"/>
      <c r="BZ461" s="170"/>
    </row>
    <row r="462" spans="1:78" x14ac:dyDescent="0.2">
      <c r="A462" s="170"/>
      <c r="B462" s="170"/>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c r="AA462" s="170"/>
      <c r="AB462" s="170"/>
      <c r="AC462" s="170"/>
      <c r="AD462" s="170"/>
      <c r="AE462" s="170"/>
      <c r="AF462" s="170"/>
      <c r="AG462" s="170"/>
      <c r="AH462" s="170"/>
      <c r="AI462" s="170"/>
      <c r="AJ462" s="170"/>
      <c r="AK462" s="170"/>
      <c r="AL462" s="170"/>
      <c r="AM462" s="170"/>
      <c r="AN462" s="170"/>
      <c r="AO462" s="170"/>
      <c r="AP462" s="170"/>
      <c r="AQ462" s="170"/>
      <c r="AR462" s="170"/>
      <c r="AS462" s="170"/>
      <c r="AT462" s="170"/>
      <c r="AU462" s="170"/>
      <c r="AV462" s="170"/>
      <c r="AW462" s="170"/>
      <c r="AX462" s="170"/>
      <c r="AY462" s="170"/>
      <c r="AZ462" s="170"/>
      <c r="BA462" s="170"/>
      <c r="BB462" s="170"/>
      <c r="BC462" s="170"/>
      <c r="BD462" s="170"/>
      <c r="BE462" s="170"/>
      <c r="BF462" s="170"/>
      <c r="BG462" s="170"/>
      <c r="BH462" s="170"/>
      <c r="BI462" s="170"/>
      <c r="BJ462" s="170"/>
      <c r="BK462" s="170"/>
      <c r="BL462" s="170"/>
      <c r="BM462" s="170"/>
      <c r="BN462" s="170"/>
      <c r="BO462" s="170"/>
      <c r="BP462" s="170"/>
      <c r="BQ462" s="170"/>
      <c r="BR462" s="170"/>
      <c r="BS462" s="170"/>
      <c r="BT462" s="170"/>
      <c r="BU462" s="170"/>
      <c r="BV462" s="170"/>
      <c r="BW462" s="170"/>
      <c r="BX462" s="170"/>
      <c r="BY462" s="170"/>
      <c r="BZ462" s="170"/>
    </row>
    <row r="463" spans="1:78" x14ac:dyDescent="0.2">
      <c r="A463" s="170"/>
      <c r="B463" s="170"/>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c r="AA463" s="170"/>
      <c r="AB463" s="170"/>
      <c r="AC463" s="170"/>
      <c r="AD463" s="170"/>
      <c r="AE463" s="170"/>
      <c r="AF463" s="170"/>
      <c r="AG463" s="170"/>
      <c r="AH463" s="170"/>
      <c r="AI463" s="170"/>
      <c r="AJ463" s="170"/>
      <c r="AK463" s="170"/>
      <c r="AL463" s="170"/>
      <c r="AM463" s="170"/>
      <c r="AN463" s="170"/>
      <c r="AO463" s="170"/>
      <c r="AP463" s="170"/>
      <c r="AQ463" s="170"/>
      <c r="AR463" s="170"/>
      <c r="AS463" s="170"/>
      <c r="AT463" s="170"/>
      <c r="AU463" s="170"/>
      <c r="AV463" s="170"/>
      <c r="AW463" s="170"/>
      <c r="AX463" s="170"/>
      <c r="AY463" s="170"/>
      <c r="AZ463" s="170"/>
      <c r="BA463" s="170"/>
      <c r="BB463" s="170"/>
      <c r="BC463" s="170"/>
      <c r="BD463" s="170"/>
      <c r="BE463" s="170"/>
      <c r="BF463" s="170"/>
      <c r="BG463" s="170"/>
      <c r="BH463" s="170"/>
      <c r="BI463" s="170"/>
      <c r="BJ463" s="170"/>
      <c r="BK463" s="170"/>
      <c r="BL463" s="170"/>
      <c r="BM463" s="170"/>
      <c r="BN463" s="170"/>
      <c r="BO463" s="170"/>
      <c r="BP463" s="170"/>
      <c r="BQ463" s="170"/>
      <c r="BR463" s="170"/>
      <c r="BS463" s="170"/>
      <c r="BT463" s="170"/>
      <c r="BU463" s="170"/>
      <c r="BV463" s="170"/>
      <c r="BW463" s="170"/>
      <c r="BX463" s="170"/>
      <c r="BY463" s="170"/>
      <c r="BZ463" s="170"/>
    </row>
    <row r="464" spans="1:78" x14ac:dyDescent="0.2">
      <c r="A464" s="170"/>
      <c r="B464" s="170"/>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c r="AA464" s="170"/>
      <c r="AB464" s="170"/>
      <c r="AC464" s="170"/>
      <c r="AD464" s="170"/>
      <c r="AE464" s="170"/>
      <c r="AF464" s="170"/>
      <c r="AG464" s="170"/>
      <c r="AH464" s="170"/>
      <c r="AI464" s="170"/>
      <c r="AJ464" s="170"/>
      <c r="AK464" s="170"/>
      <c r="AL464" s="170"/>
      <c r="AM464" s="170"/>
      <c r="AN464" s="170"/>
      <c r="AO464" s="170"/>
      <c r="AP464" s="170"/>
      <c r="AQ464" s="170"/>
      <c r="AR464" s="170"/>
      <c r="AS464" s="170"/>
      <c r="AT464" s="170"/>
      <c r="AU464" s="170"/>
      <c r="AV464" s="170"/>
      <c r="AW464" s="170"/>
      <c r="AX464" s="170"/>
      <c r="AY464" s="170"/>
      <c r="AZ464" s="170"/>
      <c r="BA464" s="170"/>
      <c r="BB464" s="170"/>
      <c r="BC464" s="170"/>
      <c r="BD464" s="170"/>
      <c r="BE464" s="170"/>
      <c r="BF464" s="170"/>
      <c r="BG464" s="170"/>
      <c r="BH464" s="170"/>
      <c r="BI464" s="170"/>
      <c r="BJ464" s="170"/>
      <c r="BK464" s="170"/>
      <c r="BL464" s="170"/>
      <c r="BM464" s="170"/>
      <c r="BN464" s="170"/>
      <c r="BO464" s="170"/>
      <c r="BP464" s="170"/>
      <c r="BQ464" s="170"/>
      <c r="BR464" s="170"/>
      <c r="BS464" s="170"/>
      <c r="BT464" s="170"/>
      <c r="BU464" s="170"/>
      <c r="BV464" s="170"/>
      <c r="BW464" s="170"/>
      <c r="BX464" s="170"/>
      <c r="BY464" s="170"/>
      <c r="BZ464" s="170"/>
    </row>
    <row r="465" spans="1:78" x14ac:dyDescent="0.2">
      <c r="A465" s="170"/>
      <c r="B465" s="170"/>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c r="AA465" s="170"/>
      <c r="AB465" s="170"/>
      <c r="AC465" s="170"/>
      <c r="AD465" s="170"/>
      <c r="AE465" s="170"/>
      <c r="AF465" s="170"/>
      <c r="AG465" s="170"/>
      <c r="AH465" s="170"/>
      <c r="AI465" s="170"/>
      <c r="AJ465" s="170"/>
      <c r="AK465" s="170"/>
      <c r="AL465" s="170"/>
      <c r="AM465" s="170"/>
      <c r="AN465" s="170"/>
      <c r="AO465" s="170"/>
      <c r="AP465" s="170"/>
      <c r="AQ465" s="170"/>
      <c r="AR465" s="170"/>
      <c r="AS465" s="170"/>
      <c r="AT465" s="170"/>
      <c r="AU465" s="170"/>
      <c r="AV465" s="170"/>
      <c r="AW465" s="170"/>
      <c r="AX465" s="170"/>
      <c r="AY465" s="170"/>
      <c r="AZ465" s="170"/>
      <c r="BA465" s="170"/>
      <c r="BB465" s="170"/>
      <c r="BC465" s="170"/>
      <c r="BD465" s="170"/>
      <c r="BE465" s="170"/>
      <c r="BF465" s="170"/>
      <c r="BG465" s="170"/>
      <c r="BH465" s="170"/>
      <c r="BI465" s="170"/>
      <c r="BJ465" s="170"/>
      <c r="BK465" s="170"/>
      <c r="BL465" s="170"/>
      <c r="BM465" s="170"/>
      <c r="BN465" s="170"/>
      <c r="BO465" s="170"/>
      <c r="BP465" s="170"/>
      <c r="BQ465" s="170"/>
      <c r="BR465" s="170"/>
      <c r="BS465" s="170"/>
      <c r="BT465" s="170"/>
      <c r="BU465" s="170"/>
      <c r="BV465" s="170"/>
      <c r="BW465" s="170"/>
      <c r="BX465" s="170"/>
      <c r="BY465" s="170"/>
      <c r="BZ465" s="170"/>
    </row>
    <row r="466" spans="1:78" x14ac:dyDescent="0.2">
      <c r="A466" s="170"/>
      <c r="B466" s="170"/>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170"/>
      <c r="AM466" s="170"/>
      <c r="AN466" s="170"/>
      <c r="AO466" s="170"/>
      <c r="AP466" s="170"/>
      <c r="AQ466" s="170"/>
      <c r="AR466" s="170"/>
      <c r="AS466" s="170"/>
      <c r="AT466" s="170"/>
      <c r="AU466" s="170"/>
      <c r="AV466" s="170"/>
      <c r="AW466" s="170"/>
      <c r="AX466" s="170"/>
      <c r="AY466" s="170"/>
      <c r="AZ466" s="170"/>
      <c r="BA466" s="170"/>
      <c r="BB466" s="170"/>
      <c r="BC466" s="170"/>
      <c r="BD466" s="170"/>
      <c r="BE466" s="170"/>
      <c r="BF466" s="170"/>
      <c r="BG466" s="170"/>
      <c r="BH466" s="170"/>
      <c r="BI466" s="170"/>
      <c r="BJ466" s="170"/>
      <c r="BK466" s="170"/>
      <c r="BL466" s="170"/>
      <c r="BM466" s="170"/>
      <c r="BN466" s="170"/>
      <c r="BO466" s="170"/>
      <c r="BP466" s="170"/>
      <c r="BQ466" s="170"/>
      <c r="BR466" s="170"/>
      <c r="BS466" s="170"/>
      <c r="BT466" s="170"/>
      <c r="BU466" s="170"/>
      <c r="BV466" s="170"/>
      <c r="BW466" s="170"/>
      <c r="BX466" s="170"/>
      <c r="BY466" s="170"/>
      <c r="BZ466" s="170"/>
    </row>
    <row r="467" spans="1:78" x14ac:dyDescent="0.2">
      <c r="A467" s="170"/>
      <c r="B467" s="170"/>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c r="AA467" s="170"/>
      <c r="AB467" s="170"/>
      <c r="AC467" s="170"/>
      <c r="AD467" s="170"/>
      <c r="AE467" s="170"/>
      <c r="AF467" s="170"/>
      <c r="AG467" s="170"/>
      <c r="AH467" s="170"/>
      <c r="AI467" s="170"/>
      <c r="AJ467" s="170"/>
      <c r="AK467" s="170"/>
      <c r="AL467" s="170"/>
      <c r="AM467" s="170"/>
      <c r="AN467" s="170"/>
      <c r="AO467" s="170"/>
      <c r="AP467" s="170"/>
      <c r="AQ467" s="170"/>
      <c r="AR467" s="170"/>
      <c r="AS467" s="170"/>
      <c r="AT467" s="170"/>
      <c r="AU467" s="170"/>
      <c r="AV467" s="170"/>
      <c r="AW467" s="170"/>
      <c r="AX467" s="170"/>
      <c r="AY467" s="170"/>
      <c r="AZ467" s="170"/>
      <c r="BA467" s="170"/>
      <c r="BB467" s="170"/>
      <c r="BC467" s="170"/>
      <c r="BD467" s="170"/>
      <c r="BE467" s="170"/>
      <c r="BF467" s="170"/>
      <c r="BG467" s="170"/>
      <c r="BH467" s="170"/>
      <c r="BI467" s="170"/>
      <c r="BJ467" s="170"/>
      <c r="BK467" s="170"/>
      <c r="BL467" s="170"/>
      <c r="BM467" s="170"/>
      <c r="BN467" s="170"/>
      <c r="BO467" s="170"/>
      <c r="BP467" s="170"/>
      <c r="BQ467" s="170"/>
      <c r="BR467" s="170"/>
      <c r="BS467" s="170"/>
      <c r="BT467" s="170"/>
      <c r="BU467" s="170"/>
      <c r="BV467" s="170"/>
      <c r="BW467" s="170"/>
      <c r="BX467" s="170"/>
      <c r="BY467" s="170"/>
      <c r="BZ467" s="170"/>
    </row>
    <row r="468" spans="1:78" x14ac:dyDescent="0.2">
      <c r="A468" s="170"/>
      <c r="B468" s="170"/>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c r="AA468" s="170"/>
      <c r="AB468" s="170"/>
      <c r="AC468" s="170"/>
      <c r="AD468" s="170"/>
      <c r="AE468" s="170"/>
      <c r="AF468" s="170"/>
      <c r="AG468" s="170"/>
      <c r="AH468" s="170"/>
      <c r="AI468" s="170"/>
      <c r="AJ468" s="170"/>
      <c r="AK468" s="170"/>
      <c r="AL468" s="170"/>
      <c r="AM468" s="170"/>
      <c r="AN468" s="170"/>
      <c r="AO468" s="170"/>
      <c r="AP468" s="170"/>
      <c r="AQ468" s="170"/>
      <c r="AR468" s="170"/>
      <c r="AS468" s="170"/>
      <c r="AT468" s="170"/>
      <c r="AU468" s="170"/>
      <c r="AV468" s="170"/>
      <c r="AW468" s="170"/>
      <c r="AX468" s="170"/>
      <c r="AY468" s="170"/>
      <c r="AZ468" s="170"/>
      <c r="BA468" s="170"/>
      <c r="BB468" s="170"/>
      <c r="BC468" s="170"/>
      <c r="BD468" s="170"/>
      <c r="BE468" s="170"/>
      <c r="BF468" s="170"/>
      <c r="BG468" s="170"/>
      <c r="BH468" s="170"/>
      <c r="BI468" s="170"/>
      <c r="BJ468" s="170"/>
      <c r="BK468" s="170"/>
      <c r="BL468" s="170"/>
      <c r="BM468" s="170"/>
      <c r="BN468" s="170"/>
      <c r="BO468" s="170"/>
      <c r="BP468" s="170"/>
      <c r="BQ468" s="170"/>
      <c r="BR468" s="170"/>
      <c r="BS468" s="170"/>
      <c r="BT468" s="170"/>
      <c r="BU468" s="170"/>
      <c r="BV468" s="170"/>
      <c r="BW468" s="170"/>
      <c r="BX468" s="170"/>
      <c r="BY468" s="170"/>
      <c r="BZ468" s="170"/>
    </row>
    <row r="469" spans="1:78" x14ac:dyDescent="0.2">
      <c r="A469" s="170"/>
      <c r="B469" s="170"/>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c r="AA469" s="170"/>
      <c r="AB469" s="170"/>
      <c r="AC469" s="170"/>
      <c r="AD469" s="170"/>
      <c r="AE469" s="170"/>
      <c r="AF469" s="170"/>
      <c r="AG469" s="170"/>
      <c r="AH469" s="170"/>
      <c r="AI469" s="170"/>
      <c r="AJ469" s="170"/>
      <c r="AK469" s="170"/>
      <c r="AL469" s="170"/>
      <c r="AM469" s="170"/>
      <c r="AN469" s="170"/>
      <c r="AO469" s="170"/>
      <c r="AP469" s="170"/>
      <c r="AQ469" s="170"/>
      <c r="AR469" s="170"/>
      <c r="AS469" s="170"/>
      <c r="AT469" s="170"/>
      <c r="AU469" s="170"/>
      <c r="AV469" s="170"/>
      <c r="AW469" s="170"/>
      <c r="AX469" s="170"/>
      <c r="AY469" s="170"/>
      <c r="AZ469" s="170"/>
      <c r="BA469" s="170"/>
      <c r="BB469" s="170"/>
      <c r="BC469" s="170"/>
      <c r="BD469" s="170"/>
      <c r="BE469" s="170"/>
      <c r="BF469" s="170"/>
      <c r="BG469" s="170"/>
      <c r="BH469" s="170"/>
      <c r="BI469" s="170"/>
      <c r="BJ469" s="170"/>
      <c r="BK469" s="170"/>
      <c r="BL469" s="170"/>
      <c r="BM469" s="170"/>
      <c r="BN469" s="170"/>
      <c r="BO469" s="170"/>
      <c r="BP469" s="170"/>
      <c r="BQ469" s="170"/>
      <c r="BR469" s="170"/>
      <c r="BS469" s="170"/>
      <c r="BT469" s="170"/>
      <c r="BU469" s="170"/>
      <c r="BV469" s="170"/>
      <c r="BW469" s="170"/>
      <c r="BX469" s="170"/>
      <c r="BY469" s="170"/>
      <c r="BZ469" s="170"/>
    </row>
    <row r="470" spans="1:78" x14ac:dyDescent="0.2">
      <c r="A470" s="170"/>
      <c r="B470" s="170"/>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c r="AA470" s="170"/>
      <c r="AB470" s="170"/>
      <c r="AC470" s="170"/>
      <c r="AD470" s="170"/>
      <c r="AE470" s="170"/>
      <c r="AF470" s="170"/>
      <c r="AG470" s="170"/>
      <c r="AH470" s="170"/>
      <c r="AI470" s="170"/>
      <c r="AJ470" s="170"/>
      <c r="AK470" s="170"/>
      <c r="AL470" s="170"/>
      <c r="AM470" s="170"/>
      <c r="AN470" s="170"/>
      <c r="AO470" s="170"/>
      <c r="AP470" s="170"/>
      <c r="AQ470" s="170"/>
      <c r="AR470" s="170"/>
      <c r="AS470" s="170"/>
      <c r="AT470" s="170"/>
      <c r="AU470" s="170"/>
      <c r="AV470" s="170"/>
      <c r="AW470" s="170"/>
      <c r="AX470" s="170"/>
      <c r="AY470" s="170"/>
      <c r="AZ470" s="170"/>
      <c r="BA470" s="170"/>
      <c r="BB470" s="170"/>
      <c r="BC470" s="170"/>
      <c r="BD470" s="170"/>
      <c r="BE470" s="170"/>
      <c r="BF470" s="170"/>
      <c r="BG470" s="170"/>
      <c r="BH470" s="170"/>
      <c r="BI470" s="170"/>
      <c r="BJ470" s="170"/>
      <c r="BK470" s="170"/>
      <c r="BL470" s="170"/>
      <c r="BM470" s="170"/>
      <c r="BN470" s="170"/>
      <c r="BO470" s="170"/>
      <c r="BP470" s="170"/>
      <c r="BQ470" s="170"/>
      <c r="BR470" s="170"/>
      <c r="BS470" s="170"/>
      <c r="BT470" s="170"/>
      <c r="BU470" s="170"/>
      <c r="BV470" s="170"/>
      <c r="BW470" s="170"/>
      <c r="BX470" s="170"/>
      <c r="BY470" s="170"/>
      <c r="BZ470" s="170"/>
    </row>
    <row r="471" spans="1:78" x14ac:dyDescent="0.2">
      <c r="A471" s="170"/>
      <c r="B471" s="170"/>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c r="AA471" s="170"/>
      <c r="AB471" s="170"/>
      <c r="AC471" s="170"/>
      <c r="AD471" s="170"/>
      <c r="AE471" s="170"/>
      <c r="AF471" s="170"/>
      <c r="AG471" s="170"/>
      <c r="AH471" s="170"/>
      <c r="AI471" s="170"/>
      <c r="AJ471" s="170"/>
      <c r="AK471" s="170"/>
      <c r="AL471" s="170"/>
      <c r="AM471" s="170"/>
      <c r="AN471" s="170"/>
      <c r="AO471" s="170"/>
      <c r="AP471" s="170"/>
      <c r="AQ471" s="170"/>
      <c r="AR471" s="170"/>
      <c r="AS471" s="170"/>
      <c r="AT471" s="170"/>
      <c r="AU471" s="170"/>
      <c r="AV471" s="170"/>
      <c r="AW471" s="170"/>
      <c r="AX471" s="170"/>
      <c r="AY471" s="170"/>
      <c r="AZ471" s="170"/>
      <c r="BA471" s="170"/>
      <c r="BB471" s="170"/>
      <c r="BC471" s="170"/>
      <c r="BD471" s="170"/>
      <c r="BE471" s="170"/>
      <c r="BF471" s="170"/>
      <c r="BG471" s="170"/>
      <c r="BH471" s="170"/>
      <c r="BI471" s="170"/>
      <c r="BJ471" s="170"/>
      <c r="BK471" s="170"/>
      <c r="BL471" s="170"/>
      <c r="BM471" s="170"/>
      <c r="BN471" s="170"/>
      <c r="BO471" s="170"/>
      <c r="BP471" s="170"/>
      <c r="BQ471" s="170"/>
      <c r="BR471" s="170"/>
      <c r="BS471" s="170"/>
      <c r="BT471" s="170"/>
      <c r="BU471" s="170"/>
      <c r="BV471" s="170"/>
      <c r="BW471" s="170"/>
      <c r="BX471" s="170"/>
      <c r="BY471" s="170"/>
      <c r="BZ471" s="170"/>
    </row>
    <row r="472" spans="1:78" x14ac:dyDescent="0.2">
      <c r="A472" s="170"/>
      <c r="B472" s="170"/>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c r="AA472" s="170"/>
      <c r="AB472" s="170"/>
      <c r="AC472" s="170"/>
      <c r="AD472" s="170"/>
      <c r="AE472" s="170"/>
      <c r="AF472" s="170"/>
      <c r="AG472" s="170"/>
      <c r="AH472" s="170"/>
      <c r="AI472" s="170"/>
      <c r="AJ472" s="170"/>
      <c r="AK472" s="170"/>
      <c r="AL472" s="170"/>
      <c r="AM472" s="170"/>
      <c r="AN472" s="170"/>
      <c r="AO472" s="170"/>
      <c r="AP472" s="170"/>
      <c r="AQ472" s="170"/>
      <c r="AR472" s="170"/>
      <c r="AS472" s="170"/>
      <c r="AT472" s="170"/>
      <c r="AU472" s="170"/>
      <c r="AV472" s="170"/>
      <c r="AW472" s="170"/>
      <c r="AX472" s="170"/>
      <c r="AY472" s="170"/>
      <c r="AZ472" s="170"/>
      <c r="BA472" s="170"/>
      <c r="BB472" s="170"/>
      <c r="BC472" s="170"/>
      <c r="BD472" s="170"/>
      <c r="BE472" s="170"/>
      <c r="BF472" s="170"/>
      <c r="BG472" s="170"/>
      <c r="BH472" s="170"/>
      <c r="BI472" s="170"/>
      <c r="BJ472" s="170"/>
      <c r="BK472" s="170"/>
      <c r="BL472" s="170"/>
      <c r="BM472" s="170"/>
      <c r="BN472" s="170"/>
      <c r="BO472" s="170"/>
      <c r="BP472" s="170"/>
      <c r="BQ472" s="170"/>
      <c r="BR472" s="170"/>
      <c r="BS472" s="170"/>
      <c r="BT472" s="170"/>
      <c r="BU472" s="170"/>
      <c r="BV472" s="170"/>
      <c r="BW472" s="170"/>
      <c r="BX472" s="170"/>
      <c r="BY472" s="170"/>
      <c r="BZ472" s="170"/>
    </row>
    <row r="473" spans="1:78" x14ac:dyDescent="0.2">
      <c r="A473" s="170"/>
      <c r="B473" s="170"/>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c r="AA473" s="170"/>
      <c r="AB473" s="170"/>
      <c r="AC473" s="170"/>
      <c r="AD473" s="170"/>
      <c r="AE473" s="170"/>
      <c r="AF473" s="170"/>
      <c r="AG473" s="170"/>
      <c r="AH473" s="170"/>
      <c r="AI473" s="170"/>
      <c r="AJ473" s="170"/>
      <c r="AK473" s="170"/>
      <c r="AL473" s="170"/>
      <c r="AM473" s="170"/>
      <c r="AN473" s="170"/>
      <c r="AO473" s="170"/>
      <c r="AP473" s="170"/>
      <c r="AQ473" s="170"/>
      <c r="AR473" s="170"/>
      <c r="AS473" s="170"/>
      <c r="AT473" s="170"/>
      <c r="AU473" s="170"/>
      <c r="AV473" s="170"/>
      <c r="AW473" s="170"/>
      <c r="AX473" s="170"/>
      <c r="AY473" s="170"/>
      <c r="AZ473" s="170"/>
      <c r="BA473" s="170"/>
      <c r="BB473" s="170"/>
      <c r="BC473" s="170"/>
      <c r="BD473" s="170"/>
      <c r="BE473" s="170"/>
      <c r="BF473" s="170"/>
      <c r="BG473" s="170"/>
      <c r="BH473" s="170"/>
      <c r="BI473" s="170"/>
      <c r="BJ473" s="170"/>
      <c r="BK473" s="170"/>
      <c r="BL473" s="170"/>
      <c r="BM473" s="170"/>
      <c r="BN473" s="170"/>
      <c r="BO473" s="170"/>
      <c r="BP473" s="170"/>
      <c r="BQ473" s="170"/>
      <c r="BR473" s="170"/>
      <c r="BS473" s="170"/>
      <c r="BT473" s="170"/>
      <c r="BU473" s="170"/>
      <c r="BV473" s="170"/>
      <c r="BW473" s="170"/>
      <c r="BX473" s="170"/>
      <c r="BY473" s="170"/>
      <c r="BZ473" s="170"/>
    </row>
    <row r="474" spans="1:78" x14ac:dyDescent="0.2">
      <c r="A474" s="170"/>
      <c r="B474" s="170"/>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c r="AA474" s="170"/>
      <c r="AB474" s="170"/>
      <c r="AC474" s="170"/>
      <c r="AD474" s="170"/>
      <c r="AE474" s="170"/>
      <c r="AF474" s="170"/>
      <c r="AG474" s="170"/>
      <c r="AH474" s="170"/>
      <c r="AI474" s="170"/>
      <c r="AJ474" s="170"/>
      <c r="AK474" s="170"/>
      <c r="AL474" s="170"/>
      <c r="AM474" s="170"/>
      <c r="AN474" s="170"/>
      <c r="AO474" s="170"/>
      <c r="AP474" s="170"/>
      <c r="AQ474" s="170"/>
      <c r="AR474" s="170"/>
      <c r="AS474" s="170"/>
      <c r="AT474" s="170"/>
      <c r="AU474" s="170"/>
      <c r="AV474" s="170"/>
      <c r="AW474" s="170"/>
      <c r="AX474" s="170"/>
      <c r="AY474" s="170"/>
      <c r="AZ474" s="170"/>
      <c r="BA474" s="170"/>
      <c r="BB474" s="170"/>
      <c r="BC474" s="170"/>
      <c r="BD474" s="170"/>
      <c r="BE474" s="170"/>
      <c r="BF474" s="170"/>
      <c r="BG474" s="170"/>
      <c r="BH474" s="170"/>
      <c r="BI474" s="170"/>
      <c r="BJ474" s="170"/>
      <c r="BK474" s="170"/>
      <c r="BL474" s="170"/>
      <c r="BM474" s="170"/>
      <c r="BN474" s="170"/>
      <c r="BO474" s="170"/>
      <c r="BP474" s="170"/>
      <c r="BQ474" s="170"/>
      <c r="BR474" s="170"/>
      <c r="BS474" s="170"/>
      <c r="BT474" s="170"/>
      <c r="BU474" s="170"/>
      <c r="BV474" s="170"/>
      <c r="BW474" s="170"/>
      <c r="BX474" s="170"/>
      <c r="BY474" s="170"/>
      <c r="BZ474" s="170"/>
    </row>
    <row r="475" spans="1:78" x14ac:dyDescent="0.2">
      <c r="A475" s="170"/>
      <c r="B475" s="170"/>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c r="AA475" s="170"/>
      <c r="AB475" s="170"/>
      <c r="AC475" s="170"/>
      <c r="AD475" s="170"/>
      <c r="AE475" s="170"/>
      <c r="AF475" s="170"/>
      <c r="AG475" s="170"/>
      <c r="AH475" s="170"/>
      <c r="AI475" s="170"/>
      <c r="AJ475" s="170"/>
      <c r="AK475" s="170"/>
      <c r="AL475" s="170"/>
      <c r="AM475" s="170"/>
      <c r="AN475" s="170"/>
      <c r="AO475" s="170"/>
      <c r="AP475" s="170"/>
      <c r="AQ475" s="170"/>
      <c r="AR475" s="170"/>
      <c r="AS475" s="170"/>
      <c r="AT475" s="170"/>
      <c r="AU475" s="170"/>
      <c r="AV475" s="170"/>
      <c r="AW475" s="170"/>
      <c r="AX475" s="170"/>
      <c r="AY475" s="170"/>
      <c r="AZ475" s="170"/>
      <c r="BA475" s="170"/>
      <c r="BB475" s="170"/>
      <c r="BC475" s="170"/>
      <c r="BD475" s="170"/>
      <c r="BE475" s="170"/>
      <c r="BF475" s="170"/>
      <c r="BG475" s="170"/>
      <c r="BH475" s="170"/>
      <c r="BI475" s="170"/>
      <c r="BJ475" s="170"/>
      <c r="BK475" s="170"/>
      <c r="BL475" s="170"/>
      <c r="BM475" s="170"/>
      <c r="BN475" s="170"/>
      <c r="BO475" s="170"/>
      <c r="BP475" s="170"/>
      <c r="BQ475" s="170"/>
      <c r="BR475" s="170"/>
      <c r="BS475" s="170"/>
      <c r="BT475" s="170"/>
      <c r="BU475" s="170"/>
      <c r="BV475" s="170"/>
      <c r="BW475" s="170"/>
      <c r="BX475" s="170"/>
      <c r="BY475" s="170"/>
      <c r="BZ475" s="170"/>
    </row>
    <row r="476" spans="1:78" x14ac:dyDescent="0.2">
      <c r="A476" s="170"/>
      <c r="B476" s="170"/>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c r="AA476" s="170"/>
      <c r="AB476" s="170"/>
      <c r="AC476" s="170"/>
      <c r="AD476" s="170"/>
      <c r="AE476" s="170"/>
      <c r="AF476" s="170"/>
      <c r="AG476" s="170"/>
      <c r="AH476" s="170"/>
      <c r="AI476" s="170"/>
      <c r="AJ476" s="170"/>
      <c r="AK476" s="170"/>
      <c r="AL476" s="170"/>
      <c r="AM476" s="170"/>
      <c r="AN476" s="170"/>
      <c r="AO476" s="170"/>
      <c r="AP476" s="170"/>
      <c r="AQ476" s="170"/>
      <c r="AR476" s="170"/>
      <c r="AS476" s="170"/>
      <c r="AT476" s="170"/>
      <c r="AU476" s="170"/>
      <c r="AV476" s="170"/>
      <c r="AW476" s="170"/>
      <c r="AX476" s="170"/>
      <c r="AY476" s="170"/>
      <c r="AZ476" s="170"/>
      <c r="BA476" s="170"/>
      <c r="BB476" s="170"/>
      <c r="BC476" s="170"/>
      <c r="BD476" s="170"/>
      <c r="BE476" s="170"/>
      <c r="BF476" s="170"/>
      <c r="BG476" s="170"/>
      <c r="BH476" s="170"/>
      <c r="BI476" s="170"/>
      <c r="BJ476" s="170"/>
      <c r="BK476" s="170"/>
      <c r="BL476" s="170"/>
      <c r="BM476" s="170"/>
      <c r="BN476" s="170"/>
      <c r="BO476" s="170"/>
      <c r="BP476" s="170"/>
      <c r="BQ476" s="170"/>
      <c r="BR476" s="170"/>
      <c r="BS476" s="170"/>
      <c r="BT476" s="170"/>
      <c r="BU476" s="170"/>
      <c r="BV476" s="170"/>
      <c r="BW476" s="170"/>
      <c r="BX476" s="170"/>
      <c r="BY476" s="170"/>
      <c r="BZ476" s="170"/>
    </row>
    <row r="477" spans="1:78" x14ac:dyDescent="0.2">
      <c r="A477" s="170"/>
      <c r="B477" s="170"/>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c r="AA477" s="170"/>
      <c r="AB477" s="170"/>
      <c r="AC477" s="170"/>
      <c r="AD477" s="170"/>
      <c r="AE477" s="170"/>
      <c r="AF477" s="170"/>
      <c r="AG477" s="170"/>
      <c r="AH477" s="170"/>
      <c r="AI477" s="170"/>
      <c r="AJ477" s="170"/>
      <c r="AK477" s="170"/>
      <c r="AL477" s="170"/>
      <c r="AM477" s="170"/>
      <c r="AN477" s="170"/>
      <c r="AO477" s="170"/>
      <c r="AP477" s="170"/>
      <c r="AQ477" s="170"/>
      <c r="AR477" s="170"/>
      <c r="AS477" s="170"/>
      <c r="AT477" s="170"/>
      <c r="AU477" s="170"/>
      <c r="AV477" s="170"/>
      <c r="AW477" s="170"/>
      <c r="AX477" s="170"/>
      <c r="AY477" s="170"/>
      <c r="AZ477" s="170"/>
      <c r="BA477" s="170"/>
      <c r="BB477" s="170"/>
      <c r="BC477" s="170"/>
      <c r="BD477" s="170"/>
      <c r="BE477" s="170"/>
      <c r="BF477" s="170"/>
      <c r="BG477" s="170"/>
      <c r="BH477" s="170"/>
      <c r="BI477" s="170"/>
      <c r="BJ477" s="170"/>
      <c r="BK477" s="170"/>
      <c r="BL477" s="170"/>
      <c r="BM477" s="170"/>
      <c r="BN477" s="170"/>
      <c r="BO477" s="170"/>
      <c r="BP477" s="170"/>
      <c r="BQ477" s="170"/>
      <c r="BR477" s="170"/>
      <c r="BS477" s="170"/>
      <c r="BT477" s="170"/>
      <c r="BU477" s="170"/>
      <c r="BV477" s="170"/>
      <c r="BW477" s="170"/>
      <c r="BX477" s="170"/>
      <c r="BY477" s="170"/>
      <c r="BZ477" s="170"/>
    </row>
    <row r="478" spans="1:78" x14ac:dyDescent="0.2">
      <c r="A478" s="170"/>
      <c r="B478" s="170"/>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c r="AA478" s="170"/>
      <c r="AB478" s="170"/>
      <c r="AC478" s="170"/>
      <c r="AD478" s="170"/>
      <c r="AE478" s="170"/>
      <c r="AF478" s="170"/>
      <c r="AG478" s="170"/>
      <c r="AH478" s="170"/>
      <c r="AI478" s="170"/>
      <c r="AJ478" s="170"/>
      <c r="AK478" s="170"/>
      <c r="AL478" s="170"/>
      <c r="AM478" s="170"/>
      <c r="AN478" s="170"/>
      <c r="AO478" s="170"/>
      <c r="AP478" s="170"/>
      <c r="AQ478" s="170"/>
      <c r="AR478" s="170"/>
      <c r="AS478" s="170"/>
      <c r="AT478" s="170"/>
      <c r="AU478" s="170"/>
      <c r="AV478" s="170"/>
      <c r="AW478" s="170"/>
      <c r="AX478" s="170"/>
      <c r="AY478" s="170"/>
      <c r="AZ478" s="170"/>
      <c r="BA478" s="170"/>
      <c r="BB478" s="170"/>
      <c r="BC478" s="170"/>
      <c r="BD478" s="170"/>
      <c r="BE478" s="170"/>
      <c r="BF478" s="170"/>
      <c r="BG478" s="170"/>
      <c r="BH478" s="170"/>
      <c r="BI478" s="170"/>
      <c r="BJ478" s="170"/>
      <c r="BK478" s="170"/>
      <c r="BL478" s="170"/>
      <c r="BM478" s="170"/>
      <c r="BN478" s="170"/>
      <c r="BO478" s="170"/>
      <c r="BP478" s="170"/>
      <c r="BQ478" s="170"/>
      <c r="BR478" s="170"/>
      <c r="BS478" s="170"/>
      <c r="BT478" s="170"/>
      <c r="BU478" s="170"/>
      <c r="BV478" s="170"/>
      <c r="BW478" s="170"/>
      <c r="BX478" s="170"/>
      <c r="BY478" s="170"/>
      <c r="BZ478" s="170"/>
    </row>
    <row r="479" spans="1:78" x14ac:dyDescent="0.2">
      <c r="A479" s="170"/>
      <c r="B479" s="170"/>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c r="AA479" s="170"/>
      <c r="AB479" s="170"/>
      <c r="AC479" s="170"/>
      <c r="AD479" s="170"/>
      <c r="AE479" s="170"/>
      <c r="AF479" s="170"/>
      <c r="AG479" s="170"/>
      <c r="AH479" s="170"/>
      <c r="AI479" s="170"/>
      <c r="AJ479" s="170"/>
      <c r="AK479" s="170"/>
      <c r="AL479" s="170"/>
      <c r="AM479" s="170"/>
      <c r="AN479" s="170"/>
      <c r="AO479" s="170"/>
      <c r="AP479" s="170"/>
      <c r="AQ479" s="170"/>
      <c r="AR479" s="170"/>
      <c r="AS479" s="170"/>
      <c r="AT479" s="170"/>
      <c r="AU479" s="170"/>
      <c r="AV479" s="170"/>
      <c r="AW479" s="170"/>
      <c r="AX479" s="170"/>
      <c r="AY479" s="170"/>
      <c r="AZ479" s="170"/>
      <c r="BA479" s="170"/>
      <c r="BB479" s="170"/>
      <c r="BC479" s="170"/>
      <c r="BD479" s="170"/>
      <c r="BE479" s="170"/>
      <c r="BF479" s="170"/>
      <c r="BG479" s="170"/>
      <c r="BH479" s="170"/>
      <c r="BI479" s="170"/>
      <c r="BJ479" s="170"/>
      <c r="BK479" s="170"/>
      <c r="BL479" s="170"/>
      <c r="BM479" s="170"/>
      <c r="BN479" s="170"/>
      <c r="BO479" s="170"/>
      <c r="BP479" s="170"/>
      <c r="BQ479" s="170"/>
      <c r="BR479" s="170"/>
      <c r="BS479" s="170"/>
      <c r="BT479" s="170"/>
      <c r="BU479" s="170"/>
      <c r="BV479" s="170"/>
      <c r="BW479" s="170"/>
      <c r="BX479" s="170"/>
      <c r="BY479" s="170"/>
      <c r="BZ479" s="170"/>
    </row>
    <row r="480" spans="1:78" x14ac:dyDescent="0.2">
      <c r="A480" s="170"/>
      <c r="B480" s="170"/>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c r="AA480" s="170"/>
      <c r="AB480" s="170"/>
      <c r="AC480" s="170"/>
      <c r="AD480" s="170"/>
      <c r="AE480" s="170"/>
      <c r="AF480" s="170"/>
      <c r="AG480" s="170"/>
      <c r="AH480" s="170"/>
      <c r="AI480" s="170"/>
      <c r="AJ480" s="170"/>
      <c r="AK480" s="170"/>
      <c r="AL480" s="170"/>
      <c r="AM480" s="170"/>
      <c r="AN480" s="170"/>
      <c r="AO480" s="170"/>
      <c r="AP480" s="170"/>
      <c r="AQ480" s="170"/>
      <c r="AR480" s="170"/>
      <c r="AS480" s="170"/>
      <c r="AT480" s="170"/>
      <c r="AU480" s="170"/>
      <c r="AV480" s="170"/>
      <c r="AW480" s="170"/>
      <c r="AX480" s="170"/>
      <c r="AY480" s="170"/>
      <c r="AZ480" s="170"/>
      <c r="BA480" s="170"/>
      <c r="BB480" s="170"/>
      <c r="BC480" s="170"/>
      <c r="BD480" s="170"/>
      <c r="BE480" s="170"/>
      <c r="BF480" s="170"/>
      <c r="BG480" s="170"/>
      <c r="BH480" s="170"/>
      <c r="BI480" s="170"/>
      <c r="BJ480" s="170"/>
      <c r="BK480" s="170"/>
      <c r="BL480" s="170"/>
      <c r="BM480" s="170"/>
      <c r="BN480" s="170"/>
      <c r="BO480" s="170"/>
      <c r="BP480" s="170"/>
      <c r="BQ480" s="170"/>
      <c r="BR480" s="170"/>
      <c r="BS480" s="170"/>
      <c r="BT480" s="170"/>
      <c r="BU480" s="170"/>
      <c r="BV480" s="170"/>
      <c r="BW480" s="170"/>
      <c r="BX480" s="170"/>
      <c r="BY480" s="170"/>
      <c r="BZ480" s="170"/>
    </row>
    <row r="481" spans="1:78" x14ac:dyDescent="0.2">
      <c r="A481" s="170"/>
      <c r="B481" s="170"/>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c r="AA481" s="170"/>
      <c r="AB481" s="170"/>
      <c r="AC481" s="170"/>
      <c r="AD481" s="170"/>
      <c r="AE481" s="170"/>
      <c r="AF481" s="170"/>
      <c r="AG481" s="170"/>
      <c r="AH481" s="170"/>
      <c r="AI481" s="170"/>
      <c r="AJ481" s="170"/>
      <c r="AK481" s="170"/>
      <c r="AL481" s="170"/>
      <c r="AM481" s="170"/>
      <c r="AN481" s="170"/>
      <c r="AO481" s="170"/>
      <c r="AP481" s="170"/>
      <c r="AQ481" s="170"/>
      <c r="AR481" s="170"/>
      <c r="AS481" s="170"/>
      <c r="AT481" s="170"/>
      <c r="AU481" s="170"/>
      <c r="AV481" s="170"/>
      <c r="AW481" s="170"/>
      <c r="AX481" s="170"/>
      <c r="AY481" s="170"/>
      <c r="AZ481" s="170"/>
      <c r="BA481" s="170"/>
      <c r="BB481" s="170"/>
      <c r="BC481" s="170"/>
      <c r="BD481" s="170"/>
      <c r="BE481" s="170"/>
      <c r="BF481" s="170"/>
      <c r="BG481" s="170"/>
      <c r="BH481" s="170"/>
      <c r="BI481" s="170"/>
      <c r="BJ481" s="170"/>
      <c r="BK481" s="170"/>
      <c r="BL481" s="170"/>
      <c r="BM481" s="170"/>
      <c r="BN481" s="170"/>
      <c r="BO481" s="170"/>
      <c r="BP481" s="170"/>
      <c r="BQ481" s="170"/>
      <c r="BR481" s="170"/>
      <c r="BS481" s="170"/>
      <c r="BT481" s="170"/>
      <c r="BU481" s="170"/>
      <c r="BV481" s="170"/>
      <c r="BW481" s="170"/>
      <c r="BX481" s="170"/>
      <c r="BY481" s="170"/>
      <c r="BZ481" s="170"/>
    </row>
    <row r="482" spans="1:78" x14ac:dyDescent="0.2">
      <c r="A482" s="170"/>
      <c r="B482" s="170"/>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c r="AA482" s="170"/>
      <c r="AB482" s="170"/>
      <c r="AC482" s="170"/>
      <c r="AD482" s="170"/>
      <c r="AE482" s="170"/>
      <c r="AF482" s="170"/>
      <c r="AG482" s="170"/>
      <c r="AH482" s="170"/>
      <c r="AI482" s="170"/>
      <c r="AJ482" s="170"/>
      <c r="AK482" s="170"/>
      <c r="AL482" s="170"/>
      <c r="AM482" s="170"/>
      <c r="AN482" s="170"/>
      <c r="AO482" s="170"/>
      <c r="AP482" s="170"/>
      <c r="AQ482" s="170"/>
      <c r="AR482" s="170"/>
      <c r="AS482" s="170"/>
      <c r="AT482" s="170"/>
      <c r="AU482" s="170"/>
      <c r="AV482" s="170"/>
      <c r="AW482" s="170"/>
      <c r="AX482" s="170"/>
      <c r="AY482" s="170"/>
      <c r="AZ482" s="170"/>
      <c r="BA482" s="170"/>
      <c r="BB482" s="170"/>
      <c r="BC482" s="170"/>
      <c r="BD482" s="170"/>
      <c r="BE482" s="170"/>
      <c r="BF482" s="170"/>
      <c r="BG482" s="170"/>
      <c r="BH482" s="170"/>
      <c r="BI482" s="170"/>
      <c r="BJ482" s="170"/>
      <c r="BK482" s="170"/>
      <c r="BL482" s="170"/>
      <c r="BM482" s="170"/>
      <c r="BN482" s="170"/>
      <c r="BO482" s="170"/>
      <c r="BP482" s="170"/>
      <c r="BQ482" s="170"/>
      <c r="BR482" s="170"/>
      <c r="BS482" s="170"/>
      <c r="BT482" s="170"/>
      <c r="BU482" s="170"/>
      <c r="BV482" s="170"/>
      <c r="BW482" s="170"/>
      <c r="BX482" s="170"/>
      <c r="BY482" s="170"/>
      <c r="BZ482" s="170"/>
    </row>
    <row r="483" spans="1:78" x14ac:dyDescent="0.2">
      <c r="A483" s="170"/>
      <c r="B483" s="170"/>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c r="AA483" s="170"/>
      <c r="AB483" s="170"/>
      <c r="AC483" s="170"/>
      <c r="AD483" s="170"/>
      <c r="AE483" s="170"/>
      <c r="AF483" s="170"/>
      <c r="AG483" s="170"/>
      <c r="AH483" s="170"/>
      <c r="AI483" s="170"/>
      <c r="AJ483" s="170"/>
      <c r="AK483" s="170"/>
      <c r="AL483" s="170"/>
      <c r="AM483" s="170"/>
      <c r="AN483" s="170"/>
      <c r="AO483" s="170"/>
      <c r="AP483" s="170"/>
      <c r="AQ483" s="170"/>
      <c r="AR483" s="170"/>
      <c r="AS483" s="170"/>
      <c r="AT483" s="170"/>
      <c r="AU483" s="170"/>
      <c r="AV483" s="170"/>
      <c r="AW483" s="170"/>
      <c r="AX483" s="170"/>
      <c r="AY483" s="170"/>
      <c r="AZ483" s="170"/>
      <c r="BA483" s="170"/>
      <c r="BB483" s="170"/>
      <c r="BC483" s="170"/>
      <c r="BD483" s="170"/>
      <c r="BE483" s="170"/>
      <c r="BF483" s="170"/>
      <c r="BG483" s="170"/>
      <c r="BH483" s="170"/>
      <c r="BI483" s="170"/>
      <c r="BJ483" s="170"/>
      <c r="BK483" s="170"/>
      <c r="BL483" s="170"/>
      <c r="BM483" s="170"/>
      <c r="BN483" s="170"/>
      <c r="BO483" s="170"/>
      <c r="BP483" s="170"/>
      <c r="BQ483" s="170"/>
      <c r="BR483" s="170"/>
      <c r="BS483" s="170"/>
      <c r="BT483" s="170"/>
      <c r="BU483" s="170"/>
      <c r="BV483" s="170"/>
      <c r="BW483" s="170"/>
      <c r="BX483" s="170"/>
      <c r="BY483" s="170"/>
      <c r="BZ483" s="170"/>
    </row>
    <row r="484" spans="1:78" x14ac:dyDescent="0.2">
      <c r="A484" s="170"/>
      <c r="B484" s="170"/>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c r="AA484" s="170"/>
      <c r="AB484" s="170"/>
      <c r="AC484" s="170"/>
      <c r="AD484" s="170"/>
      <c r="AE484" s="170"/>
      <c r="AF484" s="170"/>
      <c r="AG484" s="170"/>
      <c r="AH484" s="170"/>
      <c r="AI484" s="170"/>
      <c r="AJ484" s="170"/>
      <c r="AK484" s="170"/>
      <c r="AL484" s="170"/>
      <c r="AM484" s="170"/>
      <c r="AN484" s="170"/>
      <c r="AO484" s="170"/>
      <c r="AP484" s="170"/>
      <c r="AQ484" s="170"/>
      <c r="AR484" s="170"/>
      <c r="AS484" s="170"/>
      <c r="AT484" s="170"/>
      <c r="AU484" s="170"/>
      <c r="AV484" s="170"/>
      <c r="AW484" s="170"/>
      <c r="AX484" s="170"/>
      <c r="AY484" s="170"/>
      <c r="AZ484" s="170"/>
      <c r="BA484" s="170"/>
      <c r="BB484" s="170"/>
      <c r="BC484" s="170"/>
      <c r="BD484" s="170"/>
      <c r="BE484" s="170"/>
      <c r="BF484" s="170"/>
      <c r="BG484" s="170"/>
      <c r="BH484" s="170"/>
      <c r="BI484" s="170"/>
      <c r="BJ484" s="170"/>
      <c r="BK484" s="170"/>
      <c r="BL484" s="170"/>
      <c r="BM484" s="170"/>
      <c r="BN484" s="170"/>
      <c r="BO484" s="170"/>
      <c r="BP484" s="170"/>
      <c r="BQ484" s="170"/>
      <c r="BR484" s="170"/>
      <c r="BS484" s="170"/>
      <c r="BT484" s="170"/>
      <c r="BU484" s="170"/>
      <c r="BV484" s="170"/>
      <c r="BW484" s="170"/>
      <c r="BX484" s="170"/>
      <c r="BY484" s="170"/>
      <c r="BZ484" s="170"/>
    </row>
    <row r="485" spans="1:78" x14ac:dyDescent="0.2">
      <c r="A485" s="170"/>
      <c r="B485" s="170"/>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c r="AA485" s="170"/>
      <c r="AB485" s="170"/>
      <c r="AC485" s="170"/>
      <c r="AD485" s="170"/>
      <c r="AE485" s="170"/>
      <c r="AF485" s="170"/>
      <c r="AG485" s="170"/>
      <c r="AH485" s="170"/>
      <c r="AI485" s="170"/>
      <c r="AJ485" s="170"/>
      <c r="AK485" s="170"/>
      <c r="AL485" s="170"/>
      <c r="AM485" s="170"/>
      <c r="AN485" s="170"/>
      <c r="AO485" s="170"/>
      <c r="AP485" s="170"/>
      <c r="AQ485" s="170"/>
      <c r="AR485" s="170"/>
      <c r="AS485" s="170"/>
      <c r="AT485" s="170"/>
      <c r="AU485" s="170"/>
      <c r="AV485" s="170"/>
      <c r="AW485" s="170"/>
      <c r="AX485" s="170"/>
      <c r="AY485" s="170"/>
      <c r="AZ485" s="170"/>
      <c r="BA485" s="170"/>
      <c r="BB485" s="170"/>
      <c r="BC485" s="170"/>
      <c r="BD485" s="170"/>
      <c r="BE485" s="170"/>
      <c r="BF485" s="170"/>
      <c r="BG485" s="170"/>
      <c r="BH485" s="170"/>
      <c r="BI485" s="170"/>
      <c r="BJ485" s="170"/>
      <c r="BK485" s="170"/>
      <c r="BL485" s="170"/>
      <c r="BM485" s="170"/>
      <c r="BN485" s="170"/>
      <c r="BO485" s="170"/>
      <c r="BP485" s="170"/>
      <c r="BQ485" s="170"/>
      <c r="BR485" s="170"/>
      <c r="BS485" s="170"/>
      <c r="BT485" s="170"/>
      <c r="BU485" s="170"/>
      <c r="BV485" s="170"/>
      <c r="BW485" s="170"/>
      <c r="BX485" s="170"/>
      <c r="BY485" s="170"/>
      <c r="BZ485" s="170"/>
    </row>
    <row r="486" spans="1:78" x14ac:dyDescent="0.2">
      <c r="A486" s="170"/>
      <c r="B486" s="170"/>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c r="AA486" s="170"/>
      <c r="AB486" s="170"/>
      <c r="AC486" s="170"/>
      <c r="AD486" s="170"/>
      <c r="AE486" s="170"/>
      <c r="AF486" s="170"/>
      <c r="AG486" s="170"/>
      <c r="AH486" s="170"/>
      <c r="AI486" s="170"/>
      <c r="AJ486" s="170"/>
      <c r="AK486" s="170"/>
      <c r="AL486" s="170"/>
      <c r="AM486" s="170"/>
      <c r="AN486" s="170"/>
      <c r="AO486" s="170"/>
      <c r="AP486" s="170"/>
      <c r="AQ486" s="170"/>
      <c r="AR486" s="170"/>
      <c r="AS486" s="170"/>
      <c r="AT486" s="170"/>
      <c r="AU486" s="170"/>
      <c r="AV486" s="170"/>
      <c r="AW486" s="170"/>
      <c r="AX486" s="170"/>
      <c r="AY486" s="170"/>
      <c r="AZ486" s="170"/>
      <c r="BA486" s="170"/>
      <c r="BB486" s="170"/>
      <c r="BC486" s="170"/>
      <c r="BD486" s="170"/>
      <c r="BE486" s="170"/>
      <c r="BF486" s="170"/>
      <c r="BG486" s="170"/>
      <c r="BH486" s="170"/>
      <c r="BI486" s="170"/>
      <c r="BJ486" s="170"/>
      <c r="BK486" s="170"/>
      <c r="BL486" s="170"/>
      <c r="BM486" s="170"/>
      <c r="BN486" s="170"/>
      <c r="BO486" s="170"/>
      <c r="BP486" s="170"/>
      <c r="BQ486" s="170"/>
      <c r="BR486" s="170"/>
      <c r="BS486" s="170"/>
      <c r="BT486" s="170"/>
      <c r="BU486" s="170"/>
      <c r="BV486" s="170"/>
      <c r="BW486" s="170"/>
      <c r="BX486" s="170"/>
      <c r="BY486" s="170"/>
      <c r="BZ486" s="170"/>
    </row>
    <row r="487" spans="1:78" x14ac:dyDescent="0.2">
      <c r="A487" s="170"/>
      <c r="B487" s="170"/>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c r="AA487" s="170"/>
      <c r="AB487" s="170"/>
      <c r="AC487" s="170"/>
      <c r="AD487" s="170"/>
      <c r="AE487" s="170"/>
      <c r="AF487" s="170"/>
      <c r="AG487" s="170"/>
      <c r="AH487" s="170"/>
      <c r="AI487" s="170"/>
      <c r="AJ487" s="170"/>
      <c r="AK487" s="170"/>
      <c r="AL487" s="170"/>
      <c r="AM487" s="170"/>
      <c r="AN487" s="170"/>
      <c r="AO487" s="170"/>
      <c r="AP487" s="170"/>
      <c r="AQ487" s="170"/>
      <c r="AR487" s="170"/>
      <c r="AS487" s="170"/>
      <c r="AT487" s="170"/>
      <c r="AU487" s="170"/>
      <c r="AV487" s="170"/>
      <c r="AW487" s="170"/>
      <c r="AX487" s="170"/>
      <c r="AY487" s="170"/>
      <c r="AZ487" s="170"/>
      <c r="BA487" s="170"/>
      <c r="BB487" s="170"/>
      <c r="BC487" s="170"/>
      <c r="BD487" s="170"/>
      <c r="BE487" s="170"/>
      <c r="BF487" s="170"/>
      <c r="BG487" s="170"/>
      <c r="BH487" s="170"/>
      <c r="BI487" s="170"/>
      <c r="BJ487" s="170"/>
      <c r="BK487" s="170"/>
      <c r="BL487" s="170"/>
      <c r="BM487" s="170"/>
      <c r="BN487" s="170"/>
      <c r="BO487" s="170"/>
      <c r="BP487" s="170"/>
      <c r="BQ487" s="170"/>
      <c r="BR487" s="170"/>
      <c r="BS487" s="170"/>
      <c r="BT487" s="170"/>
      <c r="BU487" s="170"/>
      <c r="BV487" s="170"/>
      <c r="BW487" s="170"/>
      <c r="BX487" s="170"/>
      <c r="BY487" s="170"/>
      <c r="BZ487" s="170"/>
    </row>
    <row r="488" spans="1:78" x14ac:dyDescent="0.2">
      <c r="A488" s="170"/>
      <c r="B488" s="170"/>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c r="AA488" s="170"/>
      <c r="AB488" s="170"/>
      <c r="AC488" s="170"/>
      <c r="AD488" s="170"/>
      <c r="AE488" s="170"/>
      <c r="AF488" s="170"/>
      <c r="AG488" s="170"/>
      <c r="AH488" s="170"/>
      <c r="AI488" s="170"/>
      <c r="AJ488" s="170"/>
      <c r="AK488" s="170"/>
      <c r="AL488" s="170"/>
      <c r="AM488" s="170"/>
      <c r="AN488" s="170"/>
      <c r="AO488" s="170"/>
      <c r="AP488" s="170"/>
      <c r="AQ488" s="170"/>
      <c r="AR488" s="170"/>
      <c r="AS488" s="170"/>
      <c r="AT488" s="170"/>
      <c r="AU488" s="170"/>
      <c r="AV488" s="170"/>
      <c r="AW488" s="170"/>
      <c r="AX488" s="170"/>
      <c r="AY488" s="170"/>
      <c r="AZ488" s="170"/>
      <c r="BA488" s="170"/>
      <c r="BB488" s="170"/>
      <c r="BC488" s="170"/>
      <c r="BD488" s="170"/>
      <c r="BE488" s="170"/>
      <c r="BF488" s="170"/>
      <c r="BG488" s="170"/>
      <c r="BH488" s="170"/>
      <c r="BI488" s="170"/>
      <c r="BJ488" s="170"/>
      <c r="BK488" s="170"/>
      <c r="BL488" s="170"/>
      <c r="BM488" s="170"/>
      <c r="BN488" s="170"/>
      <c r="BO488" s="170"/>
      <c r="BP488" s="170"/>
      <c r="BQ488" s="170"/>
      <c r="BR488" s="170"/>
      <c r="BS488" s="170"/>
      <c r="BT488" s="170"/>
      <c r="BU488" s="170"/>
      <c r="BV488" s="170"/>
      <c r="BW488" s="170"/>
      <c r="BX488" s="170"/>
      <c r="BY488" s="170"/>
      <c r="BZ488" s="170"/>
    </row>
    <row r="489" spans="1:78" x14ac:dyDescent="0.2">
      <c r="A489" s="170"/>
      <c r="B489" s="170"/>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c r="AA489" s="170"/>
      <c r="AB489" s="170"/>
      <c r="AC489" s="170"/>
      <c r="AD489" s="170"/>
      <c r="AE489" s="170"/>
      <c r="AF489" s="170"/>
      <c r="AG489" s="170"/>
      <c r="AH489" s="170"/>
      <c r="AI489" s="170"/>
      <c r="AJ489" s="170"/>
      <c r="AK489" s="170"/>
      <c r="AL489" s="170"/>
      <c r="AM489" s="170"/>
      <c r="AN489" s="170"/>
      <c r="AO489" s="170"/>
      <c r="AP489" s="170"/>
      <c r="AQ489" s="170"/>
      <c r="AR489" s="170"/>
      <c r="AS489" s="170"/>
      <c r="AT489" s="170"/>
      <c r="AU489" s="170"/>
      <c r="AV489" s="170"/>
      <c r="AW489" s="170"/>
      <c r="AX489" s="170"/>
      <c r="AY489" s="170"/>
      <c r="AZ489" s="170"/>
      <c r="BA489" s="170"/>
      <c r="BB489" s="170"/>
      <c r="BC489" s="170"/>
      <c r="BD489" s="170"/>
      <c r="BE489" s="170"/>
      <c r="BF489" s="170"/>
      <c r="BG489" s="170"/>
      <c r="BH489" s="170"/>
      <c r="BI489" s="170"/>
      <c r="BJ489" s="170"/>
      <c r="BK489" s="170"/>
      <c r="BL489" s="170"/>
      <c r="BM489" s="170"/>
      <c r="BN489" s="170"/>
      <c r="BO489" s="170"/>
      <c r="BP489" s="170"/>
      <c r="BQ489" s="170"/>
      <c r="BR489" s="170"/>
      <c r="BS489" s="170"/>
      <c r="BT489" s="170"/>
      <c r="BU489" s="170"/>
      <c r="BV489" s="170"/>
      <c r="BW489" s="170"/>
      <c r="BX489" s="170"/>
      <c r="BY489" s="170"/>
      <c r="BZ489" s="170"/>
    </row>
    <row r="490" spans="1:78" x14ac:dyDescent="0.2">
      <c r="A490" s="170"/>
      <c r="B490" s="170"/>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c r="AA490" s="170"/>
      <c r="AB490" s="170"/>
      <c r="AC490" s="170"/>
      <c r="AD490" s="170"/>
      <c r="AE490" s="170"/>
      <c r="AF490" s="170"/>
      <c r="AG490" s="170"/>
      <c r="AH490" s="170"/>
      <c r="AI490" s="170"/>
      <c r="AJ490" s="170"/>
      <c r="AK490" s="170"/>
      <c r="AL490" s="170"/>
      <c r="AM490" s="170"/>
      <c r="AN490" s="170"/>
      <c r="AO490" s="170"/>
      <c r="AP490" s="170"/>
      <c r="AQ490" s="170"/>
      <c r="AR490" s="170"/>
      <c r="AS490" s="170"/>
      <c r="AT490" s="170"/>
      <c r="AU490" s="170"/>
      <c r="AV490" s="170"/>
      <c r="AW490" s="170"/>
      <c r="AX490" s="170"/>
      <c r="AY490" s="170"/>
      <c r="AZ490" s="170"/>
      <c r="BA490" s="170"/>
      <c r="BB490" s="170"/>
      <c r="BC490" s="170"/>
      <c r="BD490" s="170"/>
      <c r="BE490" s="170"/>
      <c r="BF490" s="170"/>
      <c r="BG490" s="170"/>
      <c r="BH490" s="170"/>
      <c r="BI490" s="170"/>
      <c r="BJ490" s="170"/>
      <c r="BK490" s="170"/>
      <c r="BL490" s="170"/>
      <c r="BM490" s="170"/>
      <c r="BN490" s="170"/>
      <c r="BO490" s="170"/>
      <c r="BP490" s="170"/>
      <c r="BQ490" s="170"/>
      <c r="BR490" s="170"/>
      <c r="BS490" s="170"/>
      <c r="BT490" s="170"/>
      <c r="BU490" s="170"/>
      <c r="BV490" s="170"/>
      <c r="BW490" s="170"/>
      <c r="BX490" s="170"/>
      <c r="BY490" s="170"/>
      <c r="BZ490" s="170"/>
    </row>
    <row r="491" spans="1:78" x14ac:dyDescent="0.2">
      <c r="A491" s="170"/>
      <c r="B491" s="170"/>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c r="AA491" s="170"/>
      <c r="AB491" s="170"/>
      <c r="AC491" s="170"/>
      <c r="AD491" s="170"/>
      <c r="AE491" s="170"/>
      <c r="AF491" s="170"/>
      <c r="AG491" s="170"/>
      <c r="AH491" s="170"/>
      <c r="AI491" s="170"/>
      <c r="AJ491" s="170"/>
      <c r="AK491" s="170"/>
      <c r="AL491" s="170"/>
      <c r="AM491" s="170"/>
      <c r="AN491" s="170"/>
      <c r="AO491" s="170"/>
      <c r="AP491" s="170"/>
      <c r="AQ491" s="170"/>
      <c r="AR491" s="170"/>
      <c r="AS491" s="170"/>
      <c r="AT491" s="170"/>
      <c r="AU491" s="170"/>
      <c r="AV491" s="170"/>
      <c r="AW491" s="170"/>
      <c r="AX491" s="170"/>
      <c r="AY491" s="170"/>
      <c r="AZ491" s="170"/>
      <c r="BA491" s="170"/>
      <c r="BB491" s="170"/>
      <c r="BC491" s="170"/>
      <c r="BD491" s="170"/>
      <c r="BE491" s="170"/>
      <c r="BF491" s="170"/>
      <c r="BG491" s="170"/>
      <c r="BH491" s="170"/>
      <c r="BI491" s="170"/>
      <c r="BJ491" s="170"/>
      <c r="BK491" s="170"/>
      <c r="BL491" s="170"/>
      <c r="BM491" s="170"/>
      <c r="BN491" s="170"/>
      <c r="BO491" s="170"/>
      <c r="BP491" s="170"/>
      <c r="BQ491" s="170"/>
      <c r="BR491" s="170"/>
      <c r="BS491" s="170"/>
      <c r="BT491" s="170"/>
      <c r="BU491" s="170"/>
      <c r="BV491" s="170"/>
      <c r="BW491" s="170"/>
      <c r="BX491" s="170"/>
      <c r="BY491" s="170"/>
      <c r="BZ491" s="170"/>
    </row>
    <row r="492" spans="1:78" x14ac:dyDescent="0.2">
      <c r="A492" s="170"/>
      <c r="B492" s="170"/>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c r="AA492" s="170"/>
      <c r="AB492" s="170"/>
      <c r="AC492" s="170"/>
      <c r="AD492" s="170"/>
      <c r="AE492" s="170"/>
      <c r="AF492" s="170"/>
      <c r="AG492" s="170"/>
      <c r="AH492" s="170"/>
      <c r="AI492" s="170"/>
      <c r="AJ492" s="170"/>
      <c r="AK492" s="170"/>
      <c r="AL492" s="170"/>
      <c r="AM492" s="170"/>
      <c r="AN492" s="170"/>
      <c r="AO492" s="170"/>
      <c r="AP492" s="170"/>
      <c r="AQ492" s="170"/>
      <c r="AR492" s="170"/>
      <c r="AS492" s="170"/>
      <c r="AT492" s="170"/>
      <c r="AU492" s="170"/>
      <c r="AV492" s="170"/>
      <c r="AW492" s="170"/>
      <c r="AX492" s="170"/>
      <c r="AY492" s="170"/>
      <c r="AZ492" s="170"/>
      <c r="BA492" s="170"/>
      <c r="BB492" s="170"/>
      <c r="BC492" s="170"/>
      <c r="BD492" s="170"/>
      <c r="BE492" s="170"/>
      <c r="BF492" s="170"/>
      <c r="BG492" s="170"/>
      <c r="BH492" s="170"/>
      <c r="BI492" s="170"/>
      <c r="BJ492" s="170"/>
      <c r="BK492" s="170"/>
      <c r="BL492" s="170"/>
      <c r="BM492" s="170"/>
      <c r="BN492" s="170"/>
      <c r="BO492" s="170"/>
      <c r="BP492" s="170"/>
      <c r="BQ492" s="170"/>
      <c r="BR492" s="170"/>
      <c r="BS492" s="170"/>
      <c r="BT492" s="170"/>
      <c r="BU492" s="170"/>
      <c r="BV492" s="170"/>
      <c r="BW492" s="170"/>
      <c r="BX492" s="170"/>
      <c r="BY492" s="170"/>
      <c r="BZ492" s="170"/>
    </row>
    <row r="493" spans="1:78" x14ac:dyDescent="0.2">
      <c r="A493" s="170"/>
      <c r="B493" s="170"/>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c r="AA493" s="170"/>
      <c r="AB493" s="170"/>
      <c r="AC493" s="170"/>
      <c r="AD493" s="170"/>
      <c r="AE493" s="170"/>
      <c r="AF493" s="170"/>
      <c r="AG493" s="170"/>
      <c r="AH493" s="170"/>
      <c r="AI493" s="170"/>
      <c r="AJ493" s="170"/>
      <c r="AK493" s="170"/>
      <c r="AL493" s="170"/>
      <c r="AM493" s="170"/>
      <c r="AN493" s="170"/>
      <c r="AO493" s="170"/>
      <c r="AP493" s="170"/>
      <c r="AQ493" s="170"/>
      <c r="AR493" s="170"/>
      <c r="AS493" s="170"/>
      <c r="AT493" s="170"/>
      <c r="AU493" s="170"/>
      <c r="AV493" s="170"/>
      <c r="AW493" s="170"/>
      <c r="AX493" s="170"/>
      <c r="AY493" s="170"/>
      <c r="AZ493" s="170"/>
      <c r="BA493" s="170"/>
      <c r="BB493" s="170"/>
      <c r="BC493" s="170"/>
      <c r="BD493" s="170"/>
      <c r="BE493" s="170"/>
      <c r="BF493" s="170"/>
      <c r="BG493" s="170"/>
      <c r="BH493" s="170"/>
      <c r="BI493" s="170"/>
      <c r="BJ493" s="170"/>
      <c r="BK493" s="170"/>
      <c r="BL493" s="170"/>
      <c r="BM493" s="170"/>
      <c r="BN493" s="170"/>
      <c r="BO493" s="170"/>
      <c r="BP493" s="170"/>
      <c r="BQ493" s="170"/>
      <c r="BR493" s="170"/>
      <c r="BS493" s="170"/>
      <c r="BT493" s="170"/>
      <c r="BU493" s="170"/>
      <c r="BV493" s="170"/>
      <c r="BW493" s="170"/>
      <c r="BX493" s="170"/>
      <c r="BY493" s="170"/>
      <c r="BZ493" s="170"/>
    </row>
    <row r="494" spans="1:78" x14ac:dyDescent="0.2">
      <c r="A494" s="170"/>
      <c r="B494" s="170"/>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c r="AA494" s="170"/>
      <c r="AB494" s="170"/>
      <c r="AC494" s="170"/>
      <c r="AD494" s="170"/>
      <c r="AE494" s="170"/>
      <c r="AF494" s="170"/>
      <c r="AG494" s="170"/>
      <c r="AH494" s="170"/>
      <c r="AI494" s="170"/>
      <c r="AJ494" s="170"/>
      <c r="AK494" s="170"/>
      <c r="AL494" s="170"/>
      <c r="AM494" s="170"/>
      <c r="AN494" s="170"/>
      <c r="AO494" s="170"/>
      <c r="AP494" s="170"/>
      <c r="AQ494" s="170"/>
      <c r="AR494" s="170"/>
      <c r="AS494" s="170"/>
      <c r="AT494" s="170"/>
      <c r="AU494" s="170"/>
      <c r="AV494" s="170"/>
      <c r="AW494" s="170"/>
      <c r="AX494" s="170"/>
      <c r="AY494" s="170"/>
      <c r="AZ494" s="170"/>
      <c r="BA494" s="170"/>
      <c r="BB494" s="170"/>
      <c r="BC494" s="170"/>
      <c r="BD494" s="170"/>
      <c r="BE494" s="170"/>
      <c r="BF494" s="170"/>
      <c r="BG494" s="170"/>
      <c r="BH494" s="170"/>
      <c r="BI494" s="170"/>
      <c r="BJ494" s="170"/>
      <c r="BK494" s="170"/>
      <c r="BL494" s="170"/>
      <c r="BM494" s="170"/>
      <c r="BN494" s="170"/>
      <c r="BO494" s="170"/>
      <c r="BP494" s="170"/>
      <c r="BQ494" s="170"/>
      <c r="BR494" s="170"/>
      <c r="BS494" s="170"/>
      <c r="BT494" s="170"/>
      <c r="BU494" s="170"/>
      <c r="BV494" s="170"/>
      <c r="BW494" s="170"/>
      <c r="BX494" s="170"/>
      <c r="BY494" s="170"/>
      <c r="BZ494" s="170"/>
    </row>
    <row r="495" spans="1:78" x14ac:dyDescent="0.2">
      <c r="A495" s="170"/>
      <c r="B495" s="170"/>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c r="AA495" s="170"/>
      <c r="AB495" s="170"/>
      <c r="AC495" s="170"/>
      <c r="AD495" s="170"/>
      <c r="AE495" s="170"/>
      <c r="AF495" s="170"/>
      <c r="AG495" s="170"/>
      <c r="AH495" s="170"/>
      <c r="AI495" s="170"/>
      <c r="AJ495" s="170"/>
      <c r="AK495" s="170"/>
      <c r="AL495" s="170"/>
      <c r="AM495" s="170"/>
      <c r="AN495" s="170"/>
      <c r="AO495" s="170"/>
      <c r="AP495" s="170"/>
      <c r="AQ495" s="170"/>
      <c r="AR495" s="170"/>
      <c r="AS495" s="170"/>
      <c r="AT495" s="170"/>
      <c r="AU495" s="170"/>
      <c r="AV495" s="170"/>
      <c r="AW495" s="170"/>
      <c r="AX495" s="170"/>
      <c r="AY495" s="170"/>
      <c r="AZ495" s="170"/>
      <c r="BA495" s="170"/>
      <c r="BB495" s="170"/>
      <c r="BC495" s="170"/>
      <c r="BD495" s="170"/>
      <c r="BE495" s="170"/>
      <c r="BF495" s="170"/>
      <c r="BG495" s="170"/>
      <c r="BH495" s="170"/>
      <c r="BI495" s="170"/>
      <c r="BJ495" s="170"/>
      <c r="BK495" s="170"/>
      <c r="BL495" s="170"/>
      <c r="BM495" s="170"/>
      <c r="BN495" s="170"/>
      <c r="BO495" s="170"/>
      <c r="BP495" s="170"/>
      <c r="BQ495" s="170"/>
      <c r="BR495" s="170"/>
      <c r="BS495" s="170"/>
      <c r="BT495" s="170"/>
      <c r="BU495" s="170"/>
      <c r="BV495" s="170"/>
      <c r="BW495" s="170"/>
      <c r="BX495" s="170"/>
      <c r="BY495" s="170"/>
      <c r="BZ495" s="170"/>
    </row>
    <row r="496" spans="1:78" x14ac:dyDescent="0.2">
      <c r="A496" s="170"/>
      <c r="B496" s="170"/>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c r="AA496" s="170"/>
      <c r="AB496" s="170"/>
      <c r="AC496" s="170"/>
      <c r="AD496" s="170"/>
      <c r="AE496" s="170"/>
      <c r="AF496" s="170"/>
      <c r="AG496" s="170"/>
      <c r="AH496" s="170"/>
      <c r="AI496" s="170"/>
      <c r="AJ496" s="170"/>
      <c r="AK496" s="170"/>
      <c r="AL496" s="170"/>
      <c r="AM496" s="170"/>
      <c r="AN496" s="170"/>
      <c r="AO496" s="170"/>
      <c r="AP496" s="170"/>
      <c r="AQ496" s="170"/>
      <c r="AR496" s="170"/>
      <c r="AS496" s="170"/>
      <c r="AT496" s="170"/>
      <c r="AU496" s="170"/>
      <c r="AV496" s="170"/>
      <c r="AW496" s="170"/>
      <c r="AX496" s="170"/>
      <c r="AY496" s="170"/>
      <c r="AZ496" s="170"/>
      <c r="BA496" s="170"/>
      <c r="BB496" s="170"/>
      <c r="BC496" s="170"/>
      <c r="BD496" s="170"/>
      <c r="BE496" s="170"/>
      <c r="BF496" s="170"/>
      <c r="BG496" s="170"/>
      <c r="BH496" s="170"/>
      <c r="BI496" s="170"/>
      <c r="BJ496" s="170"/>
      <c r="BK496" s="170"/>
      <c r="BL496" s="170"/>
      <c r="BM496" s="170"/>
      <c r="BN496" s="170"/>
      <c r="BO496" s="170"/>
      <c r="BP496" s="170"/>
      <c r="BQ496" s="170"/>
      <c r="BR496" s="170"/>
      <c r="BS496" s="170"/>
      <c r="BT496" s="170"/>
      <c r="BU496" s="170"/>
      <c r="BV496" s="170"/>
      <c r="BW496" s="170"/>
      <c r="BX496" s="170"/>
      <c r="BY496" s="170"/>
      <c r="BZ496" s="170"/>
    </row>
    <row r="497" spans="1:78" x14ac:dyDescent="0.2">
      <c r="A497" s="170"/>
      <c r="B497" s="170"/>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c r="AA497" s="170"/>
      <c r="AB497" s="170"/>
      <c r="AC497" s="170"/>
      <c r="AD497" s="170"/>
      <c r="AE497" s="170"/>
      <c r="AF497" s="170"/>
      <c r="AG497" s="170"/>
      <c r="AH497" s="170"/>
      <c r="AI497" s="170"/>
      <c r="AJ497" s="170"/>
      <c r="AK497" s="170"/>
      <c r="AL497" s="170"/>
      <c r="AM497" s="170"/>
      <c r="AN497" s="170"/>
      <c r="AO497" s="170"/>
      <c r="AP497" s="170"/>
      <c r="AQ497" s="170"/>
      <c r="AR497" s="170"/>
      <c r="AS497" s="170"/>
      <c r="AT497" s="170"/>
      <c r="AU497" s="170"/>
      <c r="AV497" s="170"/>
      <c r="AW497" s="170"/>
      <c r="AX497" s="170"/>
      <c r="AY497" s="170"/>
      <c r="AZ497" s="170"/>
      <c r="BA497" s="170"/>
      <c r="BB497" s="170"/>
      <c r="BC497" s="170"/>
      <c r="BD497" s="170"/>
      <c r="BE497" s="170"/>
      <c r="BF497" s="170"/>
      <c r="BG497" s="170"/>
      <c r="BH497" s="170"/>
      <c r="BI497" s="170"/>
      <c r="BJ497" s="170"/>
      <c r="BK497" s="170"/>
      <c r="BL497" s="170"/>
      <c r="BM497" s="170"/>
      <c r="BN497" s="170"/>
      <c r="BO497" s="170"/>
      <c r="BP497" s="170"/>
      <c r="BQ497" s="170"/>
      <c r="BR497" s="170"/>
      <c r="BS497" s="170"/>
      <c r="BT497" s="170"/>
      <c r="BU497" s="170"/>
      <c r="BV497" s="170"/>
      <c r="BW497" s="170"/>
      <c r="BX497" s="170"/>
      <c r="BY497" s="170"/>
      <c r="BZ497" s="170"/>
    </row>
    <row r="498" spans="1:78" x14ac:dyDescent="0.2">
      <c r="A498" s="170"/>
      <c r="B498" s="170"/>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c r="AA498" s="170"/>
      <c r="AB498" s="170"/>
      <c r="AC498" s="170"/>
      <c r="AD498" s="170"/>
      <c r="AE498" s="170"/>
      <c r="AF498" s="170"/>
      <c r="AG498" s="170"/>
      <c r="AH498" s="170"/>
      <c r="AI498" s="170"/>
      <c r="AJ498" s="170"/>
      <c r="AK498" s="170"/>
      <c r="AL498" s="170"/>
      <c r="AM498" s="170"/>
      <c r="AN498" s="170"/>
      <c r="AO498" s="170"/>
      <c r="AP498" s="170"/>
      <c r="AQ498" s="170"/>
      <c r="AR498" s="170"/>
      <c r="AS498" s="170"/>
      <c r="AT498" s="170"/>
      <c r="AU498" s="170"/>
      <c r="AV498" s="170"/>
      <c r="AW498" s="170"/>
      <c r="AX498" s="170"/>
      <c r="AY498" s="170"/>
      <c r="AZ498" s="170"/>
      <c r="BA498" s="170"/>
      <c r="BB498" s="170"/>
      <c r="BC498" s="170"/>
      <c r="BD498" s="170"/>
      <c r="BE498" s="170"/>
      <c r="BF498" s="170"/>
      <c r="BG498" s="170"/>
      <c r="BH498" s="170"/>
      <c r="BI498" s="170"/>
      <c r="BJ498" s="170"/>
      <c r="BK498" s="170"/>
      <c r="BL498" s="170"/>
      <c r="BM498" s="170"/>
      <c r="BN498" s="170"/>
      <c r="BO498" s="170"/>
      <c r="BP498" s="170"/>
      <c r="BQ498" s="170"/>
      <c r="BR498" s="170"/>
      <c r="BS498" s="170"/>
      <c r="BT498" s="170"/>
      <c r="BU498" s="170"/>
      <c r="BV498" s="170"/>
      <c r="BW498" s="170"/>
      <c r="BX498" s="170"/>
      <c r="BY498" s="170"/>
      <c r="BZ498" s="170"/>
    </row>
    <row r="499" spans="1:78" x14ac:dyDescent="0.2">
      <c r="A499" s="170"/>
      <c r="B499" s="170"/>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c r="AA499" s="170"/>
      <c r="AB499" s="170"/>
      <c r="AC499" s="170"/>
      <c r="AD499" s="170"/>
      <c r="AE499" s="170"/>
      <c r="AF499" s="170"/>
      <c r="AG499" s="170"/>
      <c r="AH499" s="170"/>
      <c r="AI499" s="170"/>
      <c r="AJ499" s="170"/>
      <c r="AK499" s="170"/>
      <c r="AL499" s="170"/>
      <c r="AM499" s="170"/>
      <c r="AN499" s="170"/>
      <c r="AO499" s="170"/>
      <c r="AP499" s="170"/>
      <c r="AQ499" s="170"/>
      <c r="AR499" s="170"/>
      <c r="AS499" s="170"/>
      <c r="AT499" s="170"/>
      <c r="AU499" s="170"/>
      <c r="AV499" s="170"/>
      <c r="AW499" s="170"/>
      <c r="AX499" s="170"/>
      <c r="AY499" s="170"/>
      <c r="AZ499" s="170"/>
      <c r="BA499" s="170"/>
      <c r="BB499" s="170"/>
      <c r="BC499" s="170"/>
      <c r="BD499" s="170"/>
      <c r="BE499" s="170"/>
      <c r="BF499" s="170"/>
      <c r="BG499" s="170"/>
      <c r="BH499" s="170"/>
      <c r="BI499" s="170"/>
      <c r="BJ499" s="170"/>
      <c r="BK499" s="170"/>
      <c r="BL499" s="170"/>
      <c r="BM499" s="170"/>
      <c r="BN499" s="170"/>
      <c r="BO499" s="170"/>
      <c r="BP499" s="170"/>
      <c r="BQ499" s="170"/>
      <c r="BR499" s="170"/>
      <c r="BS499" s="170"/>
      <c r="BT499" s="170"/>
      <c r="BU499" s="170"/>
      <c r="BV499" s="170"/>
      <c r="BW499" s="170"/>
      <c r="BX499" s="170"/>
      <c r="BY499" s="170"/>
      <c r="BZ499" s="170"/>
    </row>
    <row r="500" spans="1:78" x14ac:dyDescent="0.2">
      <c r="A500" s="170"/>
      <c r="B500" s="170"/>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c r="AA500" s="170"/>
      <c r="AB500" s="170"/>
      <c r="AC500" s="170"/>
      <c r="AD500" s="170"/>
      <c r="AE500" s="170"/>
      <c r="AF500" s="170"/>
      <c r="AG500" s="170"/>
      <c r="AH500" s="170"/>
      <c r="AI500" s="170"/>
      <c r="AJ500" s="170"/>
      <c r="AK500" s="170"/>
      <c r="AL500" s="170"/>
      <c r="AM500" s="170"/>
      <c r="AN500" s="170"/>
      <c r="AO500" s="170"/>
      <c r="AP500" s="170"/>
      <c r="AQ500" s="170"/>
      <c r="AR500" s="170"/>
      <c r="AS500" s="170"/>
      <c r="AT500" s="170"/>
      <c r="AU500" s="170"/>
      <c r="AV500" s="170"/>
      <c r="AW500" s="170"/>
      <c r="AX500" s="170"/>
      <c r="AY500" s="170"/>
      <c r="AZ500" s="170"/>
      <c r="BA500" s="170"/>
      <c r="BB500" s="170"/>
      <c r="BC500" s="170"/>
      <c r="BD500" s="170"/>
      <c r="BE500" s="170"/>
      <c r="BF500" s="170"/>
      <c r="BG500" s="170"/>
      <c r="BH500" s="170"/>
      <c r="BI500" s="170"/>
      <c r="BJ500" s="170"/>
      <c r="BK500" s="170"/>
      <c r="BL500" s="170"/>
      <c r="BM500" s="170"/>
      <c r="BN500" s="170"/>
      <c r="BO500" s="170"/>
      <c r="BP500" s="170"/>
      <c r="BQ500" s="170"/>
      <c r="BR500" s="170"/>
      <c r="BS500" s="170"/>
      <c r="BT500" s="170"/>
      <c r="BU500" s="170"/>
      <c r="BV500" s="170"/>
      <c r="BW500" s="170"/>
      <c r="BX500" s="170"/>
      <c r="BY500" s="170"/>
      <c r="BZ500" s="170"/>
    </row>
    <row r="501" spans="1:78" x14ac:dyDescent="0.2">
      <c r="A501" s="170"/>
      <c r="B501" s="170"/>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c r="AA501" s="170"/>
      <c r="AB501" s="170"/>
      <c r="AC501" s="170"/>
      <c r="AD501" s="170"/>
      <c r="AE501" s="170"/>
      <c r="AF501" s="170"/>
      <c r="AG501" s="170"/>
      <c r="AH501" s="170"/>
      <c r="AI501" s="170"/>
      <c r="AJ501" s="170"/>
      <c r="AK501" s="170"/>
      <c r="AL501" s="170"/>
      <c r="AM501" s="170"/>
      <c r="AN501" s="170"/>
      <c r="AO501" s="170"/>
      <c r="AP501" s="170"/>
      <c r="AQ501" s="170"/>
      <c r="AR501" s="170"/>
      <c r="AS501" s="170"/>
      <c r="AT501" s="170"/>
      <c r="AU501" s="170"/>
      <c r="AV501" s="170"/>
      <c r="AW501" s="170"/>
      <c r="AX501" s="170"/>
      <c r="AY501" s="170"/>
      <c r="AZ501" s="170"/>
      <c r="BA501" s="170"/>
      <c r="BB501" s="170"/>
      <c r="BC501" s="170"/>
      <c r="BD501" s="170"/>
      <c r="BE501" s="170"/>
      <c r="BF501" s="170"/>
      <c r="BG501" s="170"/>
      <c r="BH501" s="170"/>
      <c r="BI501" s="170"/>
      <c r="BJ501" s="170"/>
      <c r="BK501" s="170"/>
      <c r="BL501" s="170"/>
      <c r="BM501" s="170"/>
      <c r="BN501" s="170"/>
      <c r="BO501" s="170"/>
      <c r="BP501" s="170"/>
      <c r="BQ501" s="170"/>
      <c r="BR501" s="170"/>
      <c r="BS501" s="170"/>
      <c r="BT501" s="170"/>
      <c r="BU501" s="170"/>
      <c r="BV501" s="170"/>
      <c r="BW501" s="170"/>
      <c r="BX501" s="170"/>
      <c r="BY501" s="170"/>
      <c r="BZ501" s="170"/>
    </row>
    <row r="502" spans="1:78" x14ac:dyDescent="0.2">
      <c r="A502" s="170"/>
      <c r="B502" s="170"/>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c r="AA502" s="170"/>
      <c r="AB502" s="170"/>
      <c r="AC502" s="170"/>
      <c r="AD502" s="170"/>
      <c r="AE502" s="170"/>
      <c r="AF502" s="170"/>
      <c r="AG502" s="170"/>
      <c r="AH502" s="170"/>
      <c r="AI502" s="170"/>
      <c r="AJ502" s="170"/>
      <c r="AK502" s="170"/>
      <c r="AL502" s="170"/>
      <c r="AM502" s="170"/>
      <c r="AN502" s="170"/>
      <c r="AO502" s="170"/>
      <c r="AP502" s="170"/>
      <c r="AQ502" s="170"/>
      <c r="AR502" s="170"/>
      <c r="AS502" s="170"/>
      <c r="AT502" s="170"/>
      <c r="AU502" s="170"/>
      <c r="AV502" s="170"/>
      <c r="AW502" s="170"/>
      <c r="AX502" s="170"/>
      <c r="AY502" s="170"/>
      <c r="AZ502" s="170"/>
      <c r="BA502" s="170"/>
      <c r="BB502" s="170"/>
      <c r="BC502" s="170"/>
      <c r="BD502" s="170"/>
      <c r="BE502" s="170"/>
      <c r="BF502" s="170"/>
      <c r="BG502" s="170"/>
      <c r="BH502" s="170"/>
      <c r="BI502" s="170"/>
      <c r="BJ502" s="170"/>
      <c r="BK502" s="170"/>
      <c r="BL502" s="170"/>
      <c r="BM502" s="170"/>
      <c r="BN502" s="170"/>
      <c r="BO502" s="170"/>
      <c r="BP502" s="170"/>
      <c r="BQ502" s="170"/>
      <c r="BR502" s="170"/>
      <c r="BS502" s="170"/>
      <c r="BT502" s="170"/>
      <c r="BU502" s="170"/>
      <c r="BV502" s="170"/>
      <c r="BW502" s="170"/>
      <c r="BX502" s="170"/>
      <c r="BY502" s="170"/>
      <c r="BZ502" s="170"/>
    </row>
    <row r="503" spans="1:78" x14ac:dyDescent="0.2">
      <c r="A503" s="170"/>
      <c r="B503" s="170"/>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c r="AA503" s="170"/>
      <c r="AB503" s="170"/>
      <c r="AC503" s="170"/>
      <c r="AD503" s="170"/>
      <c r="AE503" s="170"/>
      <c r="AF503" s="170"/>
      <c r="AG503" s="170"/>
      <c r="AH503" s="170"/>
      <c r="AI503" s="170"/>
      <c r="AJ503" s="170"/>
      <c r="AK503" s="170"/>
      <c r="AL503" s="170"/>
      <c r="AM503" s="170"/>
      <c r="AN503" s="170"/>
      <c r="AO503" s="170"/>
      <c r="AP503" s="170"/>
      <c r="AQ503" s="170"/>
      <c r="AR503" s="170"/>
      <c r="AS503" s="170"/>
      <c r="AT503" s="170"/>
      <c r="AU503" s="170"/>
      <c r="AV503" s="170"/>
      <c r="AW503" s="170"/>
      <c r="AX503" s="170"/>
      <c r="AY503" s="170"/>
      <c r="AZ503" s="170"/>
      <c r="BA503" s="170"/>
      <c r="BB503" s="170"/>
      <c r="BC503" s="170"/>
      <c r="BD503" s="170"/>
      <c r="BE503" s="170"/>
      <c r="BF503" s="170"/>
      <c r="BG503" s="170"/>
      <c r="BH503" s="170"/>
      <c r="BI503" s="170"/>
      <c r="BJ503" s="170"/>
      <c r="BK503" s="170"/>
      <c r="BL503" s="170"/>
      <c r="BM503" s="170"/>
      <c r="BN503" s="170"/>
      <c r="BO503" s="170"/>
      <c r="BP503" s="170"/>
      <c r="BQ503" s="170"/>
      <c r="BR503" s="170"/>
      <c r="BS503" s="170"/>
      <c r="BT503" s="170"/>
      <c r="BU503" s="170"/>
      <c r="BV503" s="170"/>
      <c r="BW503" s="170"/>
      <c r="BX503" s="170"/>
      <c r="BY503" s="170"/>
      <c r="BZ503" s="170"/>
    </row>
    <row r="504" spans="1:78" x14ac:dyDescent="0.2">
      <c r="A504" s="170"/>
      <c r="B504" s="170"/>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70"/>
      <c r="AL504" s="170"/>
      <c r="AM504" s="170"/>
      <c r="AN504" s="170"/>
      <c r="AO504" s="170"/>
      <c r="AP504" s="170"/>
      <c r="AQ504" s="170"/>
      <c r="AR504" s="170"/>
      <c r="AS504" s="170"/>
      <c r="AT504" s="170"/>
      <c r="AU504" s="170"/>
      <c r="AV504" s="170"/>
      <c r="AW504" s="170"/>
      <c r="AX504" s="170"/>
      <c r="AY504" s="170"/>
      <c r="AZ504" s="170"/>
      <c r="BA504" s="170"/>
      <c r="BB504" s="170"/>
      <c r="BC504" s="170"/>
      <c r="BD504" s="170"/>
      <c r="BE504" s="170"/>
      <c r="BF504" s="170"/>
      <c r="BG504" s="170"/>
      <c r="BH504" s="170"/>
      <c r="BI504" s="170"/>
      <c r="BJ504" s="170"/>
      <c r="BK504" s="170"/>
      <c r="BL504" s="170"/>
      <c r="BM504" s="170"/>
      <c r="BN504" s="170"/>
      <c r="BO504" s="170"/>
      <c r="BP504" s="170"/>
      <c r="BQ504" s="170"/>
      <c r="BR504" s="170"/>
      <c r="BS504" s="170"/>
      <c r="BT504" s="170"/>
      <c r="BU504" s="170"/>
      <c r="BV504" s="170"/>
      <c r="BW504" s="170"/>
      <c r="BX504" s="170"/>
      <c r="BY504" s="170"/>
      <c r="BZ504" s="170"/>
    </row>
    <row r="505" spans="1:78" x14ac:dyDescent="0.2">
      <c r="A505" s="170"/>
      <c r="B505" s="170"/>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c r="AA505" s="170"/>
      <c r="AB505" s="170"/>
      <c r="AC505" s="170"/>
      <c r="AD505" s="170"/>
      <c r="AE505" s="170"/>
      <c r="AF505" s="170"/>
      <c r="AG505" s="170"/>
      <c r="AH505" s="170"/>
      <c r="AI505" s="170"/>
      <c r="AJ505" s="170"/>
      <c r="AK505" s="170"/>
      <c r="AL505" s="170"/>
      <c r="AM505" s="170"/>
      <c r="AN505" s="170"/>
      <c r="AO505" s="170"/>
      <c r="AP505" s="170"/>
      <c r="AQ505" s="170"/>
      <c r="AR505" s="170"/>
      <c r="AS505" s="170"/>
      <c r="AT505" s="170"/>
      <c r="AU505" s="170"/>
      <c r="AV505" s="170"/>
      <c r="AW505" s="170"/>
      <c r="AX505" s="170"/>
      <c r="AY505" s="170"/>
      <c r="AZ505" s="170"/>
      <c r="BA505" s="170"/>
      <c r="BB505" s="170"/>
      <c r="BC505" s="170"/>
      <c r="BD505" s="170"/>
      <c r="BE505" s="170"/>
      <c r="BF505" s="170"/>
      <c r="BG505" s="170"/>
      <c r="BH505" s="170"/>
      <c r="BI505" s="170"/>
      <c r="BJ505" s="170"/>
      <c r="BK505" s="170"/>
      <c r="BL505" s="170"/>
      <c r="BM505" s="170"/>
      <c r="BN505" s="170"/>
      <c r="BO505" s="170"/>
      <c r="BP505" s="170"/>
      <c r="BQ505" s="170"/>
      <c r="BR505" s="170"/>
      <c r="BS505" s="170"/>
      <c r="BT505" s="170"/>
      <c r="BU505" s="170"/>
      <c r="BV505" s="170"/>
      <c r="BW505" s="170"/>
      <c r="BX505" s="170"/>
      <c r="BY505" s="170"/>
      <c r="BZ505" s="170"/>
    </row>
  </sheetData>
  <mergeCells count="117">
    <mergeCell ref="B224:K224"/>
    <mergeCell ref="B216:K216"/>
    <mergeCell ref="A215:K215"/>
    <mergeCell ref="A282:D282"/>
    <mergeCell ref="A283:D283"/>
    <mergeCell ref="A232:A233"/>
    <mergeCell ref="K234:K239"/>
    <mergeCell ref="A242:B242"/>
    <mergeCell ref="A240:K240"/>
    <mergeCell ref="B232:K232"/>
    <mergeCell ref="K226:K231"/>
    <mergeCell ref="A224:A225"/>
    <mergeCell ref="D228:E228"/>
    <mergeCell ref="D227:E227"/>
    <mergeCell ref="D226:E226"/>
    <mergeCell ref="D225:E225"/>
    <mergeCell ref="G226:I226"/>
    <mergeCell ref="G225:I225"/>
    <mergeCell ref="J234:J239"/>
    <mergeCell ref="F129:G129"/>
    <mergeCell ref="H129:I129"/>
    <mergeCell ref="J129:K129"/>
    <mergeCell ref="L129:M129"/>
    <mergeCell ref="N129:O129"/>
    <mergeCell ref="R173:S173"/>
    <mergeCell ref="T173:U173"/>
    <mergeCell ref="A216:A217"/>
    <mergeCell ref="K218:K223"/>
    <mergeCell ref="P129:Q129"/>
    <mergeCell ref="B173:D173"/>
    <mergeCell ref="E173:H173"/>
    <mergeCell ref="I173:J173"/>
    <mergeCell ref="K173:L173"/>
    <mergeCell ref="M173:N173"/>
    <mergeCell ref="O173:Q173"/>
    <mergeCell ref="A128:A130"/>
    <mergeCell ref="B128:O128"/>
    <mergeCell ref="P128:Q128"/>
    <mergeCell ref="B129:C129"/>
    <mergeCell ref="D129:E129"/>
    <mergeCell ref="A173:A174"/>
    <mergeCell ref="A127:Q127"/>
    <mergeCell ref="H82:I82"/>
    <mergeCell ref="J82:K82"/>
    <mergeCell ref="L82:M82"/>
    <mergeCell ref="N82:O82"/>
    <mergeCell ref="P82:Q82"/>
    <mergeCell ref="T82:U82"/>
    <mergeCell ref="V82:W82"/>
    <mergeCell ref="X82:Y82"/>
    <mergeCell ref="R82:S82"/>
    <mergeCell ref="J77:K77"/>
    <mergeCell ref="A80:AC80"/>
    <mergeCell ref="A81:A83"/>
    <mergeCell ref="B81:M81"/>
    <mergeCell ref="N81:Y81"/>
    <mergeCell ref="Z81:AC81"/>
    <mergeCell ref="B82:C82"/>
    <mergeCell ref="D82:E82"/>
    <mergeCell ref="F82:G82"/>
    <mergeCell ref="Z82:AA82"/>
    <mergeCell ref="AB82:AC82"/>
    <mergeCell ref="P41:Q41"/>
    <mergeCell ref="A44:A46"/>
    <mergeCell ref="B44:E44"/>
    <mergeCell ref="F44:I44"/>
    <mergeCell ref="J44:K45"/>
    <mergeCell ref="L44:L46"/>
    <mergeCell ref="M44:M46"/>
    <mergeCell ref="B45:C45"/>
    <mergeCell ref="D45:E45"/>
    <mergeCell ref="F45:G45"/>
    <mergeCell ref="H45:I45"/>
    <mergeCell ref="A8:A10"/>
    <mergeCell ref="B8:K8"/>
    <mergeCell ref="P8:Q9"/>
    <mergeCell ref="R8:R10"/>
    <mergeCell ref="S8:S10"/>
    <mergeCell ref="B9:C9"/>
    <mergeCell ref="D9:E9"/>
    <mergeCell ref="F9:G9"/>
    <mergeCell ref="H9:I9"/>
    <mergeCell ref="J9:K9"/>
    <mergeCell ref="L9:M9"/>
    <mergeCell ref="N9:O9"/>
    <mergeCell ref="L8:O8"/>
    <mergeCell ref="A1:F1"/>
    <mergeCell ref="A2:B2"/>
    <mergeCell ref="C2:D2"/>
    <mergeCell ref="E2:F2"/>
    <mergeCell ref="A3:B3"/>
    <mergeCell ref="C3:D3"/>
    <mergeCell ref="E3:F3"/>
    <mergeCell ref="A4:B4"/>
    <mergeCell ref="C4:D4"/>
    <mergeCell ref="E4:F4"/>
    <mergeCell ref="E332:G332"/>
    <mergeCell ref="G231:I231"/>
    <mergeCell ref="G230:I230"/>
    <mergeCell ref="G229:I229"/>
    <mergeCell ref="G228:I228"/>
    <mergeCell ref="G227:I227"/>
    <mergeCell ref="B332:D332"/>
    <mergeCell ref="A332:A333"/>
    <mergeCell ref="D231:E231"/>
    <mergeCell ref="D230:E230"/>
    <mergeCell ref="D229:E229"/>
    <mergeCell ref="A284:D284"/>
    <mergeCell ref="A285:E285"/>
    <mergeCell ref="A287:D287"/>
    <mergeCell ref="A292:D292"/>
    <mergeCell ref="A248:B248"/>
    <mergeCell ref="A250:B250"/>
    <mergeCell ref="A260:B260"/>
    <mergeCell ref="A267:B267"/>
    <mergeCell ref="A280:E280"/>
    <mergeCell ref="A281:D281"/>
  </mergeCells>
  <pageMargins left="0.7" right="0.7" top="0.75" bottom="0.75" header="0.3" footer="0.3"/>
  <pageSetup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CACFE-AB91-415D-93CD-4570A9EE8E69}">
  <sheetPr>
    <tabColor theme="6"/>
    <pageSetUpPr fitToPage="1"/>
  </sheetPr>
  <dimension ref="A1:AZ501"/>
  <sheetViews>
    <sheetView zoomScale="70" zoomScaleNormal="70" workbookViewId="0">
      <selection sqref="A1:C1"/>
    </sheetView>
  </sheetViews>
  <sheetFormatPr defaultRowHeight="12.75" x14ac:dyDescent="0.2"/>
  <cols>
    <col min="1" max="1" width="32.140625" customWidth="1"/>
    <col min="2" max="2" width="14.28515625" customWidth="1"/>
    <col min="3" max="3" width="16.140625" customWidth="1"/>
    <col min="4" max="4" width="14.28515625" customWidth="1"/>
    <col min="5" max="5" width="18" customWidth="1"/>
    <col min="6" max="6" width="15.7109375" customWidth="1"/>
    <col min="7" max="7" width="15.42578125" customWidth="1"/>
    <col min="8" max="8" width="15.140625" customWidth="1"/>
    <col min="9" max="9" width="20.85546875" customWidth="1"/>
    <col min="10" max="10" width="16.7109375" customWidth="1"/>
    <col min="11" max="11" width="15" customWidth="1"/>
    <col min="12" max="13" width="15.28515625" customWidth="1"/>
    <col min="14" max="15" width="17.28515625" bestFit="1" customWidth="1"/>
  </cols>
  <sheetData>
    <row r="1" spans="1:52" ht="18" customHeight="1" x14ac:dyDescent="0.2">
      <c r="A1" s="491" t="s">
        <v>97</v>
      </c>
      <c r="B1" s="492"/>
      <c r="C1" s="492"/>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row>
    <row r="2" spans="1:52" ht="18" customHeight="1" x14ac:dyDescent="0.2">
      <c r="A2" s="493" t="s">
        <v>96</v>
      </c>
      <c r="B2" s="494"/>
      <c r="C2" s="330">
        <f>H38</f>
        <v>-6210865</v>
      </c>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row>
    <row r="3" spans="1:52" ht="33.75" customHeight="1" x14ac:dyDescent="0.2">
      <c r="A3" s="493" t="s">
        <v>166</v>
      </c>
      <c r="B3" s="494"/>
      <c r="C3" s="330">
        <f>I38</f>
        <v>-1381694.2087306995</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row>
    <row r="4" spans="1:52" x14ac:dyDescent="0.2">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row>
    <row r="5" spans="1:52" x14ac:dyDescent="0.2">
      <c r="A5" s="368" t="s">
        <v>204</v>
      </c>
      <c r="B5" s="368"/>
      <c r="C5" s="368"/>
      <c r="D5" s="368"/>
      <c r="E5" s="368"/>
      <c r="F5" s="368"/>
      <c r="G5" s="368"/>
      <c r="H5" s="368"/>
      <c r="I5" s="368"/>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row>
    <row r="6" spans="1:52" ht="12.75" customHeight="1" x14ac:dyDescent="0.2">
      <c r="A6" s="411" t="s">
        <v>1</v>
      </c>
      <c r="B6" s="418" t="s">
        <v>205</v>
      </c>
      <c r="C6" s="418"/>
      <c r="D6" s="427" t="s">
        <v>206</v>
      </c>
      <c r="E6" s="495"/>
      <c r="F6" s="495"/>
      <c r="G6" s="495"/>
      <c r="H6" s="418" t="s">
        <v>207</v>
      </c>
      <c r="I6" s="418" t="s">
        <v>208</v>
      </c>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row>
    <row r="7" spans="1:52" ht="61.5" customHeight="1" thickBot="1" x14ac:dyDescent="0.25">
      <c r="A7" s="412"/>
      <c r="B7" s="307" t="s">
        <v>34</v>
      </c>
      <c r="C7" s="307" t="s">
        <v>88</v>
      </c>
      <c r="D7" s="97" t="s">
        <v>52</v>
      </c>
      <c r="E7" s="97" t="s">
        <v>53</v>
      </c>
      <c r="F7" s="97" t="s">
        <v>54</v>
      </c>
      <c r="G7" s="97" t="s">
        <v>209</v>
      </c>
      <c r="H7" s="419"/>
      <c r="I7" s="419"/>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row>
    <row r="8" spans="1:52" ht="13.5" thickTop="1" x14ac:dyDescent="0.2">
      <c r="A8" s="104">
        <v>2027</v>
      </c>
      <c r="B8" s="105">
        <f>'Travel Time'!S183-'Travel Time'!U183</f>
        <v>-2084638.9302845895</v>
      </c>
      <c r="C8" s="27">
        <f>'Travel Time'!R183-'Travel Time'!T183</f>
        <v>-759995.86971540935</v>
      </c>
      <c r="D8" s="105">
        <f t="shared" ref="D8:D37" si="0">ROUND($B8*$E$53+$C8*$E$54,0)</f>
        <v>-2195822005</v>
      </c>
      <c r="E8" s="27">
        <f t="shared" ref="E8:E37" si="1">ROUND($B8*$C$53+$C8*$C$54,0)</f>
        <v>-1590502</v>
      </c>
      <c r="F8" s="105">
        <f t="shared" ref="F8:F37" si="2">ROUND($B8*$B$53+$C8*$B$54,0)</f>
        <v>-8442866</v>
      </c>
      <c r="G8" s="27">
        <f t="shared" ref="G8:G37" si="3">ROUND($B8*$D$53+$C8*$D$54,0)</f>
        <v>-174366</v>
      </c>
      <c r="H8" s="359">
        <f t="shared" ref="H8:H37" si="4">ROUND(D8*$C$42+E8*$C$44+F8*$C$45+G8*$C$46,0)</f>
        <v>-160826</v>
      </c>
      <c r="I8" s="360">
        <f>H8*NPV!C12</f>
        <v>-87478.688084838199</v>
      </c>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row>
    <row r="9" spans="1:52" x14ac:dyDescent="0.2">
      <c r="A9" s="104">
        <v>2028</v>
      </c>
      <c r="B9" s="105">
        <f>'Travel Time'!S184-'Travel Time'!U184</f>
        <v>-2117585.2096759379</v>
      </c>
      <c r="C9" s="27">
        <f>'Travel Time'!R184-'Travel Time'!T184</f>
        <v>-771477.39032406267</v>
      </c>
      <c r="D9" s="105">
        <f t="shared" si="0"/>
        <v>-2229768000</v>
      </c>
      <c r="E9" s="27">
        <f t="shared" si="1"/>
        <v>-1615402</v>
      </c>
      <c r="F9" s="105">
        <f t="shared" si="2"/>
        <v>-8571737</v>
      </c>
      <c r="G9" s="27">
        <f t="shared" si="3"/>
        <v>-177014</v>
      </c>
      <c r="H9" s="359">
        <f t="shared" si="4"/>
        <v>-163277</v>
      </c>
      <c r="I9" s="360">
        <f>H9*NPV!C13</f>
        <v>-83001.747371880323</v>
      </c>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row>
    <row r="10" spans="1:52" x14ac:dyDescent="0.2">
      <c r="A10" s="104">
        <v>2029</v>
      </c>
      <c r="B10" s="105">
        <f>'Travel Time'!S185-'Travel Time'!U185</f>
        <v>-2151603.9294965416</v>
      </c>
      <c r="C10" s="27">
        <f>'Travel Time'!R185-'Travel Time'!T185</f>
        <v>-783678.62050344795</v>
      </c>
      <c r="D10" s="105">
        <f t="shared" si="0"/>
        <v>-2265313718</v>
      </c>
      <c r="E10" s="27">
        <f t="shared" si="1"/>
        <v>-1641267</v>
      </c>
      <c r="F10" s="105">
        <f t="shared" si="2"/>
        <v>-8707784</v>
      </c>
      <c r="G10" s="27">
        <f t="shared" si="3"/>
        <v>-179819</v>
      </c>
      <c r="H10" s="359">
        <f t="shared" si="4"/>
        <v>-165868</v>
      </c>
      <c r="I10" s="360">
        <f>H10*NPV!C14</f>
        <v>-78802.691951216228</v>
      </c>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row>
    <row r="11" spans="1:52" x14ac:dyDescent="0.2">
      <c r="A11" s="104">
        <v>2030</v>
      </c>
      <c r="B11" s="105">
        <f>'Travel Time'!S186-'Travel Time'!U186</f>
        <v>-2186526.9734985605</v>
      </c>
      <c r="C11" s="27">
        <f>'Travel Time'!R186-'Travel Time'!T186</f>
        <v>-797132.67650144827</v>
      </c>
      <c r="D11" s="105">
        <f t="shared" si="0"/>
        <v>-2303132077</v>
      </c>
      <c r="E11" s="27">
        <f t="shared" si="1"/>
        <v>-1668234</v>
      </c>
      <c r="F11" s="105">
        <f t="shared" si="2"/>
        <v>-8855443</v>
      </c>
      <c r="G11" s="27">
        <f t="shared" si="3"/>
        <v>-182886</v>
      </c>
      <c r="H11" s="359">
        <f t="shared" si="4"/>
        <v>-168685</v>
      </c>
      <c r="I11" s="360">
        <f>H11*NPV!C15</f>
        <v>-74898.157344523424</v>
      </c>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row>
    <row r="12" spans="1:52" x14ac:dyDescent="0.2">
      <c r="A12" s="104">
        <v>2031</v>
      </c>
      <c r="B12" s="105">
        <f>'Travel Time'!S187-'Travel Time'!U187</f>
        <v>-2222372.1671978608</v>
      </c>
      <c r="C12" s="27">
        <f>'Travel Time'!R187-'Travel Time'!T187</f>
        <v>-808507.53280214127</v>
      </c>
      <c r="D12" s="105">
        <f t="shared" si="0"/>
        <v>-2338467765</v>
      </c>
      <c r="E12" s="27">
        <f t="shared" si="1"/>
        <v>-1694826</v>
      </c>
      <c r="F12" s="105">
        <f t="shared" si="2"/>
        <v>-8986034</v>
      </c>
      <c r="G12" s="27">
        <f t="shared" si="3"/>
        <v>-185542</v>
      </c>
      <c r="H12" s="359">
        <f t="shared" si="4"/>
        <v>-171162</v>
      </c>
      <c r="I12" s="360">
        <f>H12*NPV!C16</f>
        <v>-71026.144829497876</v>
      </c>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row>
    <row r="13" spans="1:52" x14ac:dyDescent="0.2">
      <c r="A13" s="104">
        <v>2032</v>
      </c>
      <c r="B13" s="105">
        <f>'Travel Time'!S188-'Travel Time'!U188</f>
        <v>-2254023.6189660281</v>
      </c>
      <c r="C13" s="27">
        <f>'Travel Time'!R188-'Travel Time'!T188</f>
        <v>-822857.03103397042</v>
      </c>
      <c r="D13" s="105">
        <f t="shared" si="0"/>
        <v>-2375826120</v>
      </c>
      <c r="E13" s="27">
        <f t="shared" si="1"/>
        <v>-1720231</v>
      </c>
      <c r="F13" s="105">
        <f t="shared" si="2"/>
        <v>-9138429</v>
      </c>
      <c r="G13" s="27">
        <f t="shared" si="3"/>
        <v>-188757</v>
      </c>
      <c r="H13" s="359">
        <f t="shared" si="4"/>
        <v>-174083</v>
      </c>
      <c r="I13" s="360">
        <f>H13*NPV!C17</f>
        <v>-67512.388768018965</v>
      </c>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row>
    <row r="14" spans="1:52" x14ac:dyDescent="0.2">
      <c r="A14" s="104">
        <v>2033</v>
      </c>
      <c r="B14" s="105">
        <f>'Travel Time'!S189-'Travel Time'!U189</f>
        <v>-2292263.3750185743</v>
      </c>
      <c r="C14" s="27">
        <f>'Travel Time'!R189-'Travel Time'!T189</f>
        <v>-835724.57498142496</v>
      </c>
      <c r="D14" s="105">
        <f t="shared" si="0"/>
        <v>-2414570258</v>
      </c>
      <c r="E14" s="27">
        <f t="shared" si="1"/>
        <v>-1748927</v>
      </c>
      <c r="F14" s="105">
        <f t="shared" si="2"/>
        <v>-9284055</v>
      </c>
      <c r="G14" s="27">
        <f t="shared" si="3"/>
        <v>-191739</v>
      </c>
      <c r="H14" s="359">
        <f t="shared" si="4"/>
        <v>-176850</v>
      </c>
      <c r="I14" s="360">
        <f>H14*NPV!C18</f>
        <v>-64098.578573751307</v>
      </c>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row>
    <row r="15" spans="1:52" x14ac:dyDescent="0.2">
      <c r="A15" s="104">
        <v>2034</v>
      </c>
      <c r="B15" s="105">
        <f>'Travel Time'!S190-'Travel Time'!U190</f>
        <v>-2331325.8909162134</v>
      </c>
      <c r="C15" s="27">
        <f>'Travel Time'!R190-'Travel Time'!T190</f>
        <v>-849258.55908378586</v>
      </c>
      <c r="D15" s="105">
        <f t="shared" si="0"/>
        <v>-2454705113</v>
      </c>
      <c r="E15" s="27">
        <f t="shared" si="1"/>
        <v>-1778414</v>
      </c>
      <c r="F15" s="105">
        <f t="shared" si="2"/>
        <v>-9436171</v>
      </c>
      <c r="G15" s="27">
        <f t="shared" si="3"/>
        <v>-194863</v>
      </c>
      <c r="H15" s="359">
        <f t="shared" si="4"/>
        <v>-179743</v>
      </c>
      <c r="I15" s="360">
        <f>H15*NPV!C19</f>
        <v>-60885.172811753888</v>
      </c>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row>
    <row r="16" spans="1:52" x14ac:dyDescent="0.2">
      <c r="A16" s="104">
        <v>2035</v>
      </c>
      <c r="B16" s="105">
        <f>'Travel Time'!S191-'Travel Time'!U191</f>
        <v>-2363376.9183190614</v>
      </c>
      <c r="C16" s="27">
        <f>'Travel Time'!R191-'Travel Time'!T191</f>
        <v>-862989.48168093339</v>
      </c>
      <c r="D16" s="105">
        <f t="shared" si="0"/>
        <v>-2491391479</v>
      </c>
      <c r="E16" s="27">
        <f t="shared" si="1"/>
        <v>-1803782</v>
      </c>
      <c r="F16" s="105">
        <f t="shared" si="2"/>
        <v>-9583601</v>
      </c>
      <c r="G16" s="27">
        <f t="shared" si="3"/>
        <v>-197958</v>
      </c>
      <c r="H16" s="359">
        <f t="shared" si="4"/>
        <v>-182565</v>
      </c>
      <c r="I16" s="360">
        <f>H16*NPV!C20</f>
        <v>-57795.403595080272</v>
      </c>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52" x14ac:dyDescent="0.2">
      <c r="A17" s="104">
        <v>2036</v>
      </c>
      <c r="B17" s="105">
        <f>'Travel Time'!S192-'Travel Time'!U192</f>
        <v>-2402184.3690384626</v>
      </c>
      <c r="C17" s="27">
        <f>'Travel Time'!R192-'Travel Time'!T192</f>
        <v>-874705.33096153848</v>
      </c>
      <c r="D17" s="105">
        <f t="shared" si="0"/>
        <v>-2528790708</v>
      </c>
      <c r="E17" s="27">
        <f t="shared" si="1"/>
        <v>-1832304</v>
      </c>
      <c r="F17" s="105">
        <f t="shared" si="2"/>
        <v>-9719825</v>
      </c>
      <c r="G17" s="27">
        <f t="shared" si="3"/>
        <v>-200712</v>
      </c>
      <c r="H17" s="359">
        <f t="shared" si="4"/>
        <v>-185144</v>
      </c>
      <c r="I17" s="360">
        <f>H17*NPV!C21</f>
        <v>-54777.428923445987</v>
      </c>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row>
    <row r="18" spans="1:52" x14ac:dyDescent="0.2">
      <c r="A18" s="104">
        <v>2037</v>
      </c>
      <c r="B18" s="105">
        <f>'Travel Time'!S193-'Travel Time'!U193</f>
        <v>-2441964.8678743094</v>
      </c>
      <c r="C18" s="27">
        <f>'Travel Time'!R193-'Travel Time'!T193</f>
        <v>-889886.53212568909</v>
      </c>
      <c r="D18" s="105">
        <f t="shared" si="0"/>
        <v>-2571663051</v>
      </c>
      <c r="E18" s="27">
        <f t="shared" si="1"/>
        <v>-1862958</v>
      </c>
      <c r="F18" s="105">
        <f t="shared" si="2"/>
        <v>-9886781</v>
      </c>
      <c r="G18" s="27">
        <f t="shared" si="3"/>
        <v>-204177</v>
      </c>
      <c r="H18" s="359">
        <f t="shared" si="4"/>
        <v>-188329</v>
      </c>
      <c r="I18" s="360">
        <f>H18*NPV!C22</f>
        <v>-52074.537847598389</v>
      </c>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row>
    <row r="19" spans="1:52" x14ac:dyDescent="0.2">
      <c r="A19" s="104">
        <v>2038</v>
      </c>
      <c r="B19" s="105">
        <f>'Travel Time'!S194-'Travel Time'!U194</f>
        <v>-2480150.3531056941</v>
      </c>
      <c r="C19" s="27">
        <f>'Travel Time'!R194-'Travel Time'!T194</f>
        <v>-905808.64689430222</v>
      </c>
      <c r="D19" s="105">
        <f t="shared" si="0"/>
        <v>-2614746353</v>
      </c>
      <c r="E19" s="27">
        <f t="shared" si="1"/>
        <v>-1892987</v>
      </c>
      <c r="F19" s="105">
        <f t="shared" si="2"/>
        <v>-10058667</v>
      </c>
      <c r="G19" s="27">
        <f t="shared" si="3"/>
        <v>-207775</v>
      </c>
      <c r="H19" s="359">
        <f t="shared" si="4"/>
        <v>-191616</v>
      </c>
      <c r="I19" s="360">
        <f>H19*NPV!C23</f>
        <v>-49517.215643182266</v>
      </c>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row>
    <row r="20" spans="1:52" x14ac:dyDescent="0.2">
      <c r="A20" s="104">
        <v>2039</v>
      </c>
      <c r="B20" s="105">
        <f>'Travel Time'!S195-'Travel Time'!U195</f>
        <v>-2522343.2430639341</v>
      </c>
      <c r="C20" s="27">
        <f>'Travel Time'!R195-'Travel Time'!T195</f>
        <v>-919150.50693606772</v>
      </c>
      <c r="D20" s="105">
        <f t="shared" si="0"/>
        <v>-2656271830</v>
      </c>
      <c r="E20" s="27">
        <f t="shared" si="1"/>
        <v>-1924266</v>
      </c>
      <c r="F20" s="105">
        <f t="shared" si="2"/>
        <v>-10211976</v>
      </c>
      <c r="G20" s="27">
        <f t="shared" si="3"/>
        <v>-210892</v>
      </c>
      <c r="H20" s="359">
        <f t="shared" si="4"/>
        <v>-194523</v>
      </c>
      <c r="I20" s="360">
        <f>H20*NPV!C24</f>
        <v>-46979.850172301107</v>
      </c>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row>
    <row r="21" spans="1:52" x14ac:dyDescent="0.2">
      <c r="A21" s="104">
        <v>2040</v>
      </c>
      <c r="B21" s="105">
        <f>'Travel Time'!S196-'Travel Time'!U196</f>
        <v>-2562941.1193104088</v>
      </c>
      <c r="C21" s="27">
        <f>'Travel Time'!R196-'Travel Time'!T196</f>
        <v>-933233.28068958782</v>
      </c>
      <c r="D21" s="105">
        <f t="shared" si="0"/>
        <v>-2698008267</v>
      </c>
      <c r="E21" s="27">
        <f t="shared" si="1"/>
        <v>-1954920</v>
      </c>
      <c r="F21" s="105">
        <f t="shared" si="2"/>
        <v>-10370215</v>
      </c>
      <c r="G21" s="27">
        <f t="shared" si="3"/>
        <v>-214143</v>
      </c>
      <c r="H21" s="359">
        <f t="shared" si="4"/>
        <v>-197533</v>
      </c>
      <c r="I21" s="360">
        <f>H21*NPV!C25</f>
        <v>-44585.798657377876</v>
      </c>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row>
    <row r="22" spans="1:52" x14ac:dyDescent="0.2">
      <c r="A22" s="104">
        <v>2041</v>
      </c>
      <c r="B22" s="105">
        <f>'Travel Time'!S197-'Travel Time'!U197</f>
        <v>-2922195.4142605066</v>
      </c>
      <c r="C22" s="27">
        <f>'Travel Time'!R197-'Travel Time'!T197</f>
        <v>-1012515.5357394945</v>
      </c>
      <c r="D22" s="105">
        <f t="shared" si="0"/>
        <v>-3002505176</v>
      </c>
      <c r="E22" s="27">
        <f t="shared" si="1"/>
        <v>-2205912</v>
      </c>
      <c r="F22" s="105">
        <f t="shared" si="2"/>
        <v>-11379994</v>
      </c>
      <c r="G22" s="27">
        <f t="shared" si="3"/>
        <v>-233750</v>
      </c>
      <c r="H22" s="359">
        <f t="shared" si="4"/>
        <v>-216427</v>
      </c>
      <c r="I22" s="360">
        <f>H22*NPV!C26</f>
        <v>-45654.601121754218</v>
      </c>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row>
    <row r="23" spans="1:52" x14ac:dyDescent="0.2">
      <c r="A23" s="104">
        <v>2042</v>
      </c>
      <c r="B23" s="105">
        <f>'Travel Time'!S198-'Travel Time'!U198</f>
        <v>-2946859.0595639348</v>
      </c>
      <c r="C23" s="27">
        <f>'Travel Time'!R198-'Travel Time'!T198</f>
        <v>-1022099.8404360656</v>
      </c>
      <c r="D23" s="105">
        <f t="shared" si="0"/>
        <v>-3029331792</v>
      </c>
      <c r="E23" s="27">
        <f t="shared" si="1"/>
        <v>-2224994</v>
      </c>
      <c r="F23" s="105">
        <f t="shared" si="2"/>
        <v>-11484988</v>
      </c>
      <c r="G23" s="27">
        <f t="shared" si="3"/>
        <v>-235933</v>
      </c>
      <c r="H23" s="359">
        <f t="shared" si="4"/>
        <v>-218431</v>
      </c>
      <c r="I23" s="360">
        <f>H23*NPV!C27</f>
        <v>-43062.93334203554</v>
      </c>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row>
    <row r="24" spans="1:52" x14ac:dyDescent="0.2">
      <c r="A24" s="104">
        <v>2043</v>
      </c>
      <c r="B24" s="105">
        <f>'Travel Time'!S199-'Travel Time'!U199</f>
        <v>-2974758.2527203858</v>
      </c>
      <c r="C24" s="27">
        <f>'Travel Time'!R199-'Travel Time'!T199</f>
        <v>-1033981.9972796142</v>
      </c>
      <c r="D24" s="105">
        <f t="shared" si="0"/>
        <v>-3061165647</v>
      </c>
      <c r="E24" s="27">
        <f t="shared" si="1"/>
        <v>-2247045</v>
      </c>
      <c r="F24" s="105">
        <f t="shared" si="2"/>
        <v>-11612717</v>
      </c>
      <c r="G24" s="27">
        <f t="shared" si="3"/>
        <v>-238612</v>
      </c>
      <c r="H24" s="359">
        <f t="shared" si="4"/>
        <v>-220875</v>
      </c>
      <c r="I24" s="360">
        <f>H24*NPV!C28</f>
        <v>-40696.037085224663</v>
      </c>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row>
    <row r="25" spans="1:52" x14ac:dyDescent="0.2">
      <c r="A25" s="104">
        <v>2044</v>
      </c>
      <c r="B25" s="105">
        <f>'Travel Time'!S200-'Travel Time'!U200</f>
        <v>-3000593.7319894359</v>
      </c>
      <c r="C25" s="27">
        <f>'Travel Time'!R200-'Travel Time'!T200</f>
        <v>-1041540.3680105563</v>
      </c>
      <c r="D25" s="105">
        <f t="shared" si="0"/>
        <v>-3085718592</v>
      </c>
      <c r="E25" s="27">
        <f t="shared" si="1"/>
        <v>-2265925</v>
      </c>
      <c r="F25" s="105">
        <f t="shared" si="2"/>
        <v>-11701327</v>
      </c>
      <c r="G25" s="27">
        <f t="shared" si="3"/>
        <v>-240397</v>
      </c>
      <c r="H25" s="359">
        <f t="shared" si="4"/>
        <v>-222551</v>
      </c>
      <c r="I25" s="360">
        <f>H25*NPV!C29</f>
        <v>-38322.279165188738</v>
      </c>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row>
    <row r="26" spans="1:52" x14ac:dyDescent="0.2">
      <c r="A26" s="104">
        <v>2045</v>
      </c>
      <c r="B26" s="105">
        <f>'Travel Time'!S201-'Travel Time'!U201</f>
        <v>-3026329.8217849433</v>
      </c>
      <c r="C26" s="27">
        <f>'Travel Time'!R201-'Travel Time'!T201</f>
        <v>-1051844.3782150596</v>
      </c>
      <c r="D26" s="105">
        <f t="shared" si="0"/>
        <v>-3114144926</v>
      </c>
      <c r="E26" s="27">
        <f t="shared" si="1"/>
        <v>-2285972</v>
      </c>
      <c r="F26" s="105">
        <f t="shared" si="2"/>
        <v>-11813496</v>
      </c>
      <c r="G26" s="27">
        <f t="shared" si="3"/>
        <v>-242736</v>
      </c>
      <c r="H26" s="359">
        <f t="shared" si="4"/>
        <v>-224693</v>
      </c>
      <c r="I26" s="360">
        <f>H26*NPV!C30</f>
        <v>-36159.927019831055</v>
      </c>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row>
    <row r="27" spans="1:52" x14ac:dyDescent="0.2">
      <c r="A27" s="104">
        <v>2046</v>
      </c>
      <c r="B27" s="105">
        <f>'Travel Time'!S202-'Travel Time'!U202</f>
        <v>-3055568.9604847431</v>
      </c>
      <c r="C27" s="27">
        <f>'Travel Time'!R202-'Travel Time'!T202</f>
        <v>-1061167.4895152636</v>
      </c>
      <c r="D27" s="105">
        <f t="shared" si="0"/>
        <v>-3143032197</v>
      </c>
      <c r="E27" s="27">
        <f t="shared" si="1"/>
        <v>-2307683</v>
      </c>
      <c r="F27" s="105">
        <f t="shared" si="2"/>
        <v>-11920403</v>
      </c>
      <c r="G27" s="27">
        <f t="shared" si="3"/>
        <v>-244912</v>
      </c>
      <c r="H27" s="359">
        <f t="shared" si="4"/>
        <v>-226721</v>
      </c>
      <c r="I27" s="360">
        <f>H27*NPV!C31</f>
        <v>-34099.34000440775</v>
      </c>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row>
    <row r="28" spans="1:52" x14ac:dyDescent="0.2">
      <c r="A28" s="104">
        <v>2047</v>
      </c>
      <c r="B28" s="105">
        <f>'Travel Time'!S203-'Travel Time'!U203</f>
        <v>-3085144.3323372081</v>
      </c>
      <c r="C28" s="27">
        <f>'Travel Time'!R203-'Travel Time'!T203</f>
        <v>-1069424.3676627893</v>
      </c>
      <c r="D28" s="105">
        <f t="shared" si="0"/>
        <v>-3170573631</v>
      </c>
      <c r="E28" s="27">
        <f t="shared" si="1"/>
        <v>-2329119</v>
      </c>
      <c r="F28" s="105">
        <f t="shared" si="2"/>
        <v>-12018433</v>
      </c>
      <c r="G28" s="27">
        <f t="shared" si="3"/>
        <v>-246875</v>
      </c>
      <c r="H28" s="359">
        <f t="shared" si="4"/>
        <v>-228572</v>
      </c>
      <c r="I28" s="360">
        <f>H28*NPV!C32</f>
        <v>-32128.723831417024</v>
      </c>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row>
    <row r="29" spans="1:52" x14ac:dyDescent="0.2">
      <c r="A29" s="104">
        <v>2048</v>
      </c>
      <c r="B29" s="105">
        <f>'Travel Time'!S204-'Travel Time'!U204</f>
        <v>-3112370.6620061025</v>
      </c>
      <c r="C29" s="27">
        <f>'Travel Time'!R204-'Travel Time'!T204</f>
        <v>-1079968.237993896</v>
      </c>
      <c r="D29" s="105">
        <f t="shared" si="0"/>
        <v>-3200135773</v>
      </c>
      <c r="E29" s="27">
        <f t="shared" si="1"/>
        <v>-2350168</v>
      </c>
      <c r="F29" s="105">
        <f t="shared" si="2"/>
        <v>-12134024</v>
      </c>
      <c r="G29" s="27">
        <f t="shared" si="3"/>
        <v>-249277</v>
      </c>
      <c r="H29" s="359">
        <f t="shared" si="4"/>
        <v>-230778</v>
      </c>
      <c r="I29" s="360">
        <f>H29*NPV!C33</f>
        <v>-30316.64056270193</v>
      </c>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row>
    <row r="30" spans="1:52" x14ac:dyDescent="0.2">
      <c r="A30" s="104">
        <v>2049</v>
      </c>
      <c r="B30" s="105">
        <f>'Travel Time'!S205-'Travel Time'!U205</f>
        <v>-3140182.9059930146</v>
      </c>
      <c r="C30" s="27">
        <f>'Travel Time'!R205-'Travel Time'!T205</f>
        <v>-1089499.1440069824</v>
      </c>
      <c r="D30" s="105">
        <f t="shared" si="0"/>
        <v>-3228561082</v>
      </c>
      <c r="E30" s="27">
        <f t="shared" si="1"/>
        <v>-2371116</v>
      </c>
      <c r="F30" s="105">
        <f t="shared" si="2"/>
        <v>-12241423</v>
      </c>
      <c r="G30" s="27">
        <f t="shared" si="3"/>
        <v>-251481</v>
      </c>
      <c r="H30" s="359">
        <f t="shared" si="4"/>
        <v>-232820</v>
      </c>
      <c r="I30" s="360">
        <f>H30*NPV!C34</f>
        <v>-28584.011416758498</v>
      </c>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row>
    <row r="31" spans="1:52" ht="13.9" customHeight="1" x14ac:dyDescent="0.2">
      <c r="A31" s="104">
        <v>2050</v>
      </c>
      <c r="B31" s="105">
        <f>'Travel Time'!S206-'Travel Time'!U206</f>
        <v>-3168331.3813486472</v>
      </c>
      <c r="C31" s="27">
        <f>'Travel Time'!R206-'Travel Time'!T206</f>
        <v>-1097963.8186513577</v>
      </c>
      <c r="D31" s="105">
        <f t="shared" si="0"/>
        <v>-3255640556</v>
      </c>
      <c r="E31" s="27">
        <f t="shared" si="1"/>
        <v>-2391789</v>
      </c>
      <c r="F31" s="105">
        <f t="shared" si="2"/>
        <v>-12339944</v>
      </c>
      <c r="G31" s="27">
        <f t="shared" si="3"/>
        <v>-253472</v>
      </c>
      <c r="H31" s="359">
        <f t="shared" si="4"/>
        <v>-234684</v>
      </c>
      <c r="I31" s="360">
        <f>H31*NPV!C35</f>
        <v>-26927.906823572146</v>
      </c>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ht="13.9" customHeight="1" x14ac:dyDescent="0.2">
      <c r="A32" s="104">
        <v>2051</v>
      </c>
      <c r="B32" s="105">
        <f>'Travel Time'!S207-'Travel Time'!U207</f>
        <v>-3194130.813806735</v>
      </c>
      <c r="C32" s="27">
        <f>'Travel Time'!R207-'Travel Time'!T207</f>
        <v>-1108715.4861932639</v>
      </c>
      <c r="D32" s="105">
        <f t="shared" si="0"/>
        <v>-3284740738</v>
      </c>
      <c r="E32" s="27">
        <f t="shared" si="1"/>
        <v>-2412074</v>
      </c>
      <c r="F32" s="105">
        <f t="shared" si="2"/>
        <v>-12456026</v>
      </c>
      <c r="G32" s="27">
        <f t="shared" si="3"/>
        <v>-255902</v>
      </c>
      <c r="H32" s="359">
        <f t="shared" si="4"/>
        <v>-236904</v>
      </c>
      <c r="I32" s="360">
        <f>H32*NPV!C36</f>
        <v>-25404.329090808194</v>
      </c>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row>
    <row r="33" spans="1:52" x14ac:dyDescent="0.2">
      <c r="A33" s="104">
        <v>2052</v>
      </c>
      <c r="B33" s="105">
        <f>'Travel Time'!S208-'Travel Time'!U208</f>
        <v>-3225682.9523031414</v>
      </c>
      <c r="C33" s="27">
        <f>'Travel Time'!R208-'Travel Time'!T208</f>
        <v>-1118944.8976968527</v>
      </c>
      <c r="D33" s="105">
        <f t="shared" si="0"/>
        <v>-3316154534</v>
      </c>
      <c r="E33" s="27">
        <f t="shared" si="1"/>
        <v>-2435578</v>
      </c>
      <c r="F33" s="105">
        <f t="shared" si="2"/>
        <v>-12572844</v>
      </c>
      <c r="G33" s="27">
        <f t="shared" si="3"/>
        <v>-258284</v>
      </c>
      <c r="H33" s="359">
        <f t="shared" si="4"/>
        <v>-239121</v>
      </c>
      <c r="I33" s="360">
        <f>H33*NPV!C37</f>
        <v>-23964.549923464194</v>
      </c>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row>
    <row r="34" spans="1:52" x14ac:dyDescent="0.2">
      <c r="A34" s="104">
        <v>2053</v>
      </c>
      <c r="B34" s="105">
        <f>'Travel Time'!S209-'Travel Time'!U209</f>
        <v>-3252404.5302700326</v>
      </c>
      <c r="C34" s="27">
        <f>'Travel Time'!R209-'Travel Time'!T209</f>
        <v>-1127617.3697299641</v>
      </c>
      <c r="D34" s="105">
        <f t="shared" si="0"/>
        <v>-3342772049</v>
      </c>
      <c r="E34" s="27">
        <f t="shared" si="1"/>
        <v>-2455488</v>
      </c>
      <c r="F34" s="105">
        <f t="shared" si="2"/>
        <v>-12671857</v>
      </c>
      <c r="G34" s="27">
        <f t="shared" si="3"/>
        <v>-260303</v>
      </c>
      <c r="H34" s="359">
        <f t="shared" si="4"/>
        <v>-241000</v>
      </c>
      <c r="I34" s="360">
        <f>H34*NPV!C38</f>
        <v>-22572.768291730103</v>
      </c>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row>
    <row r="35" spans="1:52" x14ac:dyDescent="0.2">
      <c r="A35" s="104">
        <v>2054</v>
      </c>
      <c r="B35" s="105">
        <f>'Travel Time'!S210-'Travel Time'!U210</f>
        <v>-3284860.9950740561</v>
      </c>
      <c r="C35" s="27">
        <f>'Travel Time'!R210-'Travel Time'!T210</f>
        <v>-1139099.6049259435</v>
      </c>
      <c r="D35" s="105">
        <f t="shared" si="0"/>
        <v>-3376458484</v>
      </c>
      <c r="E35" s="27">
        <f t="shared" si="1"/>
        <v>-2480094</v>
      </c>
      <c r="F35" s="105">
        <f t="shared" si="2"/>
        <v>-12800288</v>
      </c>
      <c r="G35" s="27">
        <f t="shared" si="3"/>
        <v>-262947</v>
      </c>
      <c r="H35" s="359">
        <f t="shared" si="4"/>
        <v>-243445</v>
      </c>
      <c r="I35" s="360">
        <f>H35*NPV!C39</f>
        <v>-21310.069324776963</v>
      </c>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row>
    <row r="36" spans="1:52" x14ac:dyDescent="0.2">
      <c r="A36" s="104">
        <v>2055</v>
      </c>
      <c r="B36" s="105">
        <f>'Travel Time'!S211-'Travel Time'!U211</f>
        <v>-3312856.5635600239</v>
      </c>
      <c r="C36" s="27">
        <f>'Travel Time'!R211-'Travel Time'!T211</f>
        <v>-1149012.9364399761</v>
      </c>
      <c r="D36" s="105">
        <f t="shared" si="0"/>
        <v>-3405528191</v>
      </c>
      <c r="E36" s="27">
        <f t="shared" si="1"/>
        <v>-2501323</v>
      </c>
      <c r="F36" s="105">
        <f t="shared" si="2"/>
        <v>-12911148</v>
      </c>
      <c r="G36" s="27">
        <f t="shared" si="3"/>
        <v>-265229</v>
      </c>
      <c r="H36" s="359">
        <f t="shared" si="4"/>
        <v>-245554</v>
      </c>
      <c r="I36" s="360">
        <f>H36*NPV!C40</f>
        <v>-20088.48747995347</v>
      </c>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row>
    <row r="37" spans="1:52" x14ac:dyDescent="0.2">
      <c r="A37" s="104">
        <v>2056</v>
      </c>
      <c r="B37" s="105">
        <f>'Travel Time'!S212-'Travel Time'!U212</f>
        <v>-3343098.6663678437</v>
      </c>
      <c r="C37" s="27">
        <f>'Travel Time'!R212-'Travel Time'!T212</f>
        <v>-1161194.7836321574</v>
      </c>
      <c r="D37" s="105">
        <f t="shared" si="0"/>
        <v>-3439037031</v>
      </c>
      <c r="E37" s="27">
        <f t="shared" si="1"/>
        <v>-2524913</v>
      </c>
      <c r="F37" s="105">
        <f t="shared" si="2"/>
        <v>-13043590</v>
      </c>
      <c r="G37" s="27">
        <f t="shared" si="3"/>
        <v>-267992</v>
      </c>
      <c r="H37" s="359">
        <f t="shared" si="4"/>
        <v>-248085</v>
      </c>
      <c r="I37" s="360">
        <f>H37*NPV!C41</f>
        <v>-18967.799672608537</v>
      </c>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row>
    <row r="38" spans="1:52" ht="16.5" customHeight="1" x14ac:dyDescent="0.2">
      <c r="A38" s="497" t="s">
        <v>0</v>
      </c>
      <c r="B38" s="498"/>
      <c r="C38" s="498"/>
      <c r="D38" s="498"/>
      <c r="E38" s="498"/>
      <c r="F38" s="498"/>
      <c r="G38" s="499"/>
      <c r="H38" s="361">
        <f>SUM(H8:H37)</f>
        <v>-6210865</v>
      </c>
      <c r="I38" s="362">
        <f>SUM(I8:I37)</f>
        <v>-1381694.2087306995</v>
      </c>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row>
    <row r="39" spans="1:52" x14ac:dyDescent="0.2">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row>
    <row r="40" spans="1:52" x14ac:dyDescent="0.2">
      <c r="A40" s="380" t="s">
        <v>50</v>
      </c>
      <c r="B40" s="381"/>
      <c r="C40" s="396"/>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row>
    <row r="41" spans="1:52" ht="25.5" x14ac:dyDescent="0.2">
      <c r="A41" s="22" t="s">
        <v>51</v>
      </c>
      <c r="B41" s="21" t="s">
        <v>112</v>
      </c>
      <c r="C41" s="96" t="s">
        <v>113</v>
      </c>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row>
    <row r="42" spans="1:52" x14ac:dyDescent="0.2">
      <c r="A42" s="106" t="s">
        <v>210</v>
      </c>
      <c r="B42" s="23">
        <f>1*1.1015</f>
        <v>1.1014999999999999</v>
      </c>
      <c r="C42" s="10">
        <f>B42/907185</f>
        <v>1.214195560993623E-6</v>
      </c>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row>
    <row r="43" spans="1:52" x14ac:dyDescent="0.2">
      <c r="A43" s="107" t="s">
        <v>211</v>
      </c>
      <c r="B43" s="24">
        <f>2*1.1015</f>
        <v>2.2029999999999998</v>
      </c>
      <c r="C43" s="10">
        <f>B43/907185</f>
        <v>2.4283911219872459E-6</v>
      </c>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row>
    <row r="44" spans="1:52" x14ac:dyDescent="0.2">
      <c r="A44" s="107" t="s">
        <v>53</v>
      </c>
      <c r="B44" s="24">
        <v>2100</v>
      </c>
      <c r="C44" s="10">
        <f>B44/907185</f>
        <v>2.3148530895021413E-3</v>
      </c>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row>
    <row r="45" spans="1:52" x14ac:dyDescent="0.2">
      <c r="A45" s="107" t="s">
        <v>54</v>
      </c>
      <c r="B45" s="24">
        <v>8600</v>
      </c>
      <c r="C45" s="10">
        <f t="shared" ref="C45:C47" si="5">B45/907185</f>
        <v>9.4798745570087682E-3</v>
      </c>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row>
    <row r="46" spans="1:52" x14ac:dyDescent="0.2">
      <c r="A46" s="107" t="s">
        <v>55</v>
      </c>
      <c r="B46" s="24">
        <v>387300</v>
      </c>
      <c r="C46" s="10">
        <f t="shared" si="5"/>
        <v>0.42692504836389489</v>
      </c>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row>
    <row r="47" spans="1:52" x14ac:dyDescent="0.2">
      <c r="A47" s="108" t="s">
        <v>56</v>
      </c>
      <c r="B47" s="25">
        <v>50100</v>
      </c>
      <c r="C47" s="11">
        <f t="shared" si="5"/>
        <v>5.5225780849551084E-2</v>
      </c>
      <c r="D47" s="109"/>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row>
    <row r="48" spans="1:52" x14ac:dyDescent="0.2">
      <c r="A48" s="500" t="s">
        <v>280</v>
      </c>
      <c r="B48" s="501"/>
      <c r="C48" s="502"/>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row>
    <row r="49" spans="1:52" x14ac:dyDescent="0.2">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row>
    <row r="50" spans="1:52" x14ac:dyDescent="0.2">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row>
    <row r="51" spans="1:52" ht="16.5" x14ac:dyDescent="0.3">
      <c r="A51" s="503" t="s">
        <v>212</v>
      </c>
      <c r="B51" s="503"/>
      <c r="C51" s="503"/>
      <c r="D51" s="503"/>
      <c r="E51" s="5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row>
    <row r="52" spans="1:52" x14ac:dyDescent="0.2">
      <c r="A52" s="110" t="s">
        <v>213</v>
      </c>
      <c r="B52" s="110" t="s">
        <v>214</v>
      </c>
      <c r="C52" s="110" t="s">
        <v>215</v>
      </c>
      <c r="D52" s="110" t="s">
        <v>216</v>
      </c>
      <c r="E52" s="110" t="s">
        <v>217</v>
      </c>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row>
    <row r="53" spans="1:52" x14ac:dyDescent="0.2">
      <c r="A53" s="111" t="s">
        <v>218</v>
      </c>
      <c r="B53" s="112">
        <v>0.91</v>
      </c>
      <c r="C53" s="112">
        <v>0.6</v>
      </c>
      <c r="D53" s="112">
        <v>0.01</v>
      </c>
      <c r="E53" s="112">
        <v>532</v>
      </c>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row>
    <row r="54" spans="1:52" x14ac:dyDescent="0.2">
      <c r="A54" s="111" t="s">
        <v>219</v>
      </c>
      <c r="B54" s="112">
        <v>8.6129999999999995</v>
      </c>
      <c r="C54" s="112">
        <v>0.44700000000000001</v>
      </c>
      <c r="D54" s="112">
        <v>0.20200000000000001</v>
      </c>
      <c r="E54" s="112">
        <v>1430</v>
      </c>
      <c r="F54" s="113" t="s">
        <v>220</v>
      </c>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row>
    <row r="55" spans="1:52" x14ac:dyDescent="0.2">
      <c r="A55" s="111" t="s">
        <v>221</v>
      </c>
      <c r="B55" s="112">
        <v>8.67</v>
      </c>
      <c r="C55" s="112">
        <v>0.73</v>
      </c>
      <c r="D55" s="112">
        <v>0.48</v>
      </c>
      <c r="E55" s="112">
        <v>3319</v>
      </c>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row>
    <row r="56" spans="1:52" x14ac:dyDescent="0.2">
      <c r="A56" s="111" t="s">
        <v>222</v>
      </c>
      <c r="B56" s="112">
        <v>3.84</v>
      </c>
      <c r="C56" s="112">
        <v>1.46</v>
      </c>
      <c r="D56" s="112">
        <v>0.01</v>
      </c>
      <c r="E56" s="112">
        <v>2935</v>
      </c>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row>
    <row r="57" spans="1:52" x14ac:dyDescent="0.2">
      <c r="A57" s="111" t="s">
        <v>223</v>
      </c>
      <c r="B57" s="112">
        <v>5.83</v>
      </c>
      <c r="C57" s="112">
        <v>1.2E-2</v>
      </c>
      <c r="D57" s="112">
        <v>0.378</v>
      </c>
      <c r="E57" s="112">
        <v>2934</v>
      </c>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row>
    <row r="58" spans="1:52" ht="42.75" customHeight="1" x14ac:dyDescent="0.2">
      <c r="A58" s="504" t="s">
        <v>224</v>
      </c>
      <c r="B58" s="504"/>
      <c r="C58" s="504"/>
      <c r="D58" s="504"/>
      <c r="E58" s="504"/>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ht="12.75" customHeight="1" x14ac:dyDescent="0.2">
      <c r="A59" s="505" t="s">
        <v>281</v>
      </c>
      <c r="B59" s="505"/>
      <c r="C59" s="505"/>
      <c r="D59" s="505"/>
      <c r="E59" s="505"/>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row>
    <row r="60" spans="1:52" x14ac:dyDescent="0.2">
      <c r="A60" s="505"/>
      <c r="B60" s="505"/>
      <c r="C60" s="505"/>
      <c r="D60" s="505"/>
      <c r="E60" s="505"/>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row>
    <row r="61" spans="1:52" x14ac:dyDescent="0.2">
      <c r="A61" s="496" t="s">
        <v>225</v>
      </c>
      <c r="B61" s="496"/>
      <c r="C61" s="496"/>
      <c r="D61" s="496"/>
      <c r="E61" s="496"/>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row>
    <row r="62" spans="1:52" ht="12.75" customHeight="1" x14ac:dyDescent="0.2">
      <c r="A62" s="114"/>
      <c r="B62" s="114"/>
      <c r="C62" s="114"/>
      <c r="D62" s="114"/>
      <c r="E62" s="114"/>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row>
    <row r="63" spans="1:52" x14ac:dyDescent="0.2">
      <c r="A63" s="114"/>
      <c r="B63" s="114"/>
      <c r="C63" s="114"/>
      <c r="D63" s="114"/>
      <c r="E63" s="11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row>
    <row r="64" spans="1:52" x14ac:dyDescent="0.2">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row>
    <row r="65" spans="1:52" x14ac:dyDescent="0.2">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row>
    <row r="66" spans="1:52" x14ac:dyDescent="0.2">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row>
    <row r="67" spans="1:52" x14ac:dyDescent="0.2">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row>
    <row r="68" spans="1:52" x14ac:dyDescent="0.2">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row>
    <row r="69" spans="1:52" ht="12.75" customHeight="1" x14ac:dyDescent="0.2">
      <c r="A69" s="115"/>
      <c r="B69" s="115"/>
      <c r="C69" s="115"/>
      <c r="D69" s="11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row>
    <row r="70" spans="1:52" x14ac:dyDescent="0.2">
      <c r="A70" s="115"/>
      <c r="B70" s="115"/>
      <c r="C70" s="115"/>
      <c r="D70" s="115"/>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row>
    <row r="71" spans="1:52" x14ac:dyDescent="0.2">
      <c r="A71" s="115"/>
      <c r="B71" s="115"/>
      <c r="C71" s="115"/>
      <c r="D71" s="11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row>
    <row r="72" spans="1:52" x14ac:dyDescent="0.2">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row>
    <row r="73" spans="1:52" x14ac:dyDescent="0.2">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row>
    <row r="74" spans="1:52" x14ac:dyDescent="0.2">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row>
    <row r="75" spans="1:52" x14ac:dyDescent="0.2">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row>
    <row r="76" spans="1:52" x14ac:dyDescent="0.2">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row>
    <row r="77" spans="1:52" x14ac:dyDescent="0.2">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row>
    <row r="78" spans="1:52" x14ac:dyDescent="0.2">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row>
    <row r="79" spans="1:52" x14ac:dyDescent="0.2">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row>
    <row r="80" spans="1:52" x14ac:dyDescent="0.2">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row>
    <row r="81" spans="1:52" x14ac:dyDescent="0.2">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row>
    <row r="82" spans="1:52" x14ac:dyDescent="0.2">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row>
    <row r="83" spans="1:52" x14ac:dyDescent="0.2">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row>
    <row r="84" spans="1:52" x14ac:dyDescent="0.2">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row>
    <row r="85" spans="1:52" x14ac:dyDescent="0.2">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row>
    <row r="86" spans="1:52" x14ac:dyDescent="0.2">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row>
    <row r="87" spans="1:52" x14ac:dyDescent="0.2">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row>
    <row r="88" spans="1:52" x14ac:dyDescent="0.2">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row>
    <row r="89" spans="1:52" x14ac:dyDescent="0.2">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row>
    <row r="90" spans="1:52" x14ac:dyDescent="0.2">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row>
    <row r="91" spans="1:52" x14ac:dyDescent="0.2">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row>
    <row r="92" spans="1:52" x14ac:dyDescent="0.2">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row>
    <row r="93" spans="1:52" x14ac:dyDescent="0.2">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row>
    <row r="94" spans="1:52" x14ac:dyDescent="0.2">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row>
    <row r="95" spans="1:52" x14ac:dyDescent="0.2">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row>
    <row r="96" spans="1:52" x14ac:dyDescent="0.2">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row>
    <row r="97" spans="1:52" x14ac:dyDescent="0.2">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row>
    <row r="98" spans="1:52" x14ac:dyDescent="0.2">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row>
    <row r="99" spans="1:52" x14ac:dyDescent="0.2">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row>
    <row r="100" spans="1:52" x14ac:dyDescent="0.2">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row>
    <row r="101" spans="1:52" x14ac:dyDescent="0.2">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row>
    <row r="102" spans="1:52" x14ac:dyDescent="0.2">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row>
    <row r="103" spans="1:52" x14ac:dyDescent="0.2">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row>
    <row r="104" spans="1:52" x14ac:dyDescent="0.2">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row>
    <row r="105" spans="1:52" x14ac:dyDescent="0.2">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row>
    <row r="106" spans="1:52" x14ac:dyDescent="0.2">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row>
    <row r="107" spans="1:52" x14ac:dyDescent="0.2">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row>
    <row r="108" spans="1:52" x14ac:dyDescent="0.2">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row>
    <row r="109" spans="1:52" x14ac:dyDescent="0.2">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row>
    <row r="110" spans="1:52" x14ac:dyDescent="0.2">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row>
    <row r="111" spans="1:52" x14ac:dyDescent="0.2">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row>
    <row r="112" spans="1:52" x14ac:dyDescent="0.2">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row>
    <row r="113" spans="1:52" x14ac:dyDescent="0.2">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row>
    <row r="114" spans="1:52" x14ac:dyDescent="0.2">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row>
    <row r="115" spans="1:52" x14ac:dyDescent="0.2">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row>
    <row r="116" spans="1:52" x14ac:dyDescent="0.2">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row>
    <row r="117" spans="1:52" x14ac:dyDescent="0.2">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row>
    <row r="118" spans="1:52" x14ac:dyDescent="0.2">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row>
    <row r="119" spans="1:52" x14ac:dyDescent="0.2">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row>
    <row r="120" spans="1:52" x14ac:dyDescent="0.2">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row>
    <row r="121" spans="1:52" x14ac:dyDescent="0.2">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row>
    <row r="122" spans="1:52" x14ac:dyDescent="0.2">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row>
    <row r="123" spans="1:52" x14ac:dyDescent="0.2">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row>
    <row r="124" spans="1:52" x14ac:dyDescent="0.2">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row>
    <row r="125" spans="1:52" x14ac:dyDescent="0.2">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row>
    <row r="126" spans="1:52" x14ac:dyDescent="0.2">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row>
    <row r="127" spans="1:52" x14ac:dyDescent="0.2">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row>
    <row r="128" spans="1:52" x14ac:dyDescent="0.2">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row>
    <row r="129" spans="1:52" x14ac:dyDescent="0.2">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row>
    <row r="130" spans="1:52" x14ac:dyDescent="0.2">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row>
    <row r="131" spans="1:52" x14ac:dyDescent="0.2">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row>
    <row r="132" spans="1:52" x14ac:dyDescent="0.2">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row>
    <row r="133" spans="1:52" x14ac:dyDescent="0.2">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row>
    <row r="134" spans="1:52" x14ac:dyDescent="0.2">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row>
    <row r="135" spans="1:52" x14ac:dyDescent="0.2">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row>
    <row r="136" spans="1:52" x14ac:dyDescent="0.2">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row>
    <row r="137" spans="1:52" x14ac:dyDescent="0.2">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row>
    <row r="138" spans="1:52" x14ac:dyDescent="0.2">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row>
    <row r="139" spans="1:52" x14ac:dyDescent="0.2">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row>
    <row r="140" spans="1:52" x14ac:dyDescent="0.2">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row>
    <row r="141" spans="1:52" x14ac:dyDescent="0.2">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row>
    <row r="142" spans="1:52" x14ac:dyDescent="0.2">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row>
    <row r="143" spans="1:52" x14ac:dyDescent="0.2">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row>
    <row r="144" spans="1:52" x14ac:dyDescent="0.2">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row>
    <row r="145" spans="1:52" x14ac:dyDescent="0.2">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row>
    <row r="146" spans="1:52" x14ac:dyDescent="0.2">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row>
    <row r="147" spans="1:52" x14ac:dyDescent="0.2">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row>
    <row r="148" spans="1:52" x14ac:dyDescent="0.2">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row>
    <row r="149" spans="1:52" x14ac:dyDescent="0.2">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row>
    <row r="150" spans="1:52" x14ac:dyDescent="0.2">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row>
    <row r="151" spans="1:52" x14ac:dyDescent="0.2">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row>
    <row r="152" spans="1:52" x14ac:dyDescent="0.2">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row>
    <row r="153" spans="1:52" x14ac:dyDescent="0.2">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row>
    <row r="154" spans="1:52" x14ac:dyDescent="0.2">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row>
    <row r="155" spans="1:52" x14ac:dyDescent="0.2">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row>
    <row r="156" spans="1:52" x14ac:dyDescent="0.2">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row>
    <row r="157" spans="1:52" x14ac:dyDescent="0.2">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row>
    <row r="158" spans="1:52" x14ac:dyDescent="0.2">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row>
    <row r="159" spans="1:52" x14ac:dyDescent="0.2">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row>
    <row r="160" spans="1:52" x14ac:dyDescent="0.2">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row>
    <row r="161" spans="1:52" x14ac:dyDescent="0.2">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row>
    <row r="162" spans="1:52" x14ac:dyDescent="0.2">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row>
    <row r="163" spans="1:52" x14ac:dyDescent="0.2">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row>
    <row r="164" spans="1:52" x14ac:dyDescent="0.2">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row>
    <row r="165" spans="1:52" x14ac:dyDescent="0.2">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row>
    <row r="166" spans="1:52" x14ac:dyDescent="0.2">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row>
    <row r="167" spans="1:52" x14ac:dyDescent="0.2">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row>
    <row r="168" spans="1:52" x14ac:dyDescent="0.2">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row>
    <row r="169" spans="1:52" x14ac:dyDescent="0.2">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row>
    <row r="170" spans="1:52" x14ac:dyDescent="0.2">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c r="AY170" s="103"/>
      <c r="AZ170" s="103"/>
    </row>
    <row r="171" spans="1:52" x14ac:dyDescent="0.2">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row>
    <row r="172" spans="1:52" x14ac:dyDescent="0.2">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row>
    <row r="173" spans="1:52" x14ac:dyDescent="0.2">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c r="AY173" s="103"/>
      <c r="AZ173" s="103"/>
    </row>
    <row r="174" spans="1:52" x14ac:dyDescent="0.2">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row>
    <row r="175" spans="1:52" x14ac:dyDescent="0.2">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row>
    <row r="176" spans="1:52" x14ac:dyDescent="0.2">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c r="AS176" s="103"/>
      <c r="AT176" s="103"/>
      <c r="AU176" s="103"/>
      <c r="AV176" s="103"/>
      <c r="AW176" s="103"/>
      <c r="AX176" s="103"/>
      <c r="AY176" s="103"/>
      <c r="AZ176" s="103"/>
    </row>
    <row r="177" spans="1:52" x14ac:dyDescent="0.2">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row>
    <row r="178" spans="1:52" x14ac:dyDescent="0.2">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row>
    <row r="179" spans="1:52" x14ac:dyDescent="0.2">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row>
    <row r="180" spans="1:52" x14ac:dyDescent="0.2">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row>
    <row r="181" spans="1:52" x14ac:dyDescent="0.2">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row>
    <row r="182" spans="1:52" x14ac:dyDescent="0.2">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row>
    <row r="183" spans="1:52" x14ac:dyDescent="0.2">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row>
    <row r="184" spans="1:52" x14ac:dyDescent="0.2">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row>
    <row r="185" spans="1:52" x14ac:dyDescent="0.2">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c r="AY185" s="103"/>
      <c r="AZ185" s="103"/>
    </row>
    <row r="186" spans="1:52" x14ac:dyDescent="0.2">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3"/>
      <c r="AY186" s="103"/>
      <c r="AZ186" s="103"/>
    </row>
    <row r="187" spans="1:52" x14ac:dyDescent="0.2">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c r="AY187" s="103"/>
      <c r="AZ187" s="103"/>
    </row>
    <row r="188" spans="1:52" x14ac:dyDescent="0.2">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c r="AR188" s="103"/>
      <c r="AS188" s="103"/>
      <c r="AT188" s="103"/>
      <c r="AU188" s="103"/>
      <c r="AV188" s="103"/>
      <c r="AW188" s="103"/>
      <c r="AX188" s="103"/>
      <c r="AY188" s="103"/>
      <c r="AZ188" s="103"/>
    </row>
    <row r="189" spans="1:52" x14ac:dyDescent="0.2">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3"/>
      <c r="AV189" s="103"/>
      <c r="AW189" s="103"/>
      <c r="AX189" s="103"/>
      <c r="AY189" s="103"/>
      <c r="AZ189" s="103"/>
    </row>
    <row r="190" spans="1:52" x14ac:dyDescent="0.2">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c r="AY190" s="103"/>
      <c r="AZ190" s="103"/>
    </row>
    <row r="191" spans="1:52" x14ac:dyDescent="0.2">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c r="AQ191" s="103"/>
      <c r="AR191" s="103"/>
      <c r="AS191" s="103"/>
      <c r="AT191" s="103"/>
      <c r="AU191" s="103"/>
      <c r="AV191" s="103"/>
      <c r="AW191" s="103"/>
      <c r="AX191" s="103"/>
      <c r="AY191" s="103"/>
      <c r="AZ191" s="103"/>
    </row>
    <row r="192" spans="1:52" x14ac:dyDescent="0.2">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c r="AR192" s="103"/>
      <c r="AS192" s="103"/>
      <c r="AT192" s="103"/>
      <c r="AU192" s="103"/>
      <c r="AV192" s="103"/>
      <c r="AW192" s="103"/>
      <c r="AX192" s="103"/>
      <c r="AY192" s="103"/>
      <c r="AZ192" s="103"/>
    </row>
    <row r="193" spans="1:52" x14ac:dyDescent="0.2">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c r="AS193" s="103"/>
      <c r="AT193" s="103"/>
      <c r="AU193" s="103"/>
      <c r="AV193" s="103"/>
      <c r="AW193" s="103"/>
      <c r="AX193" s="103"/>
      <c r="AY193" s="103"/>
      <c r="AZ193" s="103"/>
    </row>
    <row r="194" spans="1:52" x14ac:dyDescent="0.2">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c r="AR194" s="103"/>
      <c r="AS194" s="103"/>
      <c r="AT194" s="103"/>
      <c r="AU194" s="103"/>
      <c r="AV194" s="103"/>
      <c r="AW194" s="103"/>
      <c r="AX194" s="103"/>
      <c r="AY194" s="103"/>
      <c r="AZ194" s="103"/>
    </row>
    <row r="195" spans="1:52" x14ac:dyDescent="0.2">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c r="AR195" s="103"/>
      <c r="AS195" s="103"/>
      <c r="AT195" s="103"/>
      <c r="AU195" s="103"/>
      <c r="AV195" s="103"/>
      <c r="AW195" s="103"/>
      <c r="AX195" s="103"/>
      <c r="AY195" s="103"/>
      <c r="AZ195" s="103"/>
    </row>
    <row r="196" spans="1:52" x14ac:dyDescent="0.2">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c r="AY196" s="103"/>
      <c r="AZ196" s="103"/>
    </row>
    <row r="197" spans="1:52" x14ac:dyDescent="0.2">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c r="AS197" s="103"/>
      <c r="AT197" s="103"/>
      <c r="AU197" s="103"/>
      <c r="AV197" s="103"/>
      <c r="AW197" s="103"/>
      <c r="AX197" s="103"/>
      <c r="AY197" s="103"/>
      <c r="AZ197" s="103"/>
    </row>
    <row r="198" spans="1:52" x14ac:dyDescent="0.2">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c r="AY198" s="103"/>
      <c r="AZ198" s="103"/>
    </row>
    <row r="199" spans="1:52" x14ac:dyDescent="0.2">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c r="AR199" s="103"/>
      <c r="AS199" s="103"/>
      <c r="AT199" s="103"/>
      <c r="AU199" s="103"/>
      <c r="AV199" s="103"/>
      <c r="AW199" s="103"/>
      <c r="AX199" s="103"/>
      <c r="AY199" s="103"/>
      <c r="AZ199" s="103"/>
    </row>
    <row r="200" spans="1:52" x14ac:dyDescent="0.2">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c r="AS200" s="103"/>
      <c r="AT200" s="103"/>
      <c r="AU200" s="103"/>
      <c r="AV200" s="103"/>
      <c r="AW200" s="103"/>
      <c r="AX200" s="103"/>
      <c r="AY200" s="103"/>
      <c r="AZ200" s="103"/>
    </row>
    <row r="201" spans="1:52" x14ac:dyDescent="0.2">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c r="AQ201" s="103"/>
      <c r="AR201" s="103"/>
      <c r="AS201" s="103"/>
      <c r="AT201" s="103"/>
      <c r="AU201" s="103"/>
      <c r="AV201" s="103"/>
      <c r="AW201" s="103"/>
      <c r="AX201" s="103"/>
      <c r="AY201" s="103"/>
      <c r="AZ201" s="103"/>
    </row>
    <row r="202" spans="1:52" x14ac:dyDescent="0.2">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c r="AY202" s="103"/>
      <c r="AZ202" s="103"/>
    </row>
    <row r="203" spans="1:52" x14ac:dyDescent="0.2">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c r="AQ203" s="103"/>
      <c r="AR203" s="103"/>
      <c r="AS203" s="103"/>
      <c r="AT203" s="103"/>
      <c r="AU203" s="103"/>
      <c r="AV203" s="103"/>
      <c r="AW203" s="103"/>
      <c r="AX203" s="103"/>
      <c r="AY203" s="103"/>
      <c r="AZ203" s="103"/>
    </row>
    <row r="204" spans="1:52" x14ac:dyDescent="0.2">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c r="AY204" s="103"/>
      <c r="AZ204" s="103"/>
    </row>
    <row r="205" spans="1:52" x14ac:dyDescent="0.2">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c r="AS205" s="103"/>
      <c r="AT205" s="103"/>
      <c r="AU205" s="103"/>
      <c r="AV205" s="103"/>
      <c r="AW205" s="103"/>
      <c r="AX205" s="103"/>
      <c r="AY205" s="103"/>
      <c r="AZ205" s="103"/>
    </row>
    <row r="206" spans="1:52" x14ac:dyDescent="0.2">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c r="AY206" s="103"/>
      <c r="AZ206" s="103"/>
    </row>
    <row r="207" spans="1:52" x14ac:dyDescent="0.2">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c r="AU207" s="103"/>
      <c r="AV207" s="103"/>
      <c r="AW207" s="103"/>
      <c r="AX207" s="103"/>
      <c r="AY207" s="103"/>
      <c r="AZ207" s="103"/>
    </row>
    <row r="208" spans="1:52" x14ac:dyDescent="0.2">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c r="AY208" s="103"/>
      <c r="AZ208" s="103"/>
    </row>
    <row r="209" spans="1:52" x14ac:dyDescent="0.2">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c r="AS209" s="103"/>
      <c r="AT209" s="103"/>
      <c r="AU209" s="103"/>
      <c r="AV209" s="103"/>
      <c r="AW209" s="103"/>
      <c r="AX209" s="103"/>
      <c r="AY209" s="103"/>
      <c r="AZ209" s="103"/>
    </row>
    <row r="210" spans="1:52" x14ac:dyDescent="0.2">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c r="AR210" s="103"/>
      <c r="AS210" s="103"/>
      <c r="AT210" s="103"/>
      <c r="AU210" s="103"/>
      <c r="AV210" s="103"/>
      <c r="AW210" s="103"/>
      <c r="AX210" s="103"/>
      <c r="AY210" s="103"/>
      <c r="AZ210" s="103"/>
    </row>
    <row r="211" spans="1:52" x14ac:dyDescent="0.2">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c r="AS211" s="103"/>
      <c r="AT211" s="103"/>
      <c r="AU211" s="103"/>
      <c r="AV211" s="103"/>
      <c r="AW211" s="103"/>
      <c r="AX211" s="103"/>
      <c r="AY211" s="103"/>
      <c r="AZ211" s="103"/>
    </row>
    <row r="212" spans="1:52" x14ac:dyDescent="0.2">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c r="AQ212" s="103"/>
      <c r="AR212" s="103"/>
      <c r="AS212" s="103"/>
      <c r="AT212" s="103"/>
      <c r="AU212" s="103"/>
      <c r="AV212" s="103"/>
      <c r="AW212" s="103"/>
      <c r="AX212" s="103"/>
      <c r="AY212" s="103"/>
      <c r="AZ212" s="103"/>
    </row>
    <row r="213" spans="1:52" x14ac:dyDescent="0.2">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c r="AQ213" s="103"/>
      <c r="AR213" s="103"/>
      <c r="AS213" s="103"/>
      <c r="AT213" s="103"/>
      <c r="AU213" s="103"/>
      <c r="AV213" s="103"/>
      <c r="AW213" s="103"/>
      <c r="AX213" s="103"/>
      <c r="AY213" s="103"/>
      <c r="AZ213" s="103"/>
    </row>
    <row r="214" spans="1:52" x14ac:dyDescent="0.2">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c r="AS214" s="103"/>
      <c r="AT214" s="103"/>
      <c r="AU214" s="103"/>
      <c r="AV214" s="103"/>
      <c r="AW214" s="103"/>
      <c r="AX214" s="103"/>
      <c r="AY214" s="103"/>
      <c r="AZ214" s="103"/>
    </row>
    <row r="215" spans="1:52" x14ac:dyDescent="0.2">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c r="AS215" s="103"/>
      <c r="AT215" s="103"/>
      <c r="AU215" s="103"/>
      <c r="AV215" s="103"/>
      <c r="AW215" s="103"/>
      <c r="AX215" s="103"/>
      <c r="AY215" s="103"/>
      <c r="AZ215" s="103"/>
    </row>
    <row r="216" spans="1:52" x14ac:dyDescent="0.2">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c r="AY216" s="103"/>
      <c r="AZ216" s="103"/>
    </row>
    <row r="217" spans="1:52" x14ac:dyDescent="0.2">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c r="AY217" s="103"/>
      <c r="AZ217" s="103"/>
    </row>
    <row r="218" spans="1:52" x14ac:dyDescent="0.2">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c r="AS218" s="103"/>
      <c r="AT218" s="103"/>
      <c r="AU218" s="103"/>
      <c r="AV218" s="103"/>
      <c r="AW218" s="103"/>
      <c r="AX218" s="103"/>
      <c r="AY218" s="103"/>
      <c r="AZ218" s="103"/>
    </row>
    <row r="219" spans="1:52" x14ac:dyDescent="0.2">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c r="AY219" s="103"/>
      <c r="AZ219" s="103"/>
    </row>
    <row r="220" spans="1:52" x14ac:dyDescent="0.2">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c r="AY220" s="103"/>
      <c r="AZ220" s="103"/>
    </row>
    <row r="221" spans="1:52" x14ac:dyDescent="0.2">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row>
    <row r="222" spans="1:52" x14ac:dyDescent="0.2">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c r="AY222" s="103"/>
      <c r="AZ222" s="103"/>
    </row>
    <row r="223" spans="1:52" x14ac:dyDescent="0.2">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c r="AS223" s="103"/>
      <c r="AT223" s="103"/>
      <c r="AU223" s="103"/>
      <c r="AV223" s="103"/>
      <c r="AW223" s="103"/>
      <c r="AX223" s="103"/>
      <c r="AY223" s="103"/>
      <c r="AZ223" s="103"/>
    </row>
    <row r="224" spans="1:52" x14ac:dyDescent="0.2">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c r="AR224" s="103"/>
      <c r="AS224" s="103"/>
      <c r="AT224" s="103"/>
      <c r="AU224" s="103"/>
      <c r="AV224" s="103"/>
      <c r="AW224" s="103"/>
      <c r="AX224" s="103"/>
      <c r="AY224" s="103"/>
      <c r="AZ224" s="103"/>
    </row>
    <row r="225" spans="1:52" x14ac:dyDescent="0.2">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c r="AR225" s="103"/>
      <c r="AS225" s="103"/>
      <c r="AT225" s="103"/>
      <c r="AU225" s="103"/>
      <c r="AV225" s="103"/>
      <c r="AW225" s="103"/>
      <c r="AX225" s="103"/>
      <c r="AY225" s="103"/>
      <c r="AZ225" s="103"/>
    </row>
    <row r="226" spans="1:52" x14ac:dyDescent="0.2">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c r="AS226" s="103"/>
      <c r="AT226" s="103"/>
      <c r="AU226" s="103"/>
      <c r="AV226" s="103"/>
      <c r="AW226" s="103"/>
      <c r="AX226" s="103"/>
      <c r="AY226" s="103"/>
      <c r="AZ226" s="103"/>
    </row>
    <row r="227" spans="1:52" x14ac:dyDescent="0.2">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c r="AS227" s="103"/>
      <c r="AT227" s="103"/>
      <c r="AU227" s="103"/>
      <c r="AV227" s="103"/>
      <c r="AW227" s="103"/>
      <c r="AX227" s="103"/>
      <c r="AY227" s="103"/>
      <c r="AZ227" s="103"/>
    </row>
    <row r="228" spans="1:52" x14ac:dyDescent="0.2">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row>
    <row r="229" spans="1:52" x14ac:dyDescent="0.2">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c r="AS229" s="103"/>
      <c r="AT229" s="103"/>
      <c r="AU229" s="103"/>
      <c r="AV229" s="103"/>
      <c r="AW229" s="103"/>
      <c r="AX229" s="103"/>
      <c r="AY229" s="103"/>
      <c r="AZ229" s="103"/>
    </row>
    <row r="230" spans="1:52" x14ac:dyDescent="0.2">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row>
    <row r="231" spans="1:52" x14ac:dyDescent="0.2">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c r="AS231" s="103"/>
      <c r="AT231" s="103"/>
      <c r="AU231" s="103"/>
      <c r="AV231" s="103"/>
      <c r="AW231" s="103"/>
      <c r="AX231" s="103"/>
      <c r="AY231" s="103"/>
      <c r="AZ231" s="103"/>
    </row>
    <row r="232" spans="1:52" x14ac:dyDescent="0.2">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c r="AS232" s="103"/>
      <c r="AT232" s="103"/>
      <c r="AU232" s="103"/>
      <c r="AV232" s="103"/>
      <c r="AW232" s="103"/>
      <c r="AX232" s="103"/>
      <c r="AY232" s="103"/>
      <c r="AZ232" s="103"/>
    </row>
    <row r="233" spans="1:52" x14ac:dyDescent="0.2">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c r="AS233" s="103"/>
      <c r="AT233" s="103"/>
      <c r="AU233" s="103"/>
      <c r="AV233" s="103"/>
      <c r="AW233" s="103"/>
      <c r="AX233" s="103"/>
      <c r="AY233" s="103"/>
      <c r="AZ233" s="103"/>
    </row>
    <row r="234" spans="1:52" x14ac:dyDescent="0.2">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c r="AS234" s="103"/>
      <c r="AT234" s="103"/>
      <c r="AU234" s="103"/>
      <c r="AV234" s="103"/>
      <c r="AW234" s="103"/>
      <c r="AX234" s="103"/>
      <c r="AY234" s="103"/>
      <c r="AZ234" s="103"/>
    </row>
    <row r="235" spans="1:52" x14ac:dyDescent="0.2">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row>
    <row r="236" spans="1:52" x14ac:dyDescent="0.2">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row>
    <row r="237" spans="1:52" x14ac:dyDescent="0.2">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c r="AU237" s="103"/>
      <c r="AV237" s="103"/>
      <c r="AW237" s="103"/>
      <c r="AX237" s="103"/>
      <c r="AY237" s="103"/>
      <c r="AZ237" s="103"/>
    </row>
    <row r="238" spans="1:52" x14ac:dyDescent="0.2">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row>
    <row r="239" spans="1:52" x14ac:dyDescent="0.2">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c r="AS239" s="103"/>
      <c r="AT239" s="103"/>
      <c r="AU239" s="103"/>
      <c r="AV239" s="103"/>
      <c r="AW239" s="103"/>
      <c r="AX239" s="103"/>
      <c r="AY239" s="103"/>
      <c r="AZ239" s="103"/>
    </row>
    <row r="240" spans="1:52" x14ac:dyDescent="0.2">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c r="AY240" s="103"/>
      <c r="AZ240" s="103"/>
    </row>
    <row r="241" spans="1:52" x14ac:dyDescent="0.2">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row>
    <row r="242" spans="1:52" x14ac:dyDescent="0.2">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c r="AY242" s="103"/>
      <c r="AZ242" s="103"/>
    </row>
    <row r="243" spans="1:52" x14ac:dyDescent="0.2">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c r="AS243" s="103"/>
      <c r="AT243" s="103"/>
      <c r="AU243" s="103"/>
      <c r="AV243" s="103"/>
      <c r="AW243" s="103"/>
      <c r="AX243" s="103"/>
      <c r="AY243" s="103"/>
      <c r="AZ243" s="103"/>
    </row>
    <row r="244" spans="1:52" x14ac:dyDescent="0.2">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3"/>
    </row>
    <row r="245" spans="1:52" x14ac:dyDescent="0.2">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c r="AQ245" s="103"/>
      <c r="AR245" s="103"/>
      <c r="AS245" s="103"/>
      <c r="AT245" s="103"/>
      <c r="AU245" s="103"/>
      <c r="AV245" s="103"/>
      <c r="AW245" s="103"/>
      <c r="AX245" s="103"/>
      <c r="AY245" s="103"/>
      <c r="AZ245" s="103"/>
    </row>
    <row r="246" spans="1:52" x14ac:dyDescent="0.2">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c r="AR246" s="103"/>
      <c r="AS246" s="103"/>
      <c r="AT246" s="103"/>
      <c r="AU246" s="103"/>
      <c r="AV246" s="103"/>
      <c r="AW246" s="103"/>
      <c r="AX246" s="103"/>
      <c r="AY246" s="103"/>
      <c r="AZ246" s="103"/>
    </row>
    <row r="247" spans="1:52" x14ac:dyDescent="0.2">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c r="AR247" s="103"/>
      <c r="AS247" s="103"/>
      <c r="AT247" s="103"/>
      <c r="AU247" s="103"/>
      <c r="AV247" s="103"/>
      <c r="AW247" s="103"/>
      <c r="AX247" s="103"/>
      <c r="AY247" s="103"/>
      <c r="AZ247" s="103"/>
    </row>
    <row r="248" spans="1:52" x14ac:dyDescent="0.2">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c r="AS248" s="103"/>
      <c r="AT248" s="103"/>
      <c r="AU248" s="103"/>
      <c r="AV248" s="103"/>
      <c r="AW248" s="103"/>
      <c r="AX248" s="103"/>
      <c r="AY248" s="103"/>
      <c r="AZ248" s="103"/>
    </row>
    <row r="249" spans="1:52" x14ac:dyDescent="0.2">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c r="AR249" s="103"/>
      <c r="AS249" s="103"/>
      <c r="AT249" s="103"/>
      <c r="AU249" s="103"/>
      <c r="AV249" s="103"/>
      <c r="AW249" s="103"/>
      <c r="AX249" s="103"/>
      <c r="AY249" s="103"/>
      <c r="AZ249" s="103"/>
    </row>
    <row r="250" spans="1:52" x14ac:dyDescent="0.2">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c r="AS250" s="103"/>
      <c r="AT250" s="103"/>
      <c r="AU250" s="103"/>
      <c r="AV250" s="103"/>
      <c r="AW250" s="103"/>
      <c r="AX250" s="103"/>
      <c r="AY250" s="103"/>
      <c r="AZ250" s="103"/>
    </row>
    <row r="251" spans="1:52" x14ac:dyDescent="0.2">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c r="AR251" s="103"/>
      <c r="AS251" s="103"/>
      <c r="AT251" s="103"/>
      <c r="AU251" s="103"/>
      <c r="AV251" s="103"/>
      <c r="AW251" s="103"/>
      <c r="AX251" s="103"/>
      <c r="AY251" s="103"/>
      <c r="AZ251" s="103"/>
    </row>
    <row r="252" spans="1:52" x14ac:dyDescent="0.2">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c r="AS252" s="103"/>
      <c r="AT252" s="103"/>
      <c r="AU252" s="103"/>
      <c r="AV252" s="103"/>
      <c r="AW252" s="103"/>
      <c r="AX252" s="103"/>
      <c r="AY252" s="103"/>
      <c r="AZ252" s="103"/>
    </row>
    <row r="253" spans="1:52" x14ac:dyDescent="0.2">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row>
    <row r="254" spans="1:52" x14ac:dyDescent="0.2">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row>
    <row r="255" spans="1:52" x14ac:dyDescent="0.2">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c r="AY255" s="103"/>
      <c r="AZ255" s="103"/>
    </row>
    <row r="256" spans="1:52" x14ac:dyDescent="0.2">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c r="AY256" s="103"/>
      <c r="AZ256" s="103"/>
    </row>
    <row r="257" spans="1:52" x14ac:dyDescent="0.2">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c r="AY257" s="103"/>
      <c r="AZ257" s="103"/>
    </row>
    <row r="258" spans="1:52" x14ac:dyDescent="0.2">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c r="AS258" s="103"/>
      <c r="AT258" s="103"/>
      <c r="AU258" s="103"/>
      <c r="AV258" s="103"/>
      <c r="AW258" s="103"/>
      <c r="AX258" s="103"/>
      <c r="AY258" s="103"/>
      <c r="AZ258" s="103"/>
    </row>
    <row r="259" spans="1:52" x14ac:dyDescent="0.2">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row>
    <row r="260" spans="1:52" x14ac:dyDescent="0.2">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c r="AS260" s="103"/>
      <c r="AT260" s="103"/>
      <c r="AU260" s="103"/>
      <c r="AV260" s="103"/>
      <c r="AW260" s="103"/>
      <c r="AX260" s="103"/>
      <c r="AY260" s="103"/>
      <c r="AZ260" s="103"/>
    </row>
    <row r="261" spans="1:52" x14ac:dyDescent="0.2">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3"/>
    </row>
    <row r="262" spans="1:52" x14ac:dyDescent="0.2">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row>
    <row r="263" spans="1:52" x14ac:dyDescent="0.2">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row>
    <row r="264" spans="1:52" x14ac:dyDescent="0.2">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row>
    <row r="265" spans="1:52" x14ac:dyDescent="0.2">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row>
    <row r="266" spans="1:52" x14ac:dyDescent="0.2">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row>
    <row r="267" spans="1:52" x14ac:dyDescent="0.2">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c r="AY267" s="103"/>
      <c r="AZ267" s="103"/>
    </row>
    <row r="268" spans="1:52" x14ac:dyDescent="0.2">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row>
    <row r="269" spans="1:52" x14ac:dyDescent="0.2">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row>
    <row r="270" spans="1:52" x14ac:dyDescent="0.2">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row>
    <row r="271" spans="1:52" x14ac:dyDescent="0.2">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row>
    <row r="272" spans="1:52" x14ac:dyDescent="0.2">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row>
    <row r="273" spans="1:52" x14ac:dyDescent="0.2">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c r="AY273" s="103"/>
      <c r="AZ273" s="103"/>
    </row>
    <row r="274" spans="1:52" x14ac:dyDescent="0.2">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c r="AY274" s="103"/>
      <c r="AZ274" s="103"/>
    </row>
    <row r="275" spans="1:52" x14ac:dyDescent="0.2">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c r="AY275" s="103"/>
      <c r="AZ275" s="103"/>
    </row>
    <row r="276" spans="1:52" x14ac:dyDescent="0.2">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c r="AU276" s="103"/>
      <c r="AV276" s="103"/>
      <c r="AW276" s="103"/>
      <c r="AX276" s="103"/>
      <c r="AY276" s="103"/>
      <c r="AZ276" s="103"/>
    </row>
    <row r="277" spans="1:52" x14ac:dyDescent="0.2">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row>
    <row r="278" spans="1:52" x14ac:dyDescent="0.2">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c r="AS278" s="103"/>
      <c r="AT278" s="103"/>
      <c r="AU278" s="103"/>
      <c r="AV278" s="103"/>
      <c r="AW278" s="103"/>
      <c r="AX278" s="103"/>
      <c r="AY278" s="103"/>
      <c r="AZ278" s="103"/>
    </row>
    <row r="279" spans="1:52" x14ac:dyDescent="0.2">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c r="AY279" s="103"/>
      <c r="AZ279" s="103"/>
    </row>
    <row r="280" spans="1:52" x14ac:dyDescent="0.2">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c r="AY280" s="103"/>
      <c r="AZ280" s="103"/>
    </row>
    <row r="281" spans="1:52" x14ac:dyDescent="0.2">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c r="AS281" s="103"/>
      <c r="AT281" s="103"/>
      <c r="AU281" s="103"/>
      <c r="AV281" s="103"/>
      <c r="AW281" s="103"/>
      <c r="AX281" s="103"/>
      <c r="AY281" s="103"/>
      <c r="AZ281" s="103"/>
    </row>
    <row r="282" spans="1:52" x14ac:dyDescent="0.2">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c r="AY282" s="103"/>
      <c r="AZ282" s="103"/>
    </row>
    <row r="283" spans="1:52" x14ac:dyDescent="0.2">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c r="AY283" s="103"/>
      <c r="AZ283" s="103"/>
    </row>
    <row r="284" spans="1:52" x14ac:dyDescent="0.2">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c r="AS284" s="103"/>
      <c r="AT284" s="103"/>
      <c r="AU284" s="103"/>
      <c r="AV284" s="103"/>
      <c r="AW284" s="103"/>
      <c r="AX284" s="103"/>
      <c r="AY284" s="103"/>
      <c r="AZ284" s="103"/>
    </row>
    <row r="285" spans="1:52" x14ac:dyDescent="0.2">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c r="AS285" s="103"/>
      <c r="AT285" s="103"/>
      <c r="AU285" s="103"/>
      <c r="AV285" s="103"/>
      <c r="AW285" s="103"/>
      <c r="AX285" s="103"/>
      <c r="AY285" s="103"/>
      <c r="AZ285" s="103"/>
    </row>
    <row r="286" spans="1:52" x14ac:dyDescent="0.2">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c r="AY286" s="103"/>
      <c r="AZ286" s="103"/>
    </row>
    <row r="287" spans="1:52" x14ac:dyDescent="0.2">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c r="AR287" s="103"/>
      <c r="AS287" s="103"/>
      <c r="AT287" s="103"/>
      <c r="AU287" s="103"/>
      <c r="AV287" s="103"/>
      <c r="AW287" s="103"/>
      <c r="AX287" s="103"/>
      <c r="AY287" s="103"/>
      <c r="AZ287" s="103"/>
    </row>
    <row r="288" spans="1:52" x14ac:dyDescent="0.2">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c r="AY288" s="103"/>
      <c r="AZ288" s="103"/>
    </row>
    <row r="289" spans="1:52" x14ac:dyDescent="0.2">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c r="AY289" s="103"/>
      <c r="AZ289" s="103"/>
    </row>
    <row r="290" spans="1:52" x14ac:dyDescent="0.2">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c r="AS290" s="103"/>
      <c r="AT290" s="103"/>
      <c r="AU290" s="103"/>
      <c r="AV290" s="103"/>
      <c r="AW290" s="103"/>
      <c r="AX290" s="103"/>
      <c r="AY290" s="103"/>
      <c r="AZ290" s="103"/>
    </row>
    <row r="291" spans="1:52" x14ac:dyDescent="0.2">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c r="AS291" s="103"/>
      <c r="AT291" s="103"/>
      <c r="AU291" s="103"/>
      <c r="AV291" s="103"/>
      <c r="AW291" s="103"/>
      <c r="AX291" s="103"/>
      <c r="AY291" s="103"/>
      <c r="AZ291" s="103"/>
    </row>
    <row r="292" spans="1:52" x14ac:dyDescent="0.2">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c r="AY292" s="103"/>
      <c r="AZ292" s="103"/>
    </row>
    <row r="293" spans="1:52" x14ac:dyDescent="0.2">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c r="AY293" s="103"/>
      <c r="AZ293" s="103"/>
    </row>
    <row r="294" spans="1:52" x14ac:dyDescent="0.2">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c r="AY294" s="103"/>
      <c r="AZ294" s="103"/>
    </row>
    <row r="295" spans="1:52" x14ac:dyDescent="0.2">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c r="AY295" s="103"/>
      <c r="AZ295" s="103"/>
    </row>
    <row r="296" spans="1:52" x14ac:dyDescent="0.2">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c r="AY296" s="103"/>
      <c r="AZ296" s="103"/>
    </row>
    <row r="297" spans="1:52" x14ac:dyDescent="0.2">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c r="AS297" s="103"/>
      <c r="AT297" s="103"/>
      <c r="AU297" s="103"/>
      <c r="AV297" s="103"/>
      <c r="AW297" s="103"/>
      <c r="AX297" s="103"/>
      <c r="AY297" s="103"/>
      <c r="AZ297" s="103"/>
    </row>
    <row r="298" spans="1:52" x14ac:dyDescent="0.2">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c r="AY298" s="103"/>
      <c r="AZ298" s="103"/>
    </row>
    <row r="299" spans="1:52" x14ac:dyDescent="0.2">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c r="AY299" s="103"/>
      <c r="AZ299" s="103"/>
    </row>
    <row r="300" spans="1:52" x14ac:dyDescent="0.2">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03"/>
      <c r="AZ300" s="103"/>
    </row>
    <row r="301" spans="1:52" x14ac:dyDescent="0.2">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c r="AY301" s="103"/>
      <c r="AZ301" s="103"/>
    </row>
    <row r="302" spans="1:52" x14ac:dyDescent="0.2">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03"/>
      <c r="AZ302" s="103"/>
    </row>
    <row r="303" spans="1:52" x14ac:dyDescent="0.2">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3"/>
      <c r="AL303" s="103"/>
      <c r="AM303" s="103"/>
      <c r="AN303" s="103"/>
      <c r="AO303" s="103"/>
      <c r="AP303" s="103"/>
      <c r="AQ303" s="103"/>
      <c r="AR303" s="103"/>
      <c r="AS303" s="103"/>
      <c r="AT303" s="103"/>
      <c r="AU303" s="103"/>
      <c r="AV303" s="103"/>
      <c r="AW303" s="103"/>
      <c r="AX303" s="103"/>
      <c r="AY303" s="103"/>
      <c r="AZ303" s="103"/>
    </row>
    <row r="304" spans="1:52" x14ac:dyDescent="0.2">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c r="AQ304" s="103"/>
      <c r="AR304" s="103"/>
      <c r="AS304" s="103"/>
      <c r="AT304" s="103"/>
      <c r="AU304" s="103"/>
      <c r="AV304" s="103"/>
      <c r="AW304" s="103"/>
      <c r="AX304" s="103"/>
      <c r="AY304" s="103"/>
      <c r="AZ304" s="103"/>
    </row>
    <row r="305" spans="1:52" x14ac:dyDescent="0.2">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c r="AY305" s="103"/>
      <c r="AZ305" s="103"/>
    </row>
    <row r="306" spans="1:52" x14ac:dyDescent="0.2">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c r="AY306" s="103"/>
      <c r="AZ306" s="103"/>
    </row>
    <row r="307" spans="1:52" x14ac:dyDescent="0.2">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c r="AY307" s="103"/>
      <c r="AZ307" s="103"/>
    </row>
    <row r="308" spans="1:52" x14ac:dyDescent="0.2">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c r="AY308" s="103"/>
      <c r="AZ308" s="103"/>
    </row>
    <row r="309" spans="1:52" x14ac:dyDescent="0.2">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c r="AY309" s="103"/>
      <c r="AZ309" s="103"/>
    </row>
    <row r="310" spans="1:52" x14ac:dyDescent="0.2">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c r="AY310" s="103"/>
      <c r="AZ310" s="103"/>
    </row>
    <row r="311" spans="1:52" x14ac:dyDescent="0.2">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c r="AY311" s="103"/>
      <c r="AZ311" s="103"/>
    </row>
    <row r="312" spans="1:52" x14ac:dyDescent="0.2">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c r="AY312" s="103"/>
      <c r="AZ312" s="103"/>
    </row>
    <row r="313" spans="1:52" x14ac:dyDescent="0.2">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c r="AY313" s="103"/>
      <c r="AZ313" s="103"/>
    </row>
    <row r="314" spans="1:52" x14ac:dyDescent="0.2">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c r="AY314" s="103"/>
      <c r="AZ314" s="103"/>
    </row>
    <row r="315" spans="1:52" x14ac:dyDescent="0.2">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c r="AY315" s="103"/>
      <c r="AZ315" s="103"/>
    </row>
    <row r="316" spans="1:52" x14ac:dyDescent="0.2">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c r="AY316" s="103"/>
      <c r="AZ316" s="103"/>
    </row>
    <row r="317" spans="1:52" x14ac:dyDescent="0.2">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c r="AY317" s="103"/>
      <c r="AZ317" s="103"/>
    </row>
    <row r="318" spans="1:52" x14ac:dyDescent="0.2">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c r="AY318" s="103"/>
      <c r="AZ318" s="103"/>
    </row>
    <row r="319" spans="1:52" x14ac:dyDescent="0.2">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03"/>
      <c r="AZ319" s="103"/>
    </row>
    <row r="320" spans="1:52" x14ac:dyDescent="0.2">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c r="AY320" s="103"/>
      <c r="AZ320" s="103"/>
    </row>
    <row r="321" spans="1:52" x14ac:dyDescent="0.2">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c r="AY321" s="103"/>
      <c r="AZ321" s="103"/>
    </row>
    <row r="322" spans="1:52" x14ac:dyDescent="0.2">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c r="AY322" s="103"/>
      <c r="AZ322" s="103"/>
    </row>
    <row r="323" spans="1:52" x14ac:dyDescent="0.2">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c r="AY323" s="103"/>
      <c r="AZ323" s="103"/>
    </row>
    <row r="324" spans="1:52" x14ac:dyDescent="0.2">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c r="AY324" s="103"/>
      <c r="AZ324" s="103"/>
    </row>
    <row r="325" spans="1:52" x14ac:dyDescent="0.2">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c r="AY325" s="103"/>
      <c r="AZ325" s="103"/>
    </row>
    <row r="326" spans="1:52" x14ac:dyDescent="0.2">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c r="AY326" s="103"/>
      <c r="AZ326" s="103"/>
    </row>
    <row r="327" spans="1:52" x14ac:dyDescent="0.2">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c r="AY327" s="103"/>
      <c r="AZ327" s="103"/>
    </row>
    <row r="328" spans="1:52" x14ac:dyDescent="0.2">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c r="AY328" s="103"/>
      <c r="AZ328" s="103"/>
    </row>
    <row r="329" spans="1:52" x14ac:dyDescent="0.2">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c r="AY329" s="103"/>
      <c r="AZ329" s="103"/>
    </row>
    <row r="330" spans="1:52" x14ac:dyDescent="0.2">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c r="AY330" s="103"/>
      <c r="AZ330" s="103"/>
    </row>
    <row r="331" spans="1:52" x14ac:dyDescent="0.2">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c r="AY331" s="103"/>
      <c r="AZ331" s="103"/>
    </row>
    <row r="332" spans="1:52" x14ac:dyDescent="0.2">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c r="AY332" s="103"/>
      <c r="AZ332" s="103"/>
    </row>
    <row r="333" spans="1:52" x14ac:dyDescent="0.2">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c r="AY333" s="103"/>
      <c r="AZ333" s="103"/>
    </row>
    <row r="334" spans="1:52" x14ac:dyDescent="0.2">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c r="AY334" s="103"/>
      <c r="AZ334" s="103"/>
    </row>
    <row r="335" spans="1:52" x14ac:dyDescent="0.2">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c r="AY335" s="103"/>
      <c r="AZ335" s="103"/>
    </row>
    <row r="336" spans="1:52" x14ac:dyDescent="0.2">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c r="AY336" s="103"/>
      <c r="AZ336" s="103"/>
    </row>
    <row r="337" spans="1:52" x14ac:dyDescent="0.2">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row>
    <row r="338" spans="1:52" x14ac:dyDescent="0.2">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c r="AY338" s="103"/>
      <c r="AZ338" s="103"/>
    </row>
    <row r="339" spans="1:52" x14ac:dyDescent="0.2">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c r="AY339" s="103"/>
      <c r="AZ339" s="103"/>
    </row>
    <row r="340" spans="1:52" x14ac:dyDescent="0.2">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c r="AY340" s="103"/>
      <c r="AZ340" s="103"/>
    </row>
    <row r="341" spans="1:52" x14ac:dyDescent="0.2">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c r="AY341" s="103"/>
      <c r="AZ341" s="103"/>
    </row>
    <row r="342" spans="1:52" x14ac:dyDescent="0.2">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c r="AY342" s="103"/>
      <c r="AZ342" s="103"/>
    </row>
    <row r="343" spans="1:52" x14ac:dyDescent="0.2">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c r="AY343" s="103"/>
      <c r="AZ343" s="103"/>
    </row>
    <row r="344" spans="1:52" x14ac:dyDescent="0.2">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c r="AY344" s="103"/>
      <c r="AZ344" s="103"/>
    </row>
    <row r="345" spans="1:52" x14ac:dyDescent="0.2">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c r="AY345" s="103"/>
      <c r="AZ345" s="103"/>
    </row>
    <row r="346" spans="1:52" x14ac:dyDescent="0.2">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c r="AY346" s="103"/>
      <c r="AZ346" s="103"/>
    </row>
    <row r="347" spans="1:52" x14ac:dyDescent="0.2">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c r="AY347" s="103"/>
      <c r="AZ347" s="103"/>
    </row>
    <row r="348" spans="1:52" x14ac:dyDescent="0.2">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c r="AY348" s="103"/>
      <c r="AZ348" s="103"/>
    </row>
    <row r="349" spans="1:52" x14ac:dyDescent="0.2">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c r="AY349" s="103"/>
      <c r="AZ349" s="103"/>
    </row>
    <row r="350" spans="1:52" x14ac:dyDescent="0.2">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c r="AY350" s="103"/>
      <c r="AZ350" s="103"/>
    </row>
    <row r="351" spans="1:52" x14ac:dyDescent="0.2">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c r="AY351" s="103"/>
      <c r="AZ351" s="103"/>
    </row>
    <row r="352" spans="1:52" x14ac:dyDescent="0.2">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c r="AY352" s="103"/>
      <c r="AZ352" s="103"/>
    </row>
    <row r="353" spans="1:52" x14ac:dyDescent="0.2">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c r="AY353" s="103"/>
      <c r="AZ353" s="103"/>
    </row>
    <row r="354" spans="1:52" x14ac:dyDescent="0.2">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c r="AY354" s="103"/>
      <c r="AZ354" s="103"/>
    </row>
    <row r="355" spans="1:52" x14ac:dyDescent="0.2">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c r="AY355" s="103"/>
      <c r="AZ355" s="103"/>
    </row>
    <row r="356" spans="1:52" x14ac:dyDescent="0.2">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c r="AY356" s="103"/>
      <c r="AZ356" s="103"/>
    </row>
    <row r="357" spans="1:52" x14ac:dyDescent="0.2">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c r="AY357" s="103"/>
      <c r="AZ357" s="103"/>
    </row>
    <row r="358" spans="1:52" x14ac:dyDescent="0.2">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c r="AY358" s="103"/>
      <c r="AZ358" s="103"/>
    </row>
    <row r="359" spans="1:52" x14ac:dyDescent="0.2">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c r="AY359" s="103"/>
      <c r="AZ359" s="103"/>
    </row>
    <row r="360" spans="1:52" x14ac:dyDescent="0.2">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c r="AY360" s="103"/>
      <c r="AZ360" s="103"/>
    </row>
    <row r="361" spans="1:52" x14ac:dyDescent="0.2">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c r="AY361" s="103"/>
      <c r="AZ361" s="103"/>
    </row>
    <row r="362" spans="1:52" x14ac:dyDescent="0.2">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c r="AY362" s="103"/>
      <c r="AZ362" s="103"/>
    </row>
    <row r="363" spans="1:52" x14ac:dyDescent="0.2">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c r="AY363" s="103"/>
      <c r="AZ363" s="103"/>
    </row>
    <row r="364" spans="1:52" x14ac:dyDescent="0.2">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c r="AY364" s="103"/>
      <c r="AZ364" s="103"/>
    </row>
    <row r="365" spans="1:52" x14ac:dyDescent="0.2">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c r="AY365" s="103"/>
      <c r="AZ365" s="103"/>
    </row>
    <row r="366" spans="1:52" x14ac:dyDescent="0.2">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c r="AY366" s="103"/>
      <c r="AZ366" s="103"/>
    </row>
    <row r="367" spans="1:52" x14ac:dyDescent="0.2">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c r="AY367" s="103"/>
      <c r="AZ367" s="103"/>
    </row>
    <row r="368" spans="1:52" x14ac:dyDescent="0.2">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c r="AY368" s="103"/>
      <c r="AZ368" s="103"/>
    </row>
    <row r="369" spans="1:52" x14ac:dyDescent="0.2">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c r="AY369" s="103"/>
      <c r="AZ369" s="103"/>
    </row>
    <row r="370" spans="1:52" x14ac:dyDescent="0.2">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c r="AY370" s="103"/>
      <c r="AZ370" s="103"/>
    </row>
    <row r="371" spans="1:52" x14ac:dyDescent="0.2">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c r="AY371" s="103"/>
      <c r="AZ371" s="103"/>
    </row>
    <row r="372" spans="1:52" x14ac:dyDescent="0.2">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c r="AY372" s="103"/>
      <c r="AZ372" s="103"/>
    </row>
    <row r="373" spans="1:52" x14ac:dyDescent="0.2">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c r="AY373" s="103"/>
      <c r="AZ373" s="103"/>
    </row>
    <row r="374" spans="1:52" x14ac:dyDescent="0.2">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c r="AY374" s="103"/>
      <c r="AZ374" s="103"/>
    </row>
    <row r="375" spans="1:52" x14ac:dyDescent="0.2">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c r="AY375" s="103"/>
      <c r="AZ375" s="103"/>
    </row>
    <row r="376" spans="1:52" x14ac:dyDescent="0.2">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c r="AY376" s="103"/>
      <c r="AZ376" s="103"/>
    </row>
    <row r="377" spans="1:52" x14ac:dyDescent="0.2">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c r="AY377" s="103"/>
      <c r="AZ377" s="103"/>
    </row>
    <row r="378" spans="1:52" x14ac:dyDescent="0.2">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c r="AY378" s="103"/>
      <c r="AZ378" s="103"/>
    </row>
    <row r="379" spans="1:52" x14ac:dyDescent="0.2">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c r="AY379" s="103"/>
      <c r="AZ379" s="103"/>
    </row>
    <row r="380" spans="1:52" x14ac:dyDescent="0.2">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c r="AS380" s="103"/>
      <c r="AT380" s="103"/>
      <c r="AU380" s="103"/>
      <c r="AV380" s="103"/>
      <c r="AW380" s="103"/>
      <c r="AX380" s="103"/>
      <c r="AY380" s="103"/>
      <c r="AZ380" s="103"/>
    </row>
    <row r="381" spans="1:52" x14ac:dyDescent="0.2">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c r="AY381" s="103"/>
      <c r="AZ381" s="103"/>
    </row>
    <row r="382" spans="1:52" x14ac:dyDescent="0.2">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c r="AY382" s="103"/>
      <c r="AZ382" s="103"/>
    </row>
    <row r="383" spans="1:52" x14ac:dyDescent="0.2">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c r="AY383" s="103"/>
      <c r="AZ383" s="103"/>
    </row>
    <row r="384" spans="1:52" x14ac:dyDescent="0.2">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c r="AR384" s="103"/>
      <c r="AS384" s="103"/>
      <c r="AT384" s="103"/>
      <c r="AU384" s="103"/>
      <c r="AV384" s="103"/>
      <c r="AW384" s="103"/>
      <c r="AX384" s="103"/>
      <c r="AY384" s="103"/>
      <c r="AZ384" s="103"/>
    </row>
    <row r="385" spans="1:52" x14ac:dyDescent="0.2">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c r="AY385" s="103"/>
      <c r="AZ385" s="103"/>
    </row>
    <row r="386" spans="1:52" x14ac:dyDescent="0.2">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c r="AY386" s="103"/>
      <c r="AZ386" s="103"/>
    </row>
    <row r="387" spans="1:52" x14ac:dyDescent="0.2">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c r="AY387" s="103"/>
      <c r="AZ387" s="103"/>
    </row>
    <row r="388" spans="1:52" x14ac:dyDescent="0.2">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c r="AR388" s="103"/>
      <c r="AS388" s="103"/>
      <c r="AT388" s="103"/>
      <c r="AU388" s="103"/>
      <c r="AV388" s="103"/>
      <c r="AW388" s="103"/>
      <c r="AX388" s="103"/>
      <c r="AY388" s="103"/>
      <c r="AZ388" s="103"/>
    </row>
    <row r="389" spans="1:52" x14ac:dyDescent="0.2">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c r="AR389" s="103"/>
      <c r="AS389" s="103"/>
      <c r="AT389" s="103"/>
      <c r="AU389" s="103"/>
      <c r="AV389" s="103"/>
      <c r="AW389" s="103"/>
      <c r="AX389" s="103"/>
      <c r="AY389" s="103"/>
      <c r="AZ389" s="103"/>
    </row>
    <row r="390" spans="1:52" x14ac:dyDescent="0.2">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c r="AY390" s="103"/>
      <c r="AZ390" s="103"/>
    </row>
    <row r="391" spans="1:52" x14ac:dyDescent="0.2">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c r="AY391" s="103"/>
      <c r="AZ391" s="103"/>
    </row>
    <row r="392" spans="1:52" x14ac:dyDescent="0.2">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c r="AY392" s="103"/>
      <c r="AZ392" s="103"/>
    </row>
    <row r="393" spans="1:52" x14ac:dyDescent="0.2">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c r="AY393" s="103"/>
      <c r="AZ393" s="103"/>
    </row>
    <row r="394" spans="1:52" x14ac:dyDescent="0.2">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3"/>
      <c r="AL394" s="103"/>
      <c r="AM394" s="103"/>
      <c r="AN394" s="103"/>
      <c r="AO394" s="103"/>
      <c r="AP394" s="103"/>
      <c r="AQ394" s="103"/>
      <c r="AR394" s="103"/>
      <c r="AS394" s="103"/>
      <c r="AT394" s="103"/>
      <c r="AU394" s="103"/>
      <c r="AV394" s="103"/>
      <c r="AW394" s="103"/>
      <c r="AX394" s="103"/>
      <c r="AY394" s="103"/>
      <c r="AZ394" s="103"/>
    </row>
    <row r="395" spans="1:52" x14ac:dyDescent="0.2">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c r="AI395" s="103"/>
      <c r="AJ395" s="103"/>
      <c r="AK395" s="103"/>
      <c r="AL395" s="103"/>
      <c r="AM395" s="103"/>
      <c r="AN395" s="103"/>
      <c r="AO395" s="103"/>
      <c r="AP395" s="103"/>
      <c r="AQ395" s="103"/>
      <c r="AR395" s="103"/>
      <c r="AS395" s="103"/>
      <c r="AT395" s="103"/>
      <c r="AU395" s="103"/>
      <c r="AV395" s="103"/>
      <c r="AW395" s="103"/>
      <c r="AX395" s="103"/>
      <c r="AY395" s="103"/>
      <c r="AZ395" s="103"/>
    </row>
    <row r="396" spans="1:52" x14ac:dyDescent="0.2">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3"/>
      <c r="AL396" s="103"/>
      <c r="AM396" s="103"/>
      <c r="AN396" s="103"/>
      <c r="AO396" s="103"/>
      <c r="AP396" s="103"/>
      <c r="AQ396" s="103"/>
      <c r="AR396" s="103"/>
      <c r="AS396" s="103"/>
      <c r="AT396" s="103"/>
      <c r="AU396" s="103"/>
      <c r="AV396" s="103"/>
      <c r="AW396" s="103"/>
      <c r="AX396" s="103"/>
      <c r="AY396" s="103"/>
      <c r="AZ396" s="103"/>
    </row>
    <row r="397" spans="1:52" x14ac:dyDescent="0.2">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c r="AI397" s="103"/>
      <c r="AJ397" s="103"/>
      <c r="AK397" s="103"/>
      <c r="AL397" s="103"/>
      <c r="AM397" s="103"/>
      <c r="AN397" s="103"/>
      <c r="AO397" s="103"/>
      <c r="AP397" s="103"/>
      <c r="AQ397" s="103"/>
      <c r="AR397" s="103"/>
      <c r="AS397" s="103"/>
      <c r="AT397" s="103"/>
      <c r="AU397" s="103"/>
      <c r="AV397" s="103"/>
      <c r="AW397" s="103"/>
      <c r="AX397" s="103"/>
      <c r="AY397" s="103"/>
      <c r="AZ397" s="103"/>
    </row>
    <row r="398" spans="1:52" x14ac:dyDescent="0.2">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3"/>
      <c r="AB398" s="103"/>
      <c r="AC398" s="103"/>
      <c r="AD398" s="103"/>
      <c r="AE398" s="103"/>
      <c r="AF398" s="103"/>
      <c r="AG398" s="103"/>
      <c r="AH398" s="103"/>
      <c r="AI398" s="103"/>
      <c r="AJ398" s="103"/>
      <c r="AK398" s="103"/>
      <c r="AL398" s="103"/>
      <c r="AM398" s="103"/>
      <c r="AN398" s="103"/>
      <c r="AO398" s="103"/>
      <c r="AP398" s="103"/>
      <c r="AQ398" s="103"/>
      <c r="AR398" s="103"/>
      <c r="AS398" s="103"/>
      <c r="AT398" s="103"/>
      <c r="AU398" s="103"/>
      <c r="AV398" s="103"/>
      <c r="AW398" s="103"/>
      <c r="AX398" s="103"/>
      <c r="AY398" s="103"/>
      <c r="AZ398" s="103"/>
    </row>
    <row r="399" spans="1:52" x14ac:dyDescent="0.2">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3"/>
      <c r="AB399" s="103"/>
      <c r="AC399" s="103"/>
      <c r="AD399" s="103"/>
      <c r="AE399" s="103"/>
      <c r="AF399" s="103"/>
      <c r="AG399" s="103"/>
      <c r="AH399" s="103"/>
      <c r="AI399" s="103"/>
      <c r="AJ399" s="103"/>
      <c r="AK399" s="103"/>
      <c r="AL399" s="103"/>
      <c r="AM399" s="103"/>
      <c r="AN399" s="103"/>
      <c r="AO399" s="103"/>
      <c r="AP399" s="103"/>
      <c r="AQ399" s="103"/>
      <c r="AR399" s="103"/>
      <c r="AS399" s="103"/>
      <c r="AT399" s="103"/>
      <c r="AU399" s="103"/>
      <c r="AV399" s="103"/>
      <c r="AW399" s="103"/>
      <c r="AX399" s="103"/>
      <c r="AY399" s="103"/>
      <c r="AZ399" s="103"/>
    </row>
    <row r="400" spans="1:52" x14ac:dyDescent="0.2">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3"/>
      <c r="AB400" s="103"/>
      <c r="AC400" s="103"/>
      <c r="AD400" s="103"/>
      <c r="AE400" s="103"/>
      <c r="AF400" s="103"/>
      <c r="AG400" s="103"/>
      <c r="AH400" s="103"/>
      <c r="AI400" s="103"/>
      <c r="AJ400" s="103"/>
      <c r="AK400" s="103"/>
      <c r="AL400" s="103"/>
      <c r="AM400" s="103"/>
      <c r="AN400" s="103"/>
      <c r="AO400" s="103"/>
      <c r="AP400" s="103"/>
      <c r="AQ400" s="103"/>
      <c r="AR400" s="103"/>
      <c r="AS400" s="103"/>
      <c r="AT400" s="103"/>
      <c r="AU400" s="103"/>
      <c r="AV400" s="103"/>
      <c r="AW400" s="103"/>
      <c r="AX400" s="103"/>
      <c r="AY400" s="103"/>
      <c r="AZ400" s="103"/>
    </row>
    <row r="401" spans="1:52" x14ac:dyDescent="0.2">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3"/>
      <c r="AL401" s="103"/>
      <c r="AM401" s="103"/>
      <c r="AN401" s="103"/>
      <c r="AO401" s="103"/>
      <c r="AP401" s="103"/>
      <c r="AQ401" s="103"/>
      <c r="AR401" s="103"/>
      <c r="AS401" s="103"/>
      <c r="AT401" s="103"/>
      <c r="AU401" s="103"/>
      <c r="AV401" s="103"/>
      <c r="AW401" s="103"/>
      <c r="AX401" s="103"/>
      <c r="AY401" s="103"/>
      <c r="AZ401" s="103"/>
    </row>
    <row r="402" spans="1:52" x14ac:dyDescent="0.2">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3"/>
      <c r="AL402" s="103"/>
      <c r="AM402" s="103"/>
      <c r="AN402" s="103"/>
      <c r="AO402" s="103"/>
      <c r="AP402" s="103"/>
      <c r="AQ402" s="103"/>
      <c r="AR402" s="103"/>
      <c r="AS402" s="103"/>
      <c r="AT402" s="103"/>
      <c r="AU402" s="103"/>
      <c r="AV402" s="103"/>
      <c r="AW402" s="103"/>
      <c r="AX402" s="103"/>
      <c r="AY402" s="103"/>
      <c r="AZ402" s="103"/>
    </row>
    <row r="403" spans="1:52" x14ac:dyDescent="0.2">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3"/>
      <c r="AL403" s="103"/>
      <c r="AM403" s="103"/>
      <c r="AN403" s="103"/>
      <c r="AO403" s="103"/>
      <c r="AP403" s="103"/>
      <c r="AQ403" s="103"/>
      <c r="AR403" s="103"/>
      <c r="AS403" s="103"/>
      <c r="AT403" s="103"/>
      <c r="AU403" s="103"/>
      <c r="AV403" s="103"/>
      <c r="AW403" s="103"/>
      <c r="AX403" s="103"/>
      <c r="AY403" s="103"/>
      <c r="AZ403" s="103"/>
    </row>
    <row r="404" spans="1:52" x14ac:dyDescent="0.2">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3"/>
      <c r="AL404" s="103"/>
      <c r="AM404" s="103"/>
      <c r="AN404" s="103"/>
      <c r="AO404" s="103"/>
      <c r="AP404" s="103"/>
      <c r="AQ404" s="103"/>
      <c r="AR404" s="103"/>
      <c r="AS404" s="103"/>
      <c r="AT404" s="103"/>
      <c r="AU404" s="103"/>
      <c r="AV404" s="103"/>
      <c r="AW404" s="103"/>
      <c r="AX404" s="103"/>
      <c r="AY404" s="103"/>
      <c r="AZ404" s="103"/>
    </row>
    <row r="405" spans="1:52" x14ac:dyDescent="0.2">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c r="AI405" s="103"/>
      <c r="AJ405" s="103"/>
      <c r="AK405" s="103"/>
      <c r="AL405" s="103"/>
      <c r="AM405" s="103"/>
      <c r="AN405" s="103"/>
      <c r="AO405" s="103"/>
      <c r="AP405" s="103"/>
      <c r="AQ405" s="103"/>
      <c r="AR405" s="103"/>
      <c r="AS405" s="103"/>
      <c r="AT405" s="103"/>
      <c r="AU405" s="103"/>
      <c r="AV405" s="103"/>
      <c r="AW405" s="103"/>
      <c r="AX405" s="103"/>
      <c r="AY405" s="103"/>
      <c r="AZ405" s="103"/>
    </row>
    <row r="406" spans="1:52" x14ac:dyDescent="0.2">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c r="AI406" s="103"/>
      <c r="AJ406" s="103"/>
      <c r="AK406" s="103"/>
      <c r="AL406" s="103"/>
      <c r="AM406" s="103"/>
      <c r="AN406" s="103"/>
      <c r="AO406" s="103"/>
      <c r="AP406" s="103"/>
      <c r="AQ406" s="103"/>
      <c r="AR406" s="103"/>
      <c r="AS406" s="103"/>
      <c r="AT406" s="103"/>
      <c r="AU406" s="103"/>
      <c r="AV406" s="103"/>
      <c r="AW406" s="103"/>
      <c r="AX406" s="103"/>
      <c r="AY406" s="103"/>
      <c r="AZ406" s="103"/>
    </row>
    <row r="407" spans="1:52" x14ac:dyDescent="0.2">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c r="AI407" s="103"/>
      <c r="AJ407" s="103"/>
      <c r="AK407" s="103"/>
      <c r="AL407" s="103"/>
      <c r="AM407" s="103"/>
      <c r="AN407" s="103"/>
      <c r="AO407" s="103"/>
      <c r="AP407" s="103"/>
      <c r="AQ407" s="103"/>
      <c r="AR407" s="103"/>
      <c r="AS407" s="103"/>
      <c r="AT407" s="103"/>
      <c r="AU407" s="103"/>
      <c r="AV407" s="103"/>
      <c r="AW407" s="103"/>
      <c r="AX407" s="103"/>
      <c r="AY407" s="103"/>
      <c r="AZ407" s="103"/>
    </row>
    <row r="408" spans="1:52" x14ac:dyDescent="0.2">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3"/>
      <c r="AK408" s="103"/>
      <c r="AL408" s="103"/>
      <c r="AM408" s="103"/>
      <c r="AN408" s="103"/>
      <c r="AO408" s="103"/>
      <c r="AP408" s="103"/>
      <c r="AQ408" s="103"/>
      <c r="AR408" s="103"/>
      <c r="AS408" s="103"/>
      <c r="AT408" s="103"/>
      <c r="AU408" s="103"/>
      <c r="AV408" s="103"/>
      <c r="AW408" s="103"/>
      <c r="AX408" s="103"/>
      <c r="AY408" s="103"/>
      <c r="AZ408" s="103"/>
    </row>
    <row r="409" spans="1:52" x14ac:dyDescent="0.2">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3"/>
      <c r="AL409" s="103"/>
      <c r="AM409" s="103"/>
      <c r="AN409" s="103"/>
      <c r="AO409" s="103"/>
      <c r="AP409" s="103"/>
      <c r="AQ409" s="103"/>
      <c r="AR409" s="103"/>
      <c r="AS409" s="103"/>
      <c r="AT409" s="103"/>
      <c r="AU409" s="103"/>
      <c r="AV409" s="103"/>
      <c r="AW409" s="103"/>
      <c r="AX409" s="103"/>
      <c r="AY409" s="103"/>
      <c r="AZ409" s="103"/>
    </row>
    <row r="410" spans="1:52" x14ac:dyDescent="0.2">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c r="AI410" s="103"/>
      <c r="AJ410" s="103"/>
      <c r="AK410" s="103"/>
      <c r="AL410" s="103"/>
      <c r="AM410" s="103"/>
      <c r="AN410" s="103"/>
      <c r="AO410" s="103"/>
      <c r="AP410" s="103"/>
      <c r="AQ410" s="103"/>
      <c r="AR410" s="103"/>
      <c r="AS410" s="103"/>
      <c r="AT410" s="103"/>
      <c r="AU410" s="103"/>
      <c r="AV410" s="103"/>
      <c r="AW410" s="103"/>
      <c r="AX410" s="103"/>
      <c r="AY410" s="103"/>
      <c r="AZ410" s="103"/>
    </row>
    <row r="411" spans="1:52" x14ac:dyDescent="0.2">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c r="AI411" s="103"/>
      <c r="AJ411" s="103"/>
      <c r="AK411" s="103"/>
      <c r="AL411" s="103"/>
      <c r="AM411" s="103"/>
      <c r="AN411" s="103"/>
      <c r="AO411" s="103"/>
      <c r="AP411" s="103"/>
      <c r="AQ411" s="103"/>
      <c r="AR411" s="103"/>
      <c r="AS411" s="103"/>
      <c r="AT411" s="103"/>
      <c r="AU411" s="103"/>
      <c r="AV411" s="103"/>
      <c r="AW411" s="103"/>
      <c r="AX411" s="103"/>
      <c r="AY411" s="103"/>
      <c r="AZ411" s="103"/>
    </row>
    <row r="412" spans="1:52" x14ac:dyDescent="0.2">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3"/>
      <c r="AL412" s="103"/>
      <c r="AM412" s="103"/>
      <c r="AN412" s="103"/>
      <c r="AO412" s="103"/>
      <c r="AP412" s="103"/>
      <c r="AQ412" s="103"/>
      <c r="AR412" s="103"/>
      <c r="AS412" s="103"/>
      <c r="AT412" s="103"/>
      <c r="AU412" s="103"/>
      <c r="AV412" s="103"/>
      <c r="AW412" s="103"/>
      <c r="AX412" s="103"/>
      <c r="AY412" s="103"/>
      <c r="AZ412" s="103"/>
    </row>
    <row r="413" spans="1:52" x14ac:dyDescent="0.2">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3"/>
      <c r="AL413" s="103"/>
      <c r="AM413" s="103"/>
      <c r="AN413" s="103"/>
      <c r="AO413" s="103"/>
      <c r="AP413" s="103"/>
      <c r="AQ413" s="103"/>
      <c r="AR413" s="103"/>
      <c r="AS413" s="103"/>
      <c r="AT413" s="103"/>
      <c r="AU413" s="103"/>
      <c r="AV413" s="103"/>
      <c r="AW413" s="103"/>
      <c r="AX413" s="103"/>
      <c r="AY413" s="103"/>
      <c r="AZ413" s="103"/>
    </row>
    <row r="414" spans="1:52" x14ac:dyDescent="0.2">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c r="AI414" s="103"/>
      <c r="AJ414" s="103"/>
      <c r="AK414" s="103"/>
      <c r="AL414" s="103"/>
      <c r="AM414" s="103"/>
      <c r="AN414" s="103"/>
      <c r="AO414" s="103"/>
      <c r="AP414" s="103"/>
      <c r="AQ414" s="103"/>
      <c r="AR414" s="103"/>
      <c r="AS414" s="103"/>
      <c r="AT414" s="103"/>
      <c r="AU414" s="103"/>
      <c r="AV414" s="103"/>
      <c r="AW414" s="103"/>
      <c r="AX414" s="103"/>
      <c r="AY414" s="103"/>
      <c r="AZ414" s="103"/>
    </row>
    <row r="415" spans="1:52" x14ac:dyDescent="0.2">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3"/>
      <c r="AL415" s="103"/>
      <c r="AM415" s="103"/>
      <c r="AN415" s="103"/>
      <c r="AO415" s="103"/>
      <c r="AP415" s="103"/>
      <c r="AQ415" s="103"/>
      <c r="AR415" s="103"/>
      <c r="AS415" s="103"/>
      <c r="AT415" s="103"/>
      <c r="AU415" s="103"/>
      <c r="AV415" s="103"/>
      <c r="AW415" s="103"/>
      <c r="AX415" s="103"/>
      <c r="AY415" s="103"/>
      <c r="AZ415" s="103"/>
    </row>
    <row r="416" spans="1:52" x14ac:dyDescent="0.2">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3"/>
      <c r="AL416" s="103"/>
      <c r="AM416" s="103"/>
      <c r="AN416" s="103"/>
      <c r="AO416" s="103"/>
      <c r="AP416" s="103"/>
      <c r="AQ416" s="103"/>
      <c r="AR416" s="103"/>
      <c r="AS416" s="103"/>
      <c r="AT416" s="103"/>
      <c r="AU416" s="103"/>
      <c r="AV416" s="103"/>
      <c r="AW416" s="103"/>
      <c r="AX416" s="103"/>
      <c r="AY416" s="103"/>
      <c r="AZ416" s="103"/>
    </row>
    <row r="417" spans="1:52" x14ac:dyDescent="0.2">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c r="AI417" s="103"/>
      <c r="AJ417" s="103"/>
      <c r="AK417" s="103"/>
      <c r="AL417" s="103"/>
      <c r="AM417" s="103"/>
      <c r="AN417" s="103"/>
      <c r="AO417" s="103"/>
      <c r="AP417" s="103"/>
      <c r="AQ417" s="103"/>
      <c r="AR417" s="103"/>
      <c r="AS417" s="103"/>
      <c r="AT417" s="103"/>
      <c r="AU417" s="103"/>
      <c r="AV417" s="103"/>
      <c r="AW417" s="103"/>
      <c r="AX417" s="103"/>
      <c r="AY417" s="103"/>
      <c r="AZ417" s="103"/>
    </row>
    <row r="418" spans="1:52" x14ac:dyDescent="0.2">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c r="AI418" s="103"/>
      <c r="AJ418" s="103"/>
      <c r="AK418" s="103"/>
      <c r="AL418" s="103"/>
      <c r="AM418" s="103"/>
      <c r="AN418" s="103"/>
      <c r="AO418" s="103"/>
      <c r="AP418" s="103"/>
      <c r="AQ418" s="103"/>
      <c r="AR418" s="103"/>
      <c r="AS418" s="103"/>
      <c r="AT418" s="103"/>
      <c r="AU418" s="103"/>
      <c r="AV418" s="103"/>
      <c r="AW418" s="103"/>
      <c r="AX418" s="103"/>
      <c r="AY418" s="103"/>
      <c r="AZ418" s="103"/>
    </row>
    <row r="419" spans="1:52" x14ac:dyDescent="0.2">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c r="AI419" s="103"/>
      <c r="AJ419" s="103"/>
      <c r="AK419" s="103"/>
      <c r="AL419" s="103"/>
      <c r="AM419" s="103"/>
      <c r="AN419" s="103"/>
      <c r="AO419" s="103"/>
      <c r="AP419" s="103"/>
      <c r="AQ419" s="103"/>
      <c r="AR419" s="103"/>
      <c r="AS419" s="103"/>
      <c r="AT419" s="103"/>
      <c r="AU419" s="103"/>
      <c r="AV419" s="103"/>
      <c r="AW419" s="103"/>
      <c r="AX419" s="103"/>
      <c r="AY419" s="103"/>
      <c r="AZ419" s="103"/>
    </row>
    <row r="420" spans="1:52" x14ac:dyDescent="0.2">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c r="AI420" s="103"/>
      <c r="AJ420" s="103"/>
      <c r="AK420" s="103"/>
      <c r="AL420" s="103"/>
      <c r="AM420" s="103"/>
      <c r="AN420" s="103"/>
      <c r="AO420" s="103"/>
      <c r="AP420" s="103"/>
      <c r="AQ420" s="103"/>
      <c r="AR420" s="103"/>
      <c r="AS420" s="103"/>
      <c r="AT420" s="103"/>
      <c r="AU420" s="103"/>
      <c r="AV420" s="103"/>
      <c r="AW420" s="103"/>
      <c r="AX420" s="103"/>
      <c r="AY420" s="103"/>
      <c r="AZ420" s="103"/>
    </row>
    <row r="421" spans="1:52" x14ac:dyDescent="0.2">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c r="AI421" s="103"/>
      <c r="AJ421" s="103"/>
      <c r="AK421" s="103"/>
      <c r="AL421" s="103"/>
      <c r="AM421" s="103"/>
      <c r="AN421" s="103"/>
      <c r="AO421" s="103"/>
      <c r="AP421" s="103"/>
      <c r="AQ421" s="103"/>
      <c r="AR421" s="103"/>
      <c r="AS421" s="103"/>
      <c r="AT421" s="103"/>
      <c r="AU421" s="103"/>
      <c r="AV421" s="103"/>
      <c r="AW421" s="103"/>
      <c r="AX421" s="103"/>
      <c r="AY421" s="103"/>
      <c r="AZ421" s="103"/>
    </row>
    <row r="422" spans="1:52" x14ac:dyDescent="0.2">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c r="AI422" s="103"/>
      <c r="AJ422" s="103"/>
      <c r="AK422" s="103"/>
      <c r="AL422" s="103"/>
      <c r="AM422" s="103"/>
      <c r="AN422" s="103"/>
      <c r="AO422" s="103"/>
      <c r="AP422" s="103"/>
      <c r="AQ422" s="103"/>
      <c r="AR422" s="103"/>
      <c r="AS422" s="103"/>
      <c r="AT422" s="103"/>
      <c r="AU422" s="103"/>
      <c r="AV422" s="103"/>
      <c r="AW422" s="103"/>
      <c r="AX422" s="103"/>
      <c r="AY422" s="103"/>
      <c r="AZ422" s="103"/>
    </row>
    <row r="423" spans="1:52" x14ac:dyDescent="0.2">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c r="AI423" s="103"/>
      <c r="AJ423" s="103"/>
      <c r="AK423" s="103"/>
      <c r="AL423" s="103"/>
      <c r="AM423" s="103"/>
      <c r="AN423" s="103"/>
      <c r="AO423" s="103"/>
      <c r="AP423" s="103"/>
      <c r="AQ423" s="103"/>
      <c r="AR423" s="103"/>
      <c r="AS423" s="103"/>
      <c r="AT423" s="103"/>
      <c r="AU423" s="103"/>
      <c r="AV423" s="103"/>
      <c r="AW423" s="103"/>
      <c r="AX423" s="103"/>
      <c r="AY423" s="103"/>
      <c r="AZ423" s="103"/>
    </row>
    <row r="424" spans="1:52" x14ac:dyDescent="0.2">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c r="AI424" s="103"/>
      <c r="AJ424" s="103"/>
      <c r="AK424" s="103"/>
      <c r="AL424" s="103"/>
      <c r="AM424" s="103"/>
      <c r="AN424" s="103"/>
      <c r="AO424" s="103"/>
      <c r="AP424" s="103"/>
      <c r="AQ424" s="103"/>
      <c r="AR424" s="103"/>
      <c r="AS424" s="103"/>
      <c r="AT424" s="103"/>
      <c r="AU424" s="103"/>
      <c r="AV424" s="103"/>
      <c r="AW424" s="103"/>
      <c r="AX424" s="103"/>
      <c r="AY424" s="103"/>
      <c r="AZ424" s="103"/>
    </row>
    <row r="425" spans="1:52" x14ac:dyDescent="0.2">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c r="AI425" s="103"/>
      <c r="AJ425" s="103"/>
      <c r="AK425" s="103"/>
      <c r="AL425" s="103"/>
      <c r="AM425" s="103"/>
      <c r="AN425" s="103"/>
      <c r="AO425" s="103"/>
      <c r="AP425" s="103"/>
      <c r="AQ425" s="103"/>
      <c r="AR425" s="103"/>
      <c r="AS425" s="103"/>
      <c r="AT425" s="103"/>
      <c r="AU425" s="103"/>
      <c r="AV425" s="103"/>
      <c r="AW425" s="103"/>
      <c r="AX425" s="103"/>
      <c r="AY425" s="103"/>
      <c r="AZ425" s="103"/>
    </row>
    <row r="426" spans="1:52" x14ac:dyDescent="0.2">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c r="AI426" s="103"/>
      <c r="AJ426" s="103"/>
      <c r="AK426" s="103"/>
      <c r="AL426" s="103"/>
      <c r="AM426" s="103"/>
      <c r="AN426" s="103"/>
      <c r="AO426" s="103"/>
      <c r="AP426" s="103"/>
      <c r="AQ426" s="103"/>
      <c r="AR426" s="103"/>
      <c r="AS426" s="103"/>
      <c r="AT426" s="103"/>
      <c r="AU426" s="103"/>
      <c r="AV426" s="103"/>
      <c r="AW426" s="103"/>
      <c r="AX426" s="103"/>
      <c r="AY426" s="103"/>
      <c r="AZ426" s="103"/>
    </row>
    <row r="427" spans="1:52" x14ac:dyDescent="0.2">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3"/>
      <c r="AL427" s="103"/>
      <c r="AM427" s="103"/>
      <c r="AN427" s="103"/>
      <c r="AO427" s="103"/>
      <c r="AP427" s="103"/>
      <c r="AQ427" s="103"/>
      <c r="AR427" s="103"/>
      <c r="AS427" s="103"/>
      <c r="AT427" s="103"/>
      <c r="AU427" s="103"/>
      <c r="AV427" s="103"/>
      <c r="AW427" s="103"/>
      <c r="AX427" s="103"/>
      <c r="AY427" s="103"/>
      <c r="AZ427" s="103"/>
    </row>
    <row r="428" spans="1:52" x14ac:dyDescent="0.2">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c r="AI428" s="103"/>
      <c r="AJ428" s="103"/>
      <c r="AK428" s="103"/>
      <c r="AL428" s="103"/>
      <c r="AM428" s="103"/>
      <c r="AN428" s="103"/>
      <c r="AO428" s="103"/>
      <c r="AP428" s="103"/>
      <c r="AQ428" s="103"/>
      <c r="AR428" s="103"/>
      <c r="AS428" s="103"/>
      <c r="AT428" s="103"/>
      <c r="AU428" s="103"/>
      <c r="AV428" s="103"/>
      <c r="AW428" s="103"/>
      <c r="AX428" s="103"/>
      <c r="AY428" s="103"/>
      <c r="AZ428" s="103"/>
    </row>
    <row r="429" spans="1:52" x14ac:dyDescent="0.2">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c r="AI429" s="103"/>
      <c r="AJ429" s="103"/>
      <c r="AK429" s="103"/>
      <c r="AL429" s="103"/>
      <c r="AM429" s="103"/>
      <c r="AN429" s="103"/>
      <c r="AO429" s="103"/>
      <c r="AP429" s="103"/>
      <c r="AQ429" s="103"/>
      <c r="AR429" s="103"/>
      <c r="AS429" s="103"/>
      <c r="AT429" s="103"/>
      <c r="AU429" s="103"/>
      <c r="AV429" s="103"/>
      <c r="AW429" s="103"/>
      <c r="AX429" s="103"/>
      <c r="AY429" s="103"/>
      <c r="AZ429" s="103"/>
    </row>
    <row r="430" spans="1:52" x14ac:dyDescent="0.2">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c r="AI430" s="103"/>
      <c r="AJ430" s="103"/>
      <c r="AK430" s="103"/>
      <c r="AL430" s="103"/>
      <c r="AM430" s="103"/>
      <c r="AN430" s="103"/>
      <c r="AO430" s="103"/>
      <c r="AP430" s="103"/>
      <c r="AQ430" s="103"/>
      <c r="AR430" s="103"/>
      <c r="AS430" s="103"/>
      <c r="AT430" s="103"/>
      <c r="AU430" s="103"/>
      <c r="AV430" s="103"/>
      <c r="AW430" s="103"/>
      <c r="AX430" s="103"/>
      <c r="AY430" s="103"/>
      <c r="AZ430" s="103"/>
    </row>
    <row r="431" spans="1:52" x14ac:dyDescent="0.2">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c r="AG431" s="103"/>
      <c r="AH431" s="103"/>
      <c r="AI431" s="103"/>
      <c r="AJ431" s="103"/>
      <c r="AK431" s="103"/>
      <c r="AL431" s="103"/>
      <c r="AM431" s="103"/>
      <c r="AN431" s="103"/>
      <c r="AO431" s="103"/>
      <c r="AP431" s="103"/>
      <c r="AQ431" s="103"/>
      <c r="AR431" s="103"/>
      <c r="AS431" s="103"/>
      <c r="AT431" s="103"/>
      <c r="AU431" s="103"/>
      <c r="AV431" s="103"/>
      <c r="AW431" s="103"/>
      <c r="AX431" s="103"/>
      <c r="AY431" s="103"/>
      <c r="AZ431" s="103"/>
    </row>
    <row r="432" spans="1:52" x14ac:dyDescent="0.2">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3"/>
      <c r="AB432" s="103"/>
      <c r="AC432" s="103"/>
      <c r="AD432" s="103"/>
      <c r="AE432" s="103"/>
      <c r="AF432" s="103"/>
      <c r="AG432" s="103"/>
      <c r="AH432" s="103"/>
      <c r="AI432" s="103"/>
      <c r="AJ432" s="103"/>
      <c r="AK432" s="103"/>
      <c r="AL432" s="103"/>
      <c r="AM432" s="103"/>
      <c r="AN432" s="103"/>
      <c r="AO432" s="103"/>
      <c r="AP432" s="103"/>
      <c r="AQ432" s="103"/>
      <c r="AR432" s="103"/>
      <c r="AS432" s="103"/>
      <c r="AT432" s="103"/>
      <c r="AU432" s="103"/>
      <c r="AV432" s="103"/>
      <c r="AW432" s="103"/>
      <c r="AX432" s="103"/>
      <c r="AY432" s="103"/>
      <c r="AZ432" s="103"/>
    </row>
    <row r="433" spans="1:52" x14ac:dyDescent="0.2">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G433" s="103"/>
      <c r="AH433" s="103"/>
      <c r="AI433" s="103"/>
      <c r="AJ433" s="103"/>
      <c r="AK433" s="103"/>
      <c r="AL433" s="103"/>
      <c r="AM433" s="103"/>
      <c r="AN433" s="103"/>
      <c r="AO433" s="103"/>
      <c r="AP433" s="103"/>
      <c r="AQ433" s="103"/>
      <c r="AR433" s="103"/>
      <c r="AS433" s="103"/>
      <c r="AT433" s="103"/>
      <c r="AU433" s="103"/>
      <c r="AV433" s="103"/>
      <c r="AW433" s="103"/>
      <c r="AX433" s="103"/>
      <c r="AY433" s="103"/>
      <c r="AZ433" s="103"/>
    </row>
    <row r="434" spans="1:52" x14ac:dyDescent="0.2">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c r="AI434" s="103"/>
      <c r="AJ434" s="103"/>
      <c r="AK434" s="103"/>
      <c r="AL434" s="103"/>
      <c r="AM434" s="103"/>
      <c r="AN434" s="103"/>
      <c r="AO434" s="103"/>
      <c r="AP434" s="103"/>
      <c r="AQ434" s="103"/>
      <c r="AR434" s="103"/>
      <c r="AS434" s="103"/>
      <c r="AT434" s="103"/>
      <c r="AU434" s="103"/>
      <c r="AV434" s="103"/>
      <c r="AW434" s="103"/>
      <c r="AX434" s="103"/>
      <c r="AY434" s="103"/>
      <c r="AZ434" s="103"/>
    </row>
    <row r="435" spans="1:52" x14ac:dyDescent="0.2">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3"/>
      <c r="AL435" s="103"/>
      <c r="AM435" s="103"/>
      <c r="AN435" s="103"/>
      <c r="AO435" s="103"/>
      <c r="AP435" s="103"/>
      <c r="AQ435" s="103"/>
      <c r="AR435" s="103"/>
      <c r="AS435" s="103"/>
      <c r="AT435" s="103"/>
      <c r="AU435" s="103"/>
      <c r="AV435" s="103"/>
      <c r="AW435" s="103"/>
      <c r="AX435" s="103"/>
      <c r="AY435" s="103"/>
      <c r="AZ435" s="103"/>
    </row>
    <row r="436" spans="1:52" x14ac:dyDescent="0.2">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3"/>
      <c r="AL436" s="103"/>
      <c r="AM436" s="103"/>
      <c r="AN436" s="103"/>
      <c r="AO436" s="103"/>
      <c r="AP436" s="103"/>
      <c r="AQ436" s="103"/>
      <c r="AR436" s="103"/>
      <c r="AS436" s="103"/>
      <c r="AT436" s="103"/>
      <c r="AU436" s="103"/>
      <c r="AV436" s="103"/>
      <c r="AW436" s="103"/>
      <c r="AX436" s="103"/>
      <c r="AY436" s="103"/>
      <c r="AZ436" s="103"/>
    </row>
    <row r="437" spans="1:52" x14ac:dyDescent="0.2">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c r="AI437" s="103"/>
      <c r="AJ437" s="103"/>
      <c r="AK437" s="103"/>
      <c r="AL437" s="103"/>
      <c r="AM437" s="103"/>
      <c r="AN437" s="103"/>
      <c r="AO437" s="103"/>
      <c r="AP437" s="103"/>
      <c r="AQ437" s="103"/>
      <c r="AR437" s="103"/>
      <c r="AS437" s="103"/>
      <c r="AT437" s="103"/>
      <c r="AU437" s="103"/>
      <c r="AV437" s="103"/>
      <c r="AW437" s="103"/>
      <c r="AX437" s="103"/>
      <c r="AY437" s="103"/>
      <c r="AZ437" s="103"/>
    </row>
    <row r="438" spans="1:52" x14ac:dyDescent="0.2">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c r="AI438" s="103"/>
      <c r="AJ438" s="103"/>
      <c r="AK438" s="103"/>
      <c r="AL438" s="103"/>
      <c r="AM438" s="103"/>
      <c r="AN438" s="103"/>
      <c r="AO438" s="103"/>
      <c r="AP438" s="103"/>
      <c r="AQ438" s="103"/>
      <c r="AR438" s="103"/>
      <c r="AS438" s="103"/>
      <c r="AT438" s="103"/>
      <c r="AU438" s="103"/>
      <c r="AV438" s="103"/>
      <c r="AW438" s="103"/>
      <c r="AX438" s="103"/>
      <c r="AY438" s="103"/>
      <c r="AZ438" s="103"/>
    </row>
    <row r="439" spans="1:52" x14ac:dyDescent="0.2">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c r="AI439" s="103"/>
      <c r="AJ439" s="103"/>
      <c r="AK439" s="103"/>
      <c r="AL439" s="103"/>
      <c r="AM439" s="103"/>
      <c r="AN439" s="103"/>
      <c r="AO439" s="103"/>
      <c r="AP439" s="103"/>
      <c r="AQ439" s="103"/>
      <c r="AR439" s="103"/>
      <c r="AS439" s="103"/>
      <c r="AT439" s="103"/>
      <c r="AU439" s="103"/>
      <c r="AV439" s="103"/>
      <c r="AW439" s="103"/>
      <c r="AX439" s="103"/>
      <c r="AY439" s="103"/>
      <c r="AZ439" s="103"/>
    </row>
    <row r="440" spans="1:52" x14ac:dyDescent="0.2">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c r="AI440" s="103"/>
      <c r="AJ440" s="103"/>
      <c r="AK440" s="103"/>
      <c r="AL440" s="103"/>
      <c r="AM440" s="103"/>
      <c r="AN440" s="103"/>
      <c r="AO440" s="103"/>
      <c r="AP440" s="103"/>
      <c r="AQ440" s="103"/>
      <c r="AR440" s="103"/>
      <c r="AS440" s="103"/>
      <c r="AT440" s="103"/>
      <c r="AU440" s="103"/>
      <c r="AV440" s="103"/>
      <c r="AW440" s="103"/>
      <c r="AX440" s="103"/>
      <c r="AY440" s="103"/>
      <c r="AZ440" s="103"/>
    </row>
    <row r="441" spans="1:52" x14ac:dyDescent="0.2">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c r="AI441" s="103"/>
      <c r="AJ441" s="103"/>
      <c r="AK441" s="103"/>
      <c r="AL441" s="103"/>
      <c r="AM441" s="103"/>
      <c r="AN441" s="103"/>
      <c r="AO441" s="103"/>
      <c r="AP441" s="103"/>
      <c r="AQ441" s="103"/>
      <c r="AR441" s="103"/>
      <c r="AS441" s="103"/>
      <c r="AT441" s="103"/>
      <c r="AU441" s="103"/>
      <c r="AV441" s="103"/>
      <c r="AW441" s="103"/>
      <c r="AX441" s="103"/>
      <c r="AY441" s="103"/>
      <c r="AZ441" s="103"/>
    </row>
    <row r="442" spans="1:52" x14ac:dyDescent="0.2">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c r="AI442" s="103"/>
      <c r="AJ442" s="103"/>
      <c r="AK442" s="103"/>
      <c r="AL442" s="103"/>
      <c r="AM442" s="103"/>
      <c r="AN442" s="103"/>
      <c r="AO442" s="103"/>
      <c r="AP442" s="103"/>
      <c r="AQ442" s="103"/>
      <c r="AR442" s="103"/>
      <c r="AS442" s="103"/>
      <c r="AT442" s="103"/>
      <c r="AU442" s="103"/>
      <c r="AV442" s="103"/>
      <c r="AW442" s="103"/>
      <c r="AX442" s="103"/>
      <c r="AY442" s="103"/>
      <c r="AZ442" s="103"/>
    </row>
    <row r="443" spans="1:52" x14ac:dyDescent="0.2">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3"/>
      <c r="AL443" s="103"/>
      <c r="AM443" s="103"/>
      <c r="AN443" s="103"/>
      <c r="AO443" s="103"/>
      <c r="AP443" s="103"/>
      <c r="AQ443" s="103"/>
      <c r="AR443" s="103"/>
      <c r="AS443" s="103"/>
      <c r="AT443" s="103"/>
      <c r="AU443" s="103"/>
      <c r="AV443" s="103"/>
      <c r="AW443" s="103"/>
      <c r="AX443" s="103"/>
      <c r="AY443" s="103"/>
      <c r="AZ443" s="103"/>
    </row>
    <row r="444" spans="1:52" x14ac:dyDescent="0.2">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c r="AI444" s="103"/>
      <c r="AJ444" s="103"/>
      <c r="AK444" s="103"/>
      <c r="AL444" s="103"/>
      <c r="AM444" s="103"/>
      <c r="AN444" s="103"/>
      <c r="AO444" s="103"/>
      <c r="AP444" s="103"/>
      <c r="AQ444" s="103"/>
      <c r="AR444" s="103"/>
      <c r="AS444" s="103"/>
      <c r="AT444" s="103"/>
      <c r="AU444" s="103"/>
      <c r="AV444" s="103"/>
      <c r="AW444" s="103"/>
      <c r="AX444" s="103"/>
      <c r="AY444" s="103"/>
      <c r="AZ444" s="103"/>
    </row>
    <row r="445" spans="1:52" x14ac:dyDescent="0.2">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c r="AI445" s="103"/>
      <c r="AJ445" s="103"/>
      <c r="AK445" s="103"/>
      <c r="AL445" s="103"/>
      <c r="AM445" s="103"/>
      <c r="AN445" s="103"/>
      <c r="AO445" s="103"/>
      <c r="AP445" s="103"/>
      <c r="AQ445" s="103"/>
      <c r="AR445" s="103"/>
      <c r="AS445" s="103"/>
      <c r="AT445" s="103"/>
      <c r="AU445" s="103"/>
      <c r="AV445" s="103"/>
      <c r="AW445" s="103"/>
      <c r="AX445" s="103"/>
      <c r="AY445" s="103"/>
      <c r="AZ445" s="103"/>
    </row>
    <row r="446" spans="1:52" x14ac:dyDescent="0.2">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3"/>
      <c r="AL446" s="103"/>
      <c r="AM446" s="103"/>
      <c r="AN446" s="103"/>
      <c r="AO446" s="103"/>
      <c r="AP446" s="103"/>
      <c r="AQ446" s="103"/>
      <c r="AR446" s="103"/>
      <c r="AS446" s="103"/>
      <c r="AT446" s="103"/>
      <c r="AU446" s="103"/>
      <c r="AV446" s="103"/>
      <c r="AW446" s="103"/>
      <c r="AX446" s="103"/>
      <c r="AY446" s="103"/>
      <c r="AZ446" s="103"/>
    </row>
    <row r="447" spans="1:52" x14ac:dyDescent="0.2">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3"/>
      <c r="AL447" s="103"/>
      <c r="AM447" s="103"/>
      <c r="AN447" s="103"/>
      <c r="AO447" s="103"/>
      <c r="AP447" s="103"/>
      <c r="AQ447" s="103"/>
      <c r="AR447" s="103"/>
      <c r="AS447" s="103"/>
      <c r="AT447" s="103"/>
      <c r="AU447" s="103"/>
      <c r="AV447" s="103"/>
      <c r="AW447" s="103"/>
      <c r="AX447" s="103"/>
      <c r="AY447" s="103"/>
      <c r="AZ447" s="103"/>
    </row>
    <row r="448" spans="1:52" x14ac:dyDescent="0.2">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3"/>
      <c r="AL448" s="103"/>
      <c r="AM448" s="103"/>
      <c r="AN448" s="103"/>
      <c r="AO448" s="103"/>
      <c r="AP448" s="103"/>
      <c r="AQ448" s="103"/>
      <c r="AR448" s="103"/>
      <c r="AS448" s="103"/>
      <c r="AT448" s="103"/>
      <c r="AU448" s="103"/>
      <c r="AV448" s="103"/>
      <c r="AW448" s="103"/>
      <c r="AX448" s="103"/>
      <c r="AY448" s="103"/>
      <c r="AZ448" s="103"/>
    </row>
    <row r="449" spans="1:52" x14ac:dyDescent="0.2">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3"/>
      <c r="AL449" s="103"/>
      <c r="AM449" s="103"/>
      <c r="AN449" s="103"/>
      <c r="AO449" s="103"/>
      <c r="AP449" s="103"/>
      <c r="AQ449" s="103"/>
      <c r="AR449" s="103"/>
      <c r="AS449" s="103"/>
      <c r="AT449" s="103"/>
      <c r="AU449" s="103"/>
      <c r="AV449" s="103"/>
      <c r="AW449" s="103"/>
      <c r="AX449" s="103"/>
      <c r="AY449" s="103"/>
      <c r="AZ449" s="103"/>
    </row>
    <row r="450" spans="1:52" x14ac:dyDescent="0.2">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3"/>
      <c r="AL450" s="103"/>
      <c r="AM450" s="103"/>
      <c r="AN450" s="103"/>
      <c r="AO450" s="103"/>
      <c r="AP450" s="103"/>
      <c r="AQ450" s="103"/>
      <c r="AR450" s="103"/>
      <c r="AS450" s="103"/>
      <c r="AT450" s="103"/>
      <c r="AU450" s="103"/>
      <c r="AV450" s="103"/>
      <c r="AW450" s="103"/>
      <c r="AX450" s="103"/>
      <c r="AY450" s="103"/>
      <c r="AZ450" s="103"/>
    </row>
    <row r="451" spans="1:52" x14ac:dyDescent="0.2">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3"/>
      <c r="AL451" s="103"/>
      <c r="AM451" s="103"/>
      <c r="AN451" s="103"/>
      <c r="AO451" s="103"/>
      <c r="AP451" s="103"/>
      <c r="AQ451" s="103"/>
      <c r="AR451" s="103"/>
      <c r="AS451" s="103"/>
      <c r="AT451" s="103"/>
      <c r="AU451" s="103"/>
      <c r="AV451" s="103"/>
      <c r="AW451" s="103"/>
      <c r="AX451" s="103"/>
      <c r="AY451" s="103"/>
      <c r="AZ451" s="103"/>
    </row>
    <row r="452" spans="1:52" x14ac:dyDescent="0.2">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3"/>
      <c r="AL452" s="103"/>
      <c r="AM452" s="103"/>
      <c r="AN452" s="103"/>
      <c r="AO452" s="103"/>
      <c r="AP452" s="103"/>
      <c r="AQ452" s="103"/>
      <c r="AR452" s="103"/>
      <c r="AS452" s="103"/>
      <c r="AT452" s="103"/>
      <c r="AU452" s="103"/>
      <c r="AV452" s="103"/>
      <c r="AW452" s="103"/>
      <c r="AX452" s="103"/>
      <c r="AY452" s="103"/>
      <c r="AZ452" s="103"/>
    </row>
    <row r="453" spans="1:52" x14ac:dyDescent="0.2">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3"/>
      <c r="AL453" s="103"/>
      <c r="AM453" s="103"/>
      <c r="AN453" s="103"/>
      <c r="AO453" s="103"/>
      <c r="AP453" s="103"/>
      <c r="AQ453" s="103"/>
      <c r="AR453" s="103"/>
      <c r="AS453" s="103"/>
      <c r="AT453" s="103"/>
      <c r="AU453" s="103"/>
      <c r="AV453" s="103"/>
      <c r="AW453" s="103"/>
      <c r="AX453" s="103"/>
      <c r="AY453" s="103"/>
      <c r="AZ453" s="103"/>
    </row>
    <row r="454" spans="1:52" x14ac:dyDescent="0.2">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3"/>
      <c r="AL454" s="103"/>
      <c r="AM454" s="103"/>
      <c r="AN454" s="103"/>
      <c r="AO454" s="103"/>
      <c r="AP454" s="103"/>
      <c r="AQ454" s="103"/>
      <c r="AR454" s="103"/>
      <c r="AS454" s="103"/>
      <c r="AT454" s="103"/>
      <c r="AU454" s="103"/>
      <c r="AV454" s="103"/>
      <c r="AW454" s="103"/>
      <c r="AX454" s="103"/>
      <c r="AY454" s="103"/>
      <c r="AZ454" s="103"/>
    </row>
    <row r="455" spans="1:52" x14ac:dyDescent="0.2">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3"/>
      <c r="AL455" s="103"/>
      <c r="AM455" s="103"/>
      <c r="AN455" s="103"/>
      <c r="AO455" s="103"/>
      <c r="AP455" s="103"/>
      <c r="AQ455" s="103"/>
      <c r="AR455" s="103"/>
      <c r="AS455" s="103"/>
      <c r="AT455" s="103"/>
      <c r="AU455" s="103"/>
      <c r="AV455" s="103"/>
      <c r="AW455" s="103"/>
      <c r="AX455" s="103"/>
      <c r="AY455" s="103"/>
      <c r="AZ455" s="103"/>
    </row>
    <row r="456" spans="1:52" x14ac:dyDescent="0.2">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3"/>
      <c r="AL456" s="103"/>
      <c r="AM456" s="103"/>
      <c r="AN456" s="103"/>
      <c r="AO456" s="103"/>
      <c r="AP456" s="103"/>
      <c r="AQ456" s="103"/>
      <c r="AR456" s="103"/>
      <c r="AS456" s="103"/>
      <c r="AT456" s="103"/>
      <c r="AU456" s="103"/>
      <c r="AV456" s="103"/>
      <c r="AW456" s="103"/>
      <c r="AX456" s="103"/>
      <c r="AY456" s="103"/>
      <c r="AZ456" s="103"/>
    </row>
    <row r="457" spans="1:52" x14ac:dyDescent="0.2">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3"/>
      <c r="AL457" s="103"/>
      <c r="AM457" s="103"/>
      <c r="AN457" s="103"/>
      <c r="AO457" s="103"/>
      <c r="AP457" s="103"/>
      <c r="AQ457" s="103"/>
      <c r="AR457" s="103"/>
      <c r="AS457" s="103"/>
      <c r="AT457" s="103"/>
      <c r="AU457" s="103"/>
      <c r="AV457" s="103"/>
      <c r="AW457" s="103"/>
      <c r="AX457" s="103"/>
      <c r="AY457" s="103"/>
      <c r="AZ457" s="103"/>
    </row>
    <row r="458" spans="1:52" x14ac:dyDescent="0.2">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3"/>
      <c r="AL458" s="103"/>
      <c r="AM458" s="103"/>
      <c r="AN458" s="103"/>
      <c r="AO458" s="103"/>
      <c r="AP458" s="103"/>
      <c r="AQ458" s="103"/>
      <c r="AR458" s="103"/>
      <c r="AS458" s="103"/>
      <c r="AT458" s="103"/>
      <c r="AU458" s="103"/>
      <c r="AV458" s="103"/>
      <c r="AW458" s="103"/>
      <c r="AX458" s="103"/>
      <c r="AY458" s="103"/>
      <c r="AZ458" s="103"/>
    </row>
    <row r="459" spans="1:52" x14ac:dyDescent="0.2">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3"/>
      <c r="AL459" s="103"/>
      <c r="AM459" s="103"/>
      <c r="AN459" s="103"/>
      <c r="AO459" s="103"/>
      <c r="AP459" s="103"/>
      <c r="AQ459" s="103"/>
      <c r="AR459" s="103"/>
      <c r="AS459" s="103"/>
      <c r="AT459" s="103"/>
      <c r="AU459" s="103"/>
      <c r="AV459" s="103"/>
      <c r="AW459" s="103"/>
      <c r="AX459" s="103"/>
      <c r="AY459" s="103"/>
      <c r="AZ459" s="103"/>
    </row>
    <row r="460" spans="1:52" x14ac:dyDescent="0.2">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3"/>
      <c r="AL460" s="103"/>
      <c r="AM460" s="103"/>
      <c r="AN460" s="103"/>
      <c r="AO460" s="103"/>
      <c r="AP460" s="103"/>
      <c r="AQ460" s="103"/>
      <c r="AR460" s="103"/>
      <c r="AS460" s="103"/>
      <c r="AT460" s="103"/>
      <c r="AU460" s="103"/>
      <c r="AV460" s="103"/>
      <c r="AW460" s="103"/>
      <c r="AX460" s="103"/>
      <c r="AY460" s="103"/>
      <c r="AZ460" s="103"/>
    </row>
    <row r="461" spans="1:52" x14ac:dyDescent="0.2">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3"/>
      <c r="AL461" s="103"/>
      <c r="AM461" s="103"/>
      <c r="AN461" s="103"/>
      <c r="AO461" s="103"/>
      <c r="AP461" s="103"/>
      <c r="AQ461" s="103"/>
      <c r="AR461" s="103"/>
      <c r="AS461" s="103"/>
      <c r="AT461" s="103"/>
      <c r="AU461" s="103"/>
      <c r="AV461" s="103"/>
      <c r="AW461" s="103"/>
      <c r="AX461" s="103"/>
      <c r="AY461" s="103"/>
      <c r="AZ461" s="103"/>
    </row>
    <row r="462" spans="1:52" x14ac:dyDescent="0.2">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3"/>
      <c r="AL462" s="103"/>
      <c r="AM462" s="103"/>
      <c r="AN462" s="103"/>
      <c r="AO462" s="103"/>
      <c r="AP462" s="103"/>
      <c r="AQ462" s="103"/>
      <c r="AR462" s="103"/>
      <c r="AS462" s="103"/>
      <c r="AT462" s="103"/>
      <c r="AU462" s="103"/>
      <c r="AV462" s="103"/>
      <c r="AW462" s="103"/>
      <c r="AX462" s="103"/>
      <c r="AY462" s="103"/>
      <c r="AZ462" s="103"/>
    </row>
    <row r="463" spans="1:52" x14ac:dyDescent="0.2">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3"/>
      <c r="AL463" s="103"/>
      <c r="AM463" s="103"/>
      <c r="AN463" s="103"/>
      <c r="AO463" s="103"/>
      <c r="AP463" s="103"/>
      <c r="AQ463" s="103"/>
      <c r="AR463" s="103"/>
      <c r="AS463" s="103"/>
      <c r="AT463" s="103"/>
      <c r="AU463" s="103"/>
      <c r="AV463" s="103"/>
      <c r="AW463" s="103"/>
      <c r="AX463" s="103"/>
      <c r="AY463" s="103"/>
      <c r="AZ463" s="103"/>
    </row>
    <row r="464" spans="1:52" x14ac:dyDescent="0.2">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c r="AG464" s="103"/>
      <c r="AH464" s="103"/>
      <c r="AI464" s="103"/>
      <c r="AJ464" s="103"/>
      <c r="AK464" s="103"/>
      <c r="AL464" s="103"/>
      <c r="AM464" s="103"/>
      <c r="AN464" s="103"/>
      <c r="AO464" s="103"/>
      <c r="AP464" s="103"/>
      <c r="AQ464" s="103"/>
      <c r="AR464" s="103"/>
      <c r="AS464" s="103"/>
      <c r="AT464" s="103"/>
      <c r="AU464" s="103"/>
      <c r="AV464" s="103"/>
      <c r="AW464" s="103"/>
      <c r="AX464" s="103"/>
      <c r="AY464" s="103"/>
      <c r="AZ464" s="103"/>
    </row>
    <row r="465" spans="1:52" x14ac:dyDescent="0.2">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c r="AG465" s="103"/>
      <c r="AH465" s="103"/>
      <c r="AI465" s="103"/>
      <c r="AJ465" s="103"/>
      <c r="AK465" s="103"/>
      <c r="AL465" s="103"/>
      <c r="AM465" s="103"/>
      <c r="AN465" s="103"/>
      <c r="AO465" s="103"/>
      <c r="AP465" s="103"/>
      <c r="AQ465" s="103"/>
      <c r="AR465" s="103"/>
      <c r="AS465" s="103"/>
      <c r="AT465" s="103"/>
      <c r="AU465" s="103"/>
      <c r="AV465" s="103"/>
      <c r="AW465" s="103"/>
      <c r="AX465" s="103"/>
      <c r="AY465" s="103"/>
      <c r="AZ465" s="103"/>
    </row>
    <row r="466" spans="1:52" x14ac:dyDescent="0.2">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c r="AA466" s="103"/>
      <c r="AB466" s="103"/>
      <c r="AC466" s="103"/>
      <c r="AD466" s="103"/>
      <c r="AE466" s="103"/>
      <c r="AF466" s="103"/>
      <c r="AG466" s="103"/>
      <c r="AH466" s="103"/>
      <c r="AI466" s="103"/>
      <c r="AJ466" s="103"/>
      <c r="AK466" s="103"/>
      <c r="AL466" s="103"/>
      <c r="AM466" s="103"/>
      <c r="AN466" s="103"/>
      <c r="AO466" s="103"/>
      <c r="AP466" s="103"/>
      <c r="AQ466" s="103"/>
      <c r="AR466" s="103"/>
      <c r="AS466" s="103"/>
      <c r="AT466" s="103"/>
      <c r="AU466" s="103"/>
      <c r="AV466" s="103"/>
      <c r="AW466" s="103"/>
      <c r="AX466" s="103"/>
      <c r="AY466" s="103"/>
      <c r="AZ466" s="103"/>
    </row>
    <row r="467" spans="1:52" x14ac:dyDescent="0.2">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c r="AI467" s="103"/>
      <c r="AJ467" s="103"/>
      <c r="AK467" s="103"/>
      <c r="AL467" s="103"/>
      <c r="AM467" s="103"/>
      <c r="AN467" s="103"/>
      <c r="AO467" s="103"/>
      <c r="AP467" s="103"/>
      <c r="AQ467" s="103"/>
      <c r="AR467" s="103"/>
      <c r="AS467" s="103"/>
      <c r="AT467" s="103"/>
      <c r="AU467" s="103"/>
      <c r="AV467" s="103"/>
      <c r="AW467" s="103"/>
      <c r="AX467" s="103"/>
      <c r="AY467" s="103"/>
      <c r="AZ467" s="103"/>
    </row>
    <row r="468" spans="1:52" x14ac:dyDescent="0.2">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c r="AI468" s="103"/>
      <c r="AJ468" s="103"/>
      <c r="AK468" s="103"/>
      <c r="AL468" s="103"/>
      <c r="AM468" s="103"/>
      <c r="AN468" s="103"/>
      <c r="AO468" s="103"/>
      <c r="AP468" s="103"/>
      <c r="AQ468" s="103"/>
      <c r="AR468" s="103"/>
      <c r="AS468" s="103"/>
      <c r="AT468" s="103"/>
      <c r="AU468" s="103"/>
      <c r="AV468" s="103"/>
      <c r="AW468" s="103"/>
      <c r="AX468" s="103"/>
      <c r="AY468" s="103"/>
      <c r="AZ468" s="103"/>
    </row>
    <row r="469" spans="1:52" x14ac:dyDescent="0.2">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3"/>
      <c r="AL469" s="103"/>
      <c r="AM469" s="103"/>
      <c r="AN469" s="103"/>
      <c r="AO469" s="103"/>
      <c r="AP469" s="103"/>
      <c r="AQ469" s="103"/>
      <c r="AR469" s="103"/>
      <c r="AS469" s="103"/>
      <c r="AT469" s="103"/>
      <c r="AU469" s="103"/>
      <c r="AV469" s="103"/>
      <c r="AW469" s="103"/>
      <c r="AX469" s="103"/>
      <c r="AY469" s="103"/>
      <c r="AZ469" s="103"/>
    </row>
    <row r="470" spans="1:52" x14ac:dyDescent="0.2">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c r="AI470" s="103"/>
      <c r="AJ470" s="103"/>
      <c r="AK470" s="103"/>
      <c r="AL470" s="103"/>
      <c r="AM470" s="103"/>
      <c r="AN470" s="103"/>
      <c r="AO470" s="103"/>
      <c r="AP470" s="103"/>
      <c r="AQ470" s="103"/>
      <c r="AR470" s="103"/>
      <c r="AS470" s="103"/>
      <c r="AT470" s="103"/>
      <c r="AU470" s="103"/>
      <c r="AV470" s="103"/>
      <c r="AW470" s="103"/>
      <c r="AX470" s="103"/>
      <c r="AY470" s="103"/>
      <c r="AZ470" s="103"/>
    </row>
    <row r="471" spans="1:52" x14ac:dyDescent="0.2">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c r="AI471" s="103"/>
      <c r="AJ471" s="103"/>
      <c r="AK471" s="103"/>
      <c r="AL471" s="103"/>
      <c r="AM471" s="103"/>
      <c r="AN471" s="103"/>
      <c r="AO471" s="103"/>
      <c r="AP471" s="103"/>
      <c r="AQ471" s="103"/>
      <c r="AR471" s="103"/>
      <c r="AS471" s="103"/>
      <c r="AT471" s="103"/>
      <c r="AU471" s="103"/>
      <c r="AV471" s="103"/>
      <c r="AW471" s="103"/>
      <c r="AX471" s="103"/>
      <c r="AY471" s="103"/>
      <c r="AZ471" s="103"/>
    </row>
    <row r="472" spans="1:52" x14ac:dyDescent="0.2">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c r="AI472" s="103"/>
      <c r="AJ472" s="103"/>
      <c r="AK472" s="103"/>
      <c r="AL472" s="103"/>
      <c r="AM472" s="103"/>
      <c r="AN472" s="103"/>
      <c r="AO472" s="103"/>
      <c r="AP472" s="103"/>
      <c r="AQ472" s="103"/>
      <c r="AR472" s="103"/>
      <c r="AS472" s="103"/>
      <c r="AT472" s="103"/>
      <c r="AU472" s="103"/>
      <c r="AV472" s="103"/>
      <c r="AW472" s="103"/>
      <c r="AX472" s="103"/>
      <c r="AY472" s="103"/>
      <c r="AZ472" s="103"/>
    </row>
    <row r="473" spans="1:52" x14ac:dyDescent="0.2">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c r="AI473" s="103"/>
      <c r="AJ473" s="103"/>
      <c r="AK473" s="103"/>
      <c r="AL473" s="103"/>
      <c r="AM473" s="103"/>
      <c r="AN473" s="103"/>
      <c r="AO473" s="103"/>
      <c r="AP473" s="103"/>
      <c r="AQ473" s="103"/>
      <c r="AR473" s="103"/>
      <c r="AS473" s="103"/>
      <c r="AT473" s="103"/>
      <c r="AU473" s="103"/>
      <c r="AV473" s="103"/>
      <c r="AW473" s="103"/>
      <c r="AX473" s="103"/>
      <c r="AY473" s="103"/>
      <c r="AZ473" s="103"/>
    </row>
    <row r="474" spans="1:52" x14ac:dyDescent="0.2">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3"/>
      <c r="AK474" s="103"/>
      <c r="AL474" s="103"/>
      <c r="AM474" s="103"/>
      <c r="AN474" s="103"/>
      <c r="AO474" s="103"/>
      <c r="AP474" s="103"/>
      <c r="AQ474" s="103"/>
      <c r="AR474" s="103"/>
      <c r="AS474" s="103"/>
      <c r="AT474" s="103"/>
      <c r="AU474" s="103"/>
      <c r="AV474" s="103"/>
      <c r="AW474" s="103"/>
      <c r="AX474" s="103"/>
      <c r="AY474" s="103"/>
      <c r="AZ474" s="103"/>
    </row>
    <row r="475" spans="1:52" x14ac:dyDescent="0.2">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c r="AI475" s="103"/>
      <c r="AJ475" s="103"/>
      <c r="AK475" s="103"/>
      <c r="AL475" s="103"/>
      <c r="AM475" s="103"/>
      <c r="AN475" s="103"/>
      <c r="AO475" s="103"/>
      <c r="AP475" s="103"/>
      <c r="AQ475" s="103"/>
      <c r="AR475" s="103"/>
      <c r="AS475" s="103"/>
      <c r="AT475" s="103"/>
      <c r="AU475" s="103"/>
      <c r="AV475" s="103"/>
      <c r="AW475" s="103"/>
      <c r="AX475" s="103"/>
      <c r="AY475" s="103"/>
      <c r="AZ475" s="103"/>
    </row>
    <row r="476" spans="1:52" x14ac:dyDescent="0.2">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3"/>
      <c r="AL476" s="103"/>
      <c r="AM476" s="103"/>
      <c r="AN476" s="103"/>
      <c r="AO476" s="103"/>
      <c r="AP476" s="103"/>
      <c r="AQ476" s="103"/>
      <c r="AR476" s="103"/>
      <c r="AS476" s="103"/>
      <c r="AT476" s="103"/>
      <c r="AU476" s="103"/>
      <c r="AV476" s="103"/>
      <c r="AW476" s="103"/>
      <c r="AX476" s="103"/>
      <c r="AY476" s="103"/>
      <c r="AZ476" s="103"/>
    </row>
    <row r="477" spans="1:52" x14ac:dyDescent="0.2">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3"/>
      <c r="AL477" s="103"/>
      <c r="AM477" s="103"/>
      <c r="AN477" s="103"/>
      <c r="AO477" s="103"/>
      <c r="AP477" s="103"/>
      <c r="AQ477" s="103"/>
      <c r="AR477" s="103"/>
      <c r="AS477" s="103"/>
      <c r="AT477" s="103"/>
      <c r="AU477" s="103"/>
      <c r="AV477" s="103"/>
      <c r="AW477" s="103"/>
      <c r="AX477" s="103"/>
      <c r="AY477" s="103"/>
      <c r="AZ477" s="103"/>
    </row>
    <row r="478" spans="1:52" x14ac:dyDescent="0.2">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c r="AI478" s="103"/>
      <c r="AJ478" s="103"/>
      <c r="AK478" s="103"/>
      <c r="AL478" s="103"/>
      <c r="AM478" s="103"/>
      <c r="AN478" s="103"/>
      <c r="AO478" s="103"/>
      <c r="AP478" s="103"/>
      <c r="AQ478" s="103"/>
      <c r="AR478" s="103"/>
      <c r="AS478" s="103"/>
      <c r="AT478" s="103"/>
      <c r="AU478" s="103"/>
      <c r="AV478" s="103"/>
      <c r="AW478" s="103"/>
      <c r="AX478" s="103"/>
      <c r="AY478" s="103"/>
      <c r="AZ478" s="103"/>
    </row>
    <row r="479" spans="1:52" x14ac:dyDescent="0.2">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c r="AI479" s="103"/>
      <c r="AJ479" s="103"/>
      <c r="AK479" s="103"/>
      <c r="AL479" s="103"/>
      <c r="AM479" s="103"/>
      <c r="AN479" s="103"/>
      <c r="AO479" s="103"/>
      <c r="AP479" s="103"/>
      <c r="AQ479" s="103"/>
      <c r="AR479" s="103"/>
      <c r="AS479" s="103"/>
      <c r="AT479" s="103"/>
      <c r="AU479" s="103"/>
      <c r="AV479" s="103"/>
      <c r="AW479" s="103"/>
      <c r="AX479" s="103"/>
      <c r="AY479" s="103"/>
      <c r="AZ479" s="103"/>
    </row>
    <row r="480" spans="1:52" x14ac:dyDescent="0.2">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c r="AI480" s="103"/>
      <c r="AJ480" s="103"/>
      <c r="AK480" s="103"/>
      <c r="AL480" s="103"/>
      <c r="AM480" s="103"/>
      <c r="AN480" s="103"/>
      <c r="AO480" s="103"/>
      <c r="AP480" s="103"/>
      <c r="AQ480" s="103"/>
      <c r="AR480" s="103"/>
      <c r="AS480" s="103"/>
      <c r="AT480" s="103"/>
      <c r="AU480" s="103"/>
      <c r="AV480" s="103"/>
      <c r="AW480" s="103"/>
      <c r="AX480" s="103"/>
      <c r="AY480" s="103"/>
      <c r="AZ480" s="103"/>
    </row>
    <row r="481" spans="1:52" x14ac:dyDescent="0.2">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c r="AI481" s="103"/>
      <c r="AJ481" s="103"/>
      <c r="AK481" s="103"/>
      <c r="AL481" s="103"/>
      <c r="AM481" s="103"/>
      <c r="AN481" s="103"/>
      <c r="AO481" s="103"/>
      <c r="AP481" s="103"/>
      <c r="AQ481" s="103"/>
      <c r="AR481" s="103"/>
      <c r="AS481" s="103"/>
      <c r="AT481" s="103"/>
      <c r="AU481" s="103"/>
      <c r="AV481" s="103"/>
      <c r="AW481" s="103"/>
      <c r="AX481" s="103"/>
      <c r="AY481" s="103"/>
      <c r="AZ481" s="103"/>
    </row>
    <row r="482" spans="1:52" x14ac:dyDescent="0.2">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c r="AI482" s="103"/>
      <c r="AJ482" s="103"/>
      <c r="AK482" s="103"/>
      <c r="AL482" s="103"/>
      <c r="AM482" s="103"/>
      <c r="AN482" s="103"/>
      <c r="AO482" s="103"/>
      <c r="AP482" s="103"/>
      <c r="AQ482" s="103"/>
      <c r="AR482" s="103"/>
      <c r="AS482" s="103"/>
      <c r="AT482" s="103"/>
      <c r="AU482" s="103"/>
      <c r="AV482" s="103"/>
      <c r="AW482" s="103"/>
      <c r="AX482" s="103"/>
      <c r="AY482" s="103"/>
      <c r="AZ482" s="103"/>
    </row>
    <row r="483" spans="1:52" x14ac:dyDescent="0.2">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c r="AI483" s="103"/>
      <c r="AJ483" s="103"/>
      <c r="AK483" s="103"/>
      <c r="AL483" s="103"/>
      <c r="AM483" s="103"/>
      <c r="AN483" s="103"/>
      <c r="AO483" s="103"/>
      <c r="AP483" s="103"/>
      <c r="AQ483" s="103"/>
      <c r="AR483" s="103"/>
      <c r="AS483" s="103"/>
      <c r="AT483" s="103"/>
      <c r="AU483" s="103"/>
      <c r="AV483" s="103"/>
      <c r="AW483" s="103"/>
      <c r="AX483" s="103"/>
      <c r="AY483" s="103"/>
      <c r="AZ483" s="103"/>
    </row>
    <row r="484" spans="1:52" x14ac:dyDescent="0.2">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3"/>
      <c r="AK484" s="103"/>
      <c r="AL484" s="103"/>
      <c r="AM484" s="103"/>
      <c r="AN484" s="103"/>
      <c r="AO484" s="103"/>
      <c r="AP484" s="103"/>
      <c r="AQ484" s="103"/>
      <c r="AR484" s="103"/>
      <c r="AS484" s="103"/>
      <c r="AT484" s="103"/>
      <c r="AU484" s="103"/>
      <c r="AV484" s="103"/>
      <c r="AW484" s="103"/>
      <c r="AX484" s="103"/>
      <c r="AY484" s="103"/>
      <c r="AZ484" s="103"/>
    </row>
    <row r="485" spans="1:52" x14ac:dyDescent="0.2">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c r="AI485" s="103"/>
      <c r="AJ485" s="103"/>
      <c r="AK485" s="103"/>
      <c r="AL485" s="103"/>
      <c r="AM485" s="103"/>
      <c r="AN485" s="103"/>
      <c r="AO485" s="103"/>
      <c r="AP485" s="103"/>
      <c r="AQ485" s="103"/>
      <c r="AR485" s="103"/>
      <c r="AS485" s="103"/>
      <c r="AT485" s="103"/>
      <c r="AU485" s="103"/>
      <c r="AV485" s="103"/>
      <c r="AW485" s="103"/>
      <c r="AX485" s="103"/>
      <c r="AY485" s="103"/>
      <c r="AZ485" s="103"/>
    </row>
    <row r="486" spans="1:52" x14ac:dyDescent="0.2">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3"/>
      <c r="AL486" s="103"/>
      <c r="AM486" s="103"/>
      <c r="AN486" s="103"/>
      <c r="AO486" s="103"/>
      <c r="AP486" s="103"/>
      <c r="AQ486" s="103"/>
      <c r="AR486" s="103"/>
      <c r="AS486" s="103"/>
      <c r="AT486" s="103"/>
      <c r="AU486" s="103"/>
      <c r="AV486" s="103"/>
      <c r="AW486" s="103"/>
      <c r="AX486" s="103"/>
      <c r="AY486" s="103"/>
      <c r="AZ486" s="103"/>
    </row>
    <row r="487" spans="1:52" x14ac:dyDescent="0.2">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c r="AI487" s="103"/>
      <c r="AJ487" s="103"/>
      <c r="AK487" s="103"/>
      <c r="AL487" s="103"/>
      <c r="AM487" s="103"/>
      <c r="AN487" s="103"/>
      <c r="AO487" s="103"/>
      <c r="AP487" s="103"/>
      <c r="AQ487" s="103"/>
      <c r="AR487" s="103"/>
      <c r="AS487" s="103"/>
      <c r="AT487" s="103"/>
      <c r="AU487" s="103"/>
      <c r="AV487" s="103"/>
      <c r="AW487" s="103"/>
      <c r="AX487" s="103"/>
      <c r="AY487" s="103"/>
      <c r="AZ487" s="103"/>
    </row>
    <row r="488" spans="1:52" x14ac:dyDescent="0.2">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c r="AI488" s="103"/>
      <c r="AJ488" s="103"/>
      <c r="AK488" s="103"/>
      <c r="AL488" s="103"/>
      <c r="AM488" s="103"/>
      <c r="AN488" s="103"/>
      <c r="AO488" s="103"/>
      <c r="AP488" s="103"/>
      <c r="AQ488" s="103"/>
      <c r="AR488" s="103"/>
      <c r="AS488" s="103"/>
      <c r="AT488" s="103"/>
      <c r="AU488" s="103"/>
      <c r="AV488" s="103"/>
      <c r="AW488" s="103"/>
      <c r="AX488" s="103"/>
      <c r="AY488" s="103"/>
      <c r="AZ488" s="103"/>
    </row>
    <row r="489" spans="1:52" x14ac:dyDescent="0.2">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c r="AI489" s="103"/>
      <c r="AJ489" s="103"/>
      <c r="AK489" s="103"/>
      <c r="AL489" s="103"/>
      <c r="AM489" s="103"/>
      <c r="AN489" s="103"/>
      <c r="AO489" s="103"/>
      <c r="AP489" s="103"/>
      <c r="AQ489" s="103"/>
      <c r="AR489" s="103"/>
      <c r="AS489" s="103"/>
      <c r="AT489" s="103"/>
      <c r="AU489" s="103"/>
      <c r="AV489" s="103"/>
      <c r="AW489" s="103"/>
      <c r="AX489" s="103"/>
      <c r="AY489" s="103"/>
      <c r="AZ489" s="103"/>
    </row>
    <row r="490" spans="1:52" x14ac:dyDescent="0.2">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c r="AI490" s="103"/>
      <c r="AJ490" s="103"/>
      <c r="AK490" s="103"/>
      <c r="AL490" s="103"/>
      <c r="AM490" s="103"/>
      <c r="AN490" s="103"/>
      <c r="AO490" s="103"/>
      <c r="AP490" s="103"/>
      <c r="AQ490" s="103"/>
      <c r="AR490" s="103"/>
      <c r="AS490" s="103"/>
      <c r="AT490" s="103"/>
      <c r="AU490" s="103"/>
      <c r="AV490" s="103"/>
      <c r="AW490" s="103"/>
      <c r="AX490" s="103"/>
      <c r="AY490" s="103"/>
      <c r="AZ490" s="103"/>
    </row>
    <row r="491" spans="1:52" x14ac:dyDescent="0.2">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c r="AI491" s="103"/>
      <c r="AJ491" s="103"/>
      <c r="AK491" s="103"/>
      <c r="AL491" s="103"/>
      <c r="AM491" s="103"/>
      <c r="AN491" s="103"/>
      <c r="AO491" s="103"/>
      <c r="AP491" s="103"/>
      <c r="AQ491" s="103"/>
      <c r="AR491" s="103"/>
      <c r="AS491" s="103"/>
      <c r="AT491" s="103"/>
      <c r="AU491" s="103"/>
      <c r="AV491" s="103"/>
      <c r="AW491" s="103"/>
      <c r="AX491" s="103"/>
      <c r="AY491" s="103"/>
      <c r="AZ491" s="103"/>
    </row>
    <row r="492" spans="1:52" x14ac:dyDescent="0.2">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c r="AI492" s="103"/>
      <c r="AJ492" s="103"/>
      <c r="AK492" s="103"/>
      <c r="AL492" s="103"/>
      <c r="AM492" s="103"/>
      <c r="AN492" s="103"/>
      <c r="AO492" s="103"/>
      <c r="AP492" s="103"/>
      <c r="AQ492" s="103"/>
      <c r="AR492" s="103"/>
      <c r="AS492" s="103"/>
      <c r="AT492" s="103"/>
      <c r="AU492" s="103"/>
      <c r="AV492" s="103"/>
      <c r="AW492" s="103"/>
      <c r="AX492" s="103"/>
      <c r="AY492" s="103"/>
      <c r="AZ492" s="103"/>
    </row>
    <row r="493" spans="1:52" x14ac:dyDescent="0.2">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c r="AI493" s="103"/>
      <c r="AJ493" s="103"/>
      <c r="AK493" s="103"/>
      <c r="AL493" s="103"/>
      <c r="AM493" s="103"/>
      <c r="AN493" s="103"/>
      <c r="AO493" s="103"/>
      <c r="AP493" s="103"/>
      <c r="AQ493" s="103"/>
      <c r="AR493" s="103"/>
      <c r="AS493" s="103"/>
      <c r="AT493" s="103"/>
      <c r="AU493" s="103"/>
      <c r="AV493" s="103"/>
      <c r="AW493" s="103"/>
      <c r="AX493" s="103"/>
      <c r="AY493" s="103"/>
      <c r="AZ493" s="103"/>
    </row>
    <row r="494" spans="1:52" x14ac:dyDescent="0.2">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c r="AI494" s="103"/>
      <c r="AJ494" s="103"/>
      <c r="AK494" s="103"/>
      <c r="AL494" s="103"/>
      <c r="AM494" s="103"/>
      <c r="AN494" s="103"/>
      <c r="AO494" s="103"/>
      <c r="AP494" s="103"/>
      <c r="AQ494" s="103"/>
      <c r="AR494" s="103"/>
      <c r="AS494" s="103"/>
      <c r="AT494" s="103"/>
      <c r="AU494" s="103"/>
      <c r="AV494" s="103"/>
      <c r="AW494" s="103"/>
      <c r="AX494" s="103"/>
      <c r="AY494" s="103"/>
      <c r="AZ494" s="103"/>
    </row>
    <row r="495" spans="1:52" x14ac:dyDescent="0.2">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c r="AI495" s="103"/>
      <c r="AJ495" s="103"/>
      <c r="AK495" s="103"/>
      <c r="AL495" s="103"/>
      <c r="AM495" s="103"/>
      <c r="AN495" s="103"/>
      <c r="AO495" s="103"/>
      <c r="AP495" s="103"/>
      <c r="AQ495" s="103"/>
      <c r="AR495" s="103"/>
      <c r="AS495" s="103"/>
      <c r="AT495" s="103"/>
      <c r="AU495" s="103"/>
      <c r="AV495" s="103"/>
      <c r="AW495" s="103"/>
      <c r="AX495" s="103"/>
      <c r="AY495" s="103"/>
      <c r="AZ495" s="103"/>
    </row>
    <row r="496" spans="1:52" x14ac:dyDescent="0.2">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c r="AI496" s="103"/>
      <c r="AJ496" s="103"/>
      <c r="AK496" s="103"/>
      <c r="AL496" s="103"/>
      <c r="AM496" s="103"/>
      <c r="AN496" s="103"/>
      <c r="AO496" s="103"/>
      <c r="AP496" s="103"/>
      <c r="AQ496" s="103"/>
      <c r="AR496" s="103"/>
      <c r="AS496" s="103"/>
      <c r="AT496" s="103"/>
      <c r="AU496" s="103"/>
      <c r="AV496" s="103"/>
      <c r="AW496" s="103"/>
      <c r="AX496" s="103"/>
      <c r="AY496" s="103"/>
      <c r="AZ496" s="103"/>
    </row>
    <row r="497" spans="1:52" x14ac:dyDescent="0.2">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3"/>
      <c r="AK497" s="103"/>
      <c r="AL497" s="103"/>
      <c r="AM497" s="103"/>
      <c r="AN497" s="103"/>
      <c r="AO497" s="103"/>
      <c r="AP497" s="103"/>
      <c r="AQ497" s="103"/>
      <c r="AR497" s="103"/>
      <c r="AS497" s="103"/>
      <c r="AT497" s="103"/>
      <c r="AU497" s="103"/>
      <c r="AV497" s="103"/>
      <c r="AW497" s="103"/>
      <c r="AX497" s="103"/>
      <c r="AY497" s="103"/>
      <c r="AZ497" s="103"/>
    </row>
    <row r="498" spans="1:52" x14ac:dyDescent="0.2">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c r="AA498" s="103"/>
      <c r="AB498" s="103"/>
      <c r="AC498" s="103"/>
      <c r="AD498" s="103"/>
      <c r="AE498" s="103"/>
      <c r="AF498" s="103"/>
      <c r="AG498" s="103"/>
      <c r="AH498" s="103"/>
      <c r="AI498" s="103"/>
      <c r="AJ498" s="103"/>
      <c r="AK498" s="103"/>
      <c r="AL498" s="103"/>
      <c r="AM498" s="103"/>
      <c r="AN498" s="103"/>
      <c r="AO498" s="103"/>
      <c r="AP498" s="103"/>
      <c r="AQ498" s="103"/>
      <c r="AR498" s="103"/>
      <c r="AS498" s="103"/>
      <c r="AT498" s="103"/>
      <c r="AU498" s="103"/>
      <c r="AV498" s="103"/>
      <c r="AW498" s="103"/>
      <c r="AX498" s="103"/>
      <c r="AY498" s="103"/>
      <c r="AZ498" s="103"/>
    </row>
    <row r="499" spans="1:52" x14ac:dyDescent="0.2">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c r="AG499" s="103"/>
      <c r="AH499" s="103"/>
      <c r="AI499" s="103"/>
      <c r="AJ499" s="103"/>
      <c r="AK499" s="103"/>
      <c r="AL499" s="103"/>
      <c r="AM499" s="103"/>
      <c r="AN499" s="103"/>
      <c r="AO499" s="103"/>
      <c r="AP499" s="103"/>
      <c r="AQ499" s="103"/>
      <c r="AR499" s="103"/>
      <c r="AS499" s="103"/>
      <c r="AT499" s="103"/>
      <c r="AU499" s="103"/>
      <c r="AV499" s="103"/>
      <c r="AW499" s="103"/>
      <c r="AX499" s="103"/>
      <c r="AY499" s="103"/>
      <c r="AZ499" s="103"/>
    </row>
    <row r="500" spans="1:52" x14ac:dyDescent="0.2">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c r="AA500" s="103"/>
      <c r="AB500" s="103"/>
      <c r="AC500" s="103"/>
      <c r="AD500" s="103"/>
      <c r="AE500" s="103"/>
      <c r="AF500" s="103"/>
      <c r="AG500" s="103"/>
      <c r="AH500" s="103"/>
      <c r="AI500" s="103"/>
      <c r="AJ500" s="103"/>
      <c r="AK500" s="103"/>
      <c r="AL500" s="103"/>
      <c r="AM500" s="103"/>
      <c r="AN500" s="103"/>
      <c r="AO500" s="103"/>
      <c r="AP500" s="103"/>
      <c r="AQ500" s="103"/>
      <c r="AR500" s="103"/>
      <c r="AS500" s="103"/>
      <c r="AT500" s="103"/>
      <c r="AU500" s="103"/>
      <c r="AV500" s="103"/>
      <c r="AW500" s="103"/>
      <c r="AX500" s="103"/>
      <c r="AY500" s="103"/>
      <c r="AZ500" s="103"/>
    </row>
    <row r="501" spans="1:52" x14ac:dyDescent="0.2">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row>
  </sheetData>
  <mergeCells count="16">
    <mergeCell ref="A61:E61"/>
    <mergeCell ref="A38:G38"/>
    <mergeCell ref="A40:C40"/>
    <mergeCell ref="A48:C48"/>
    <mergeCell ref="A51:E51"/>
    <mergeCell ref="A58:E58"/>
    <mergeCell ref="A59:E60"/>
    <mergeCell ref="A1:C1"/>
    <mergeCell ref="A2:B2"/>
    <mergeCell ref="A3:B3"/>
    <mergeCell ref="A5:I5"/>
    <mergeCell ref="A6:A7"/>
    <mergeCell ref="B6:C6"/>
    <mergeCell ref="D6:G6"/>
    <mergeCell ref="H6:H7"/>
    <mergeCell ref="I6:I7"/>
  </mergeCells>
  <hyperlinks>
    <hyperlink ref="F54" r:id="rId1" xr:uid="{5B5EA329-0186-436C-8DE2-3A45BF366D5E}"/>
  </hyperlinks>
  <pageMargins left="0.25" right="0.25" top="0.75" bottom="0.75" header="0.3" footer="0.3"/>
  <pageSetup paperSize="3" scale="94" orientation="landscape"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Summary</vt:lpstr>
      <vt:lpstr>Summary Table</vt:lpstr>
      <vt:lpstr>NPV</vt:lpstr>
      <vt:lpstr>Costs</vt:lpstr>
      <vt:lpstr>Maintenance</vt:lpstr>
      <vt:lpstr>Safety</vt:lpstr>
      <vt:lpstr>Travel Time</vt:lpstr>
      <vt:lpstr>Environmental Protection</vt:lpstr>
      <vt:lpstr>Costs!Print_Area</vt:lpstr>
      <vt:lpstr>'Environmental Protection'!Print_Area</vt:lpstr>
      <vt:lpstr>Maintenance!Print_Area</vt:lpstr>
      <vt:lpstr>NPV!Print_Area</vt:lpstr>
      <vt:lpstr>Summary!Print_Area</vt:lpstr>
      <vt:lpstr>'Summary Table'!Print_Area</vt:lpstr>
      <vt:lpstr>'Travel Time'!Print_Area</vt:lpstr>
    </vt:vector>
  </TitlesOfParts>
  <Company>Kimley-Horn and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aaron.nathan</dc:creator>
  <cp:lastModifiedBy>Brian Comer</cp:lastModifiedBy>
  <cp:lastPrinted>2019-06-28T16:52:49Z</cp:lastPrinted>
  <dcterms:created xsi:type="dcterms:W3CDTF">2011-10-18T15:31:40Z</dcterms:created>
  <dcterms:modified xsi:type="dcterms:W3CDTF">2020-02-21T23:04:36Z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m_Crash_Cost" linkTarget="Prop_Dam_Crash_Cost">
    <vt:lpwstr>#REF!</vt:lpwstr>
  </property>
</Properties>
</file>