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stvinc.sharepoint.com/sites/0089116/Shared Documents/General/I-40 2024 BIP Application/_Final/2. BCA and Budget/"/>
    </mc:Choice>
  </mc:AlternateContent>
  <xr:revisionPtr revIDLastSave="2" documentId="13_ncr:1_{C85270F0-108B-4CB2-B9A4-410D96122D4C}" xr6:coauthVersionLast="47" xr6:coauthVersionMax="47" xr10:uidLastSave="{A02B4388-A5CC-43D5-9478-38A5FA274062}"/>
  <bookViews>
    <workbookView xWindow="-2430" yWindow="1845" windowWidth="21600" windowHeight="11385" tabRatio="954" activeTab="1" xr2:uid="{00000000-000D-0000-FFFF-FFFF00000000}"/>
  </bookViews>
  <sheets>
    <sheet name="ReadMe" sheetId="1" r:id="rId1"/>
    <sheet name="1-Summary" sheetId="2" r:id="rId2"/>
    <sheet name="2-Matrix" sheetId="3" r:id="rId3"/>
    <sheet name="3-Inputs" sheetId="4" r:id="rId4"/>
    <sheet name="3a-Emissions Inputs" sheetId="5" r:id="rId5"/>
    <sheet name="3b-Emissions Factors" sheetId="31" r:id="rId6"/>
    <sheet name="4-Schedule" sheetId="17" r:id="rId7"/>
    <sheet name="5-Capital Costs" sheetId="6" r:id="rId8"/>
    <sheet name="6-Traffic Data" sheetId="9" r:id="rId9"/>
    <sheet name="7-Bridge Closure" sheetId="21" r:id="rId10"/>
    <sheet name="8-Annual O&amp;M" sheetId="29" r:id="rId11"/>
    <sheet name="9-Travel Time Savings" sheetId="28" r:id="rId12"/>
    <sheet name="10-Safety" sheetId="19" r:id="rId13"/>
    <sheet name="11-Vehicle Operating Cost" sheetId="12" r:id="rId14"/>
    <sheet name="12-Shoulder Widening" sheetId="13" r:id="rId15"/>
    <sheet name="13-Marginal Social Cost" sheetId="15" r:id="rId16"/>
    <sheet name="14-Emissions" sheetId="16" r:id="rId17"/>
    <sheet name="15-Emergency Medical Response" sheetId="20" r:id="rId18"/>
    <sheet name="16-Residual Value" sheetId="18" r:id="rId19"/>
    <sheet name="17-O&amp;M Cost Avoided" sheetId="22" r:id="rId20"/>
    <sheet name="18-Travel Time Disbenefits" sheetId="25" r:id="rId21"/>
    <sheet name="19-Safety Disbenefits" sheetId="27" r:id="rId22"/>
    <sheet name="Detour" sheetId="8" r:id="rId23"/>
    <sheet name="Graphics" sheetId="30" r:id="rId24"/>
    <sheet name="Deflator" sheetId="7"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J18" i="25"/>
  <c r="J8" i="25"/>
  <c r="J16" i="25"/>
  <c r="I70" i="28"/>
  <c r="I68" i="28"/>
  <c r="I34" i="28"/>
  <c r="G5" i="18"/>
  <c r="G4" i="18"/>
  <c r="G3" i="18"/>
  <c r="G80" i="6"/>
  <c r="F80" i="6"/>
  <c r="F77" i="6"/>
  <c r="E80" i="6"/>
  <c r="D80" i="6"/>
  <c r="A26" i="6" l="1"/>
  <c r="B26" i="6"/>
  <c r="C52" i="6"/>
  <c r="C65" i="6" s="1"/>
  <c r="C44" i="6"/>
  <c r="C57" i="6" s="1"/>
  <c r="D30" i="6"/>
  <c r="D31" i="6"/>
  <c r="D29" i="6"/>
  <c r="A27" i="6"/>
  <c r="B27" i="6"/>
  <c r="E5" i="27"/>
  <c r="E13" i="27" s="1"/>
  <c r="E6" i="27"/>
  <c r="E14" i="27" s="1"/>
  <c r="E7" i="27"/>
  <c r="E15" i="27" s="1"/>
  <c r="E4" i="27"/>
  <c r="E12" i="27" s="1"/>
  <c r="E3" i="27"/>
  <c r="E11" i="27" s="1"/>
  <c r="E57" i="6" l="1"/>
  <c r="E70" i="6" s="1"/>
  <c r="F57" i="6"/>
  <c r="F70" i="6" s="1"/>
  <c r="F17" i="3"/>
  <c r="F24" i="3"/>
  <c r="F29" i="3"/>
  <c r="F30" i="3"/>
  <c r="F36" i="3"/>
  <c r="F37" i="3"/>
  <c r="F38" i="3"/>
  <c r="F39" i="3"/>
  <c r="F65" i="31"/>
  <c r="E65" i="31"/>
  <c r="D65" i="31"/>
  <c r="C65" i="31"/>
  <c r="F64" i="31"/>
  <c r="E64" i="31"/>
  <c r="D64" i="31"/>
  <c r="C64" i="31"/>
  <c r="F63" i="31"/>
  <c r="E63" i="31"/>
  <c r="D63" i="31"/>
  <c r="C63" i="31"/>
  <c r="F62" i="31"/>
  <c r="E62" i="31"/>
  <c r="D62" i="31"/>
  <c r="C62" i="31"/>
  <c r="C58" i="31"/>
  <c r="D58" i="31"/>
  <c r="E58" i="31"/>
  <c r="F58" i="31"/>
  <c r="C59" i="31"/>
  <c r="D59" i="31"/>
  <c r="E59" i="31"/>
  <c r="F59" i="31"/>
  <c r="C60" i="31"/>
  <c r="D60" i="31"/>
  <c r="E60" i="31"/>
  <c r="F60" i="31"/>
  <c r="D57" i="31"/>
  <c r="E57" i="31"/>
  <c r="F57" i="31"/>
  <c r="C57" i="31"/>
  <c r="B9" i="16" l="1"/>
  <c r="C9" i="16"/>
  <c r="C8" i="20" l="1"/>
  <c r="B8" i="20"/>
  <c r="E13" i="25"/>
  <c r="E14" i="25" s="1"/>
  <c r="E15" i="25" s="1"/>
  <c r="E5" i="25"/>
  <c r="E6" i="25"/>
  <c r="E7" i="25" s="1"/>
  <c r="C45" i="4"/>
  <c r="C30" i="4"/>
  <c r="E5" i="22"/>
  <c r="E6" i="22" s="1"/>
  <c r="E7" i="22" s="1"/>
  <c r="E8" i="22" s="1"/>
  <c r="E9" i="22" s="1"/>
  <c r="E10" i="22" s="1"/>
  <c r="E11" i="22" s="1"/>
  <c r="E12" i="22" s="1"/>
  <c r="E13" i="22" s="1"/>
  <c r="E14" i="22" s="1"/>
  <c r="E15" i="22" s="1"/>
  <c r="E16" i="22" s="1"/>
  <c r="E17" i="22" s="1"/>
  <c r="E18" i="22" s="1"/>
  <c r="E19" i="22" s="1"/>
  <c r="E20" i="22" s="1"/>
  <c r="E21" i="22" s="1"/>
  <c r="E22" i="22" s="1"/>
  <c r="E23" i="22" s="1"/>
  <c r="E24" i="22" s="1"/>
  <c r="E25" i="22" s="1"/>
  <c r="E26" i="22" s="1"/>
  <c r="E27" i="22" s="1"/>
  <c r="E28" i="22" s="1"/>
  <c r="E29" i="22" s="1"/>
  <c r="E30" i="22" s="1"/>
  <c r="E31" i="22" s="1"/>
  <c r="E32" i="22" s="1"/>
  <c r="E33" i="22" s="1"/>
  <c r="C13" i="25"/>
  <c r="B13" i="25"/>
  <c r="C12" i="9"/>
  <c r="B12" i="9"/>
  <c r="C10" i="9"/>
  <c r="C11" i="9"/>
  <c r="B11" i="9"/>
  <c r="B10" i="9"/>
  <c r="B4" i="9"/>
  <c r="C4" i="9"/>
  <c r="C16" i="9"/>
  <c r="C15" i="9"/>
  <c r="B16" i="9"/>
  <c r="B15" i="9"/>
  <c r="C6" i="29"/>
  <c r="B6" i="29"/>
  <c r="C15" i="27" l="1"/>
  <c r="O37" i="15"/>
  <c r="P37" i="15"/>
  <c r="L37" i="15"/>
  <c r="M37" i="15"/>
  <c r="J37" i="15"/>
  <c r="I37" i="15"/>
  <c r="C3" i="12"/>
  <c r="C34" i="4"/>
  <c r="C11" i="27" s="1"/>
  <c r="E5" i="6"/>
  <c r="B10" i="20"/>
  <c r="B9" i="20"/>
  <c r="C29" i="20"/>
  <c r="D29" i="20"/>
  <c r="C6" i="13"/>
  <c r="B6" i="13"/>
  <c r="C15" i="13"/>
  <c r="B15" i="13"/>
  <c r="C14" i="13"/>
  <c r="B14" i="13"/>
  <c r="C13" i="13"/>
  <c r="B13" i="13"/>
  <c r="B12" i="13"/>
  <c r="C11" i="13"/>
  <c r="B11" i="13"/>
  <c r="C10" i="13"/>
  <c r="B10" i="13"/>
  <c r="B9" i="13"/>
  <c r="C8" i="13"/>
  <c r="B8" i="13"/>
  <c r="C7" i="13"/>
  <c r="B7" i="13"/>
  <c r="C14" i="27"/>
  <c r="B14" i="27"/>
  <c r="C13" i="27"/>
  <c r="B13" i="27"/>
  <c r="C12" i="27"/>
  <c r="B12" i="27"/>
  <c r="B11" i="27"/>
  <c r="C10" i="27"/>
  <c r="B10" i="27"/>
  <c r="C9" i="27"/>
  <c r="B9" i="27"/>
  <c r="B8" i="27"/>
  <c r="C7" i="27"/>
  <c r="B7" i="27"/>
  <c r="C6" i="27"/>
  <c r="B6" i="27"/>
  <c r="B15" i="27"/>
  <c r="B16" i="27"/>
  <c r="C16" i="27"/>
  <c r="C5" i="27"/>
  <c r="B5" i="27"/>
  <c r="C6" i="19"/>
  <c r="B6" i="19"/>
  <c r="B12" i="19"/>
  <c r="B9" i="19"/>
  <c r="B10" i="19"/>
  <c r="C10" i="19"/>
  <c r="D24" i="19" s="1"/>
  <c r="B11" i="19"/>
  <c r="C11" i="19"/>
  <c r="D25" i="19" s="1"/>
  <c r="D14" i="21"/>
  <c r="C18" i="4"/>
  <c r="C9" i="20" s="1"/>
  <c r="D13" i="21"/>
  <c r="C12" i="19" l="1"/>
  <c r="D26" i="19" s="1"/>
  <c r="C12" i="13"/>
  <c r="C18" i="13"/>
  <c r="C9" i="19"/>
  <c r="C9" i="13"/>
  <c r="C8" i="27"/>
  <c r="C23" i="27" s="1"/>
  <c r="C19" i="13"/>
  <c r="C21" i="27"/>
  <c r="C22" i="27"/>
  <c r="B9" i="29"/>
  <c r="B10" i="29"/>
  <c r="C104" i="4"/>
  <c r="C9" i="29" s="1"/>
  <c r="J5" i="29" s="1"/>
  <c r="J10" i="29" s="1"/>
  <c r="B8" i="29"/>
  <c r="B7" i="29"/>
  <c r="C105" i="4"/>
  <c r="C10" i="29" s="1"/>
  <c r="K5" i="29" s="1"/>
  <c r="C103" i="4"/>
  <c r="C8" i="29" s="1"/>
  <c r="I5" i="29" s="1"/>
  <c r="I6" i="29" s="1"/>
  <c r="I7" i="29" s="1"/>
  <c r="I8" i="29" s="1"/>
  <c r="I9" i="29" s="1"/>
  <c r="I10" i="29" s="1"/>
  <c r="I11" i="29" s="1"/>
  <c r="I12" i="29" s="1"/>
  <c r="I13" i="29" s="1"/>
  <c r="I14" i="29" s="1"/>
  <c r="I15" i="29" s="1"/>
  <c r="I16" i="29" s="1"/>
  <c r="I17" i="29" s="1"/>
  <c r="I18" i="29" s="1"/>
  <c r="I19" i="29" s="1"/>
  <c r="I20" i="29" s="1"/>
  <c r="I21" i="29" s="1"/>
  <c r="I22" i="29" s="1"/>
  <c r="I23" i="29" s="1"/>
  <c r="I24" i="29" s="1"/>
  <c r="I25" i="29" s="1"/>
  <c r="I26" i="29" s="1"/>
  <c r="I27" i="29" s="1"/>
  <c r="I28" i="29" s="1"/>
  <c r="I29" i="29" s="1"/>
  <c r="I30" i="29" s="1"/>
  <c r="I31" i="29" s="1"/>
  <c r="I32" i="29" s="1"/>
  <c r="I33" i="29" s="1"/>
  <c r="C102" i="4"/>
  <c r="C7" i="29" s="1"/>
  <c r="H4" i="29" s="1"/>
  <c r="L4" i="29" s="1"/>
  <c r="O4" i="29" s="1"/>
  <c r="E5" i="29"/>
  <c r="E6" i="29" s="1"/>
  <c r="E7" i="29" s="1"/>
  <c r="E8" i="29" s="1"/>
  <c r="E9" i="29" s="1"/>
  <c r="E10" i="29" s="1"/>
  <c r="E11" i="29" s="1"/>
  <c r="E12" i="29" s="1"/>
  <c r="E13" i="29" s="1"/>
  <c r="E14" i="29" s="1"/>
  <c r="E15" i="29" s="1"/>
  <c r="E16" i="29" s="1"/>
  <c r="E17" i="29" s="1"/>
  <c r="E18" i="29" s="1"/>
  <c r="E19" i="29" s="1"/>
  <c r="E20" i="29" s="1"/>
  <c r="E21" i="29" s="1"/>
  <c r="E22" i="29" s="1"/>
  <c r="E23" i="29" s="1"/>
  <c r="E24" i="29" s="1"/>
  <c r="E25" i="29" s="1"/>
  <c r="E26" i="29" s="1"/>
  <c r="E27" i="29" s="1"/>
  <c r="E28" i="29" s="1"/>
  <c r="E29" i="29" s="1"/>
  <c r="E30" i="29" s="1"/>
  <c r="E31" i="29" s="1"/>
  <c r="E32" i="29" s="1"/>
  <c r="E33" i="29" s="1"/>
  <c r="C5" i="29"/>
  <c r="F4" i="29" s="1"/>
  <c r="F5" i="29" s="1"/>
  <c r="F6" i="29" s="1"/>
  <c r="F7" i="29" s="1"/>
  <c r="F8" i="29" s="1"/>
  <c r="F9" i="29" s="1"/>
  <c r="B5" i="29"/>
  <c r="C4" i="29"/>
  <c r="B4" i="29"/>
  <c r="C3" i="29"/>
  <c r="B3" i="29"/>
  <c r="C18" i="27"/>
  <c r="B18" i="27"/>
  <c r="B30" i="9"/>
  <c r="C30" i="9"/>
  <c r="D25" i="20"/>
  <c r="C25" i="20"/>
  <c r="D24" i="20"/>
  <c r="C24" i="20"/>
  <c r="B9" i="22"/>
  <c r="B10" i="22"/>
  <c r="B11" i="22"/>
  <c r="C94" i="4"/>
  <c r="C9" i="22" s="1"/>
  <c r="K5" i="22" s="1"/>
  <c r="B6" i="22"/>
  <c r="B7" i="22"/>
  <c r="B8" i="22"/>
  <c r="C96" i="4"/>
  <c r="C11" i="22" s="1"/>
  <c r="M33" i="22" s="1"/>
  <c r="M34" i="22" s="1"/>
  <c r="C95" i="4"/>
  <c r="C10" i="22" s="1"/>
  <c r="L8" i="22" s="1"/>
  <c r="C93" i="4"/>
  <c r="C8" i="22" s="1"/>
  <c r="J5" i="22" s="1"/>
  <c r="J6" i="22" s="1"/>
  <c r="J7" i="22" s="1"/>
  <c r="C92" i="4"/>
  <c r="C7" i="22" s="1"/>
  <c r="I4" i="22" s="1"/>
  <c r="I5" i="22" s="1"/>
  <c r="I6" i="22" s="1"/>
  <c r="I7" i="22" s="1"/>
  <c r="C91" i="4"/>
  <c r="C6" i="22" s="1"/>
  <c r="C12" i="25"/>
  <c r="C11" i="25"/>
  <c r="C10" i="25"/>
  <c r="C15" i="25" s="1"/>
  <c r="B12" i="25"/>
  <c r="B11" i="25"/>
  <c r="B10" i="25"/>
  <c r="D54" i="2"/>
  <c r="C20" i="19" l="1"/>
  <c r="C17" i="25"/>
  <c r="H4" i="22"/>
  <c r="N4" i="22" s="1"/>
  <c r="H6" i="22"/>
  <c r="N6" i="22" s="1"/>
  <c r="H7" i="22"/>
  <c r="N7" i="22" s="1"/>
  <c r="H5" i="22"/>
  <c r="N5" i="22" s="1"/>
  <c r="F4" i="27"/>
  <c r="F12" i="27"/>
  <c r="H33" i="22"/>
  <c r="H5" i="29"/>
  <c r="L5" i="29" s="1"/>
  <c r="O5" i="29" s="1"/>
  <c r="C20" i="13"/>
  <c r="C26" i="19"/>
  <c r="E26" i="19" s="1"/>
  <c r="J15" i="29"/>
  <c r="J20" i="29" s="1"/>
  <c r="C26" i="20"/>
  <c r="F5" i="27"/>
  <c r="F6" i="27" s="1"/>
  <c r="F13" i="27"/>
  <c r="F14" i="27" s="1"/>
  <c r="F15" i="27" s="1"/>
  <c r="K34" i="29"/>
  <c r="F10" i="29"/>
  <c r="F11" i="29" s="1"/>
  <c r="F12" i="29" s="1"/>
  <c r="F13" i="29" s="1"/>
  <c r="F14" i="29" s="1"/>
  <c r="F15" i="29" s="1"/>
  <c r="F16" i="29" s="1"/>
  <c r="F17" i="29" s="1"/>
  <c r="F18" i="29" s="1"/>
  <c r="F19" i="29" s="1"/>
  <c r="F20" i="29" s="1"/>
  <c r="F21" i="29" s="1"/>
  <c r="F22" i="29" s="1"/>
  <c r="F23" i="29" s="1"/>
  <c r="F24" i="29" s="1"/>
  <c r="F25" i="29" s="1"/>
  <c r="F26" i="29" s="1"/>
  <c r="F27" i="29" s="1"/>
  <c r="F28" i="29" s="1"/>
  <c r="F29" i="29" s="1"/>
  <c r="F30" i="29" s="1"/>
  <c r="F31" i="29" s="1"/>
  <c r="F32" i="29" s="1"/>
  <c r="F33" i="29" s="1"/>
  <c r="J8" i="22"/>
  <c r="J9" i="22" s="1"/>
  <c r="J10" i="22" s="1"/>
  <c r="J11" i="22" s="1"/>
  <c r="J12" i="22" s="1"/>
  <c r="J13" i="22" s="1"/>
  <c r="J14" i="22" s="1"/>
  <c r="J15" i="22" s="1"/>
  <c r="J16" i="22" s="1"/>
  <c r="J17" i="22" s="1"/>
  <c r="J18" i="22" s="1"/>
  <c r="J19" i="22" s="1"/>
  <c r="J20" i="22" s="1"/>
  <c r="J21" i="22" s="1"/>
  <c r="J22" i="22" s="1"/>
  <c r="J23" i="22" s="1"/>
  <c r="J24" i="22" s="1"/>
  <c r="J25" i="22" s="1"/>
  <c r="J26" i="22" s="1"/>
  <c r="J27" i="22" s="1"/>
  <c r="J28" i="22" s="1"/>
  <c r="J29" i="22" s="1"/>
  <c r="J30" i="22" s="1"/>
  <c r="J31" i="22" s="1"/>
  <c r="J32" i="22" s="1"/>
  <c r="J33" i="22" s="1"/>
  <c r="K10" i="22"/>
  <c r="K15" i="22" s="1"/>
  <c r="K20" i="22" s="1"/>
  <c r="K25" i="22" s="1"/>
  <c r="K30" i="22" s="1"/>
  <c r="H27" i="22"/>
  <c r="H29" i="22"/>
  <c r="H28" i="22"/>
  <c r="H22" i="22"/>
  <c r="H32" i="22"/>
  <c r="H30" i="22"/>
  <c r="H31" i="22"/>
  <c r="H21" i="22"/>
  <c r="H16" i="22"/>
  <c r="H15" i="22"/>
  <c r="H14" i="22"/>
  <c r="H13" i="22"/>
  <c r="H12" i="22"/>
  <c r="I8" i="22"/>
  <c r="I9" i="22" s="1"/>
  <c r="I10" i="22" s="1"/>
  <c r="I11" i="22" s="1"/>
  <c r="I12" i="22" s="1"/>
  <c r="I13" i="22" s="1"/>
  <c r="I14" i="22" s="1"/>
  <c r="I15" i="22" s="1"/>
  <c r="I16" i="22" s="1"/>
  <c r="I17" i="22" s="1"/>
  <c r="I18" i="22" s="1"/>
  <c r="I19" i="22" s="1"/>
  <c r="I20" i="22" s="1"/>
  <c r="I21" i="22" s="1"/>
  <c r="I22" i="22" s="1"/>
  <c r="I23" i="22" s="1"/>
  <c r="I24" i="22" s="1"/>
  <c r="I25" i="22" s="1"/>
  <c r="I26" i="22" s="1"/>
  <c r="I27" i="22" s="1"/>
  <c r="I28" i="22" s="1"/>
  <c r="I29" i="22" s="1"/>
  <c r="I30" i="22" s="1"/>
  <c r="I31" i="22" s="1"/>
  <c r="I32" i="22" s="1"/>
  <c r="I33" i="22" s="1"/>
  <c r="H17" i="22"/>
  <c r="H18" i="22"/>
  <c r="H19" i="22"/>
  <c r="H20" i="22"/>
  <c r="H23" i="22"/>
  <c r="H8" i="22"/>
  <c r="H24" i="22"/>
  <c r="H9" i="22"/>
  <c r="H25" i="22"/>
  <c r="H10" i="22"/>
  <c r="H26" i="22"/>
  <c r="H11" i="22"/>
  <c r="C16" i="25"/>
  <c r="N10" i="22" l="1"/>
  <c r="N14" i="22"/>
  <c r="N15" i="22"/>
  <c r="N24" i="22"/>
  <c r="N21" i="22"/>
  <c r="N31" i="22"/>
  <c r="N23" i="22"/>
  <c r="N32" i="22"/>
  <c r="N22" i="22"/>
  <c r="N28" i="22"/>
  <c r="N25" i="22"/>
  <c r="N9" i="22"/>
  <c r="N16" i="22"/>
  <c r="N30" i="22"/>
  <c r="N20" i="22"/>
  <c r="N19" i="22"/>
  <c r="N18" i="22"/>
  <c r="N29" i="22"/>
  <c r="N33" i="22"/>
  <c r="N17" i="22"/>
  <c r="N27" i="22"/>
  <c r="N11" i="22"/>
  <c r="N12" i="22"/>
  <c r="N26" i="22"/>
  <c r="N13" i="22"/>
  <c r="H6" i="29"/>
  <c r="M5" i="29"/>
  <c r="K34" i="22"/>
  <c r="J34" i="22"/>
  <c r="I34" i="22"/>
  <c r="H34" i="22"/>
  <c r="C18" i="25"/>
  <c r="J25" i="29"/>
  <c r="I34" i="29"/>
  <c r="F7" i="27"/>
  <c r="I4" i="25" l="1"/>
  <c r="I13" i="25"/>
  <c r="I14" i="25"/>
  <c r="I12" i="25"/>
  <c r="I7" i="25"/>
  <c r="I6" i="25"/>
  <c r="I5" i="25"/>
  <c r="I15" i="25"/>
  <c r="H7" i="29"/>
  <c r="L6" i="29"/>
  <c r="J30" i="29"/>
  <c r="M4" i="29"/>
  <c r="M6" i="29" l="1"/>
  <c r="O6" i="29"/>
  <c r="H8" i="29"/>
  <c r="L7" i="29"/>
  <c r="J34" i="29"/>
  <c r="C13" i="28"/>
  <c r="C12" i="28"/>
  <c r="C9" i="28"/>
  <c r="C8" i="28"/>
  <c r="C7" i="28"/>
  <c r="C6" i="28"/>
  <c r="C5" i="28"/>
  <c r="F4" i="28" s="1"/>
  <c r="C4" i="28"/>
  <c r="C3" i="28"/>
  <c r="B12" i="28"/>
  <c r="B13" i="28"/>
  <c r="B11" i="28"/>
  <c r="B9" i="28"/>
  <c r="B8" i="28"/>
  <c r="B7" i="28"/>
  <c r="B6" i="28"/>
  <c r="B5" i="28"/>
  <c r="B4" i="28"/>
  <c r="B3" i="28"/>
  <c r="M7" i="29" l="1"/>
  <c r="O7" i="29"/>
  <c r="H9" i="29"/>
  <c r="L8" i="29"/>
  <c r="O8" i="29" s="1"/>
  <c r="F38" i="28"/>
  <c r="I4" i="28"/>
  <c r="J4" i="28" s="1"/>
  <c r="F5" i="28"/>
  <c r="C4" i="27"/>
  <c r="B4" i="27"/>
  <c r="C3" i="27"/>
  <c r="B3" i="27"/>
  <c r="B9" i="25"/>
  <c r="C9" i="25"/>
  <c r="C7" i="25"/>
  <c r="F4" i="25" s="1"/>
  <c r="C8" i="25"/>
  <c r="B7" i="25"/>
  <c r="B8" i="25"/>
  <c r="B3" i="25"/>
  <c r="C3" i="25"/>
  <c r="B4" i="25"/>
  <c r="C4" i="25"/>
  <c r="B5" i="25"/>
  <c r="C5" i="25"/>
  <c r="B6" i="25"/>
  <c r="C6" i="25"/>
  <c r="I38" i="28" l="1"/>
  <c r="J38" i="28" s="1"/>
  <c r="K38" i="28" s="1"/>
  <c r="M8" i="29"/>
  <c r="H10" i="29"/>
  <c r="L9" i="29"/>
  <c r="F39" i="28"/>
  <c r="F6" i="28"/>
  <c r="I5" i="28"/>
  <c r="J5" i="28" s="1"/>
  <c r="K5" i="28" s="1"/>
  <c r="K4" i="28"/>
  <c r="F12" i="25"/>
  <c r="F5" i="25"/>
  <c r="M9" i="29" l="1"/>
  <c r="O9" i="29"/>
  <c r="F13" i="25"/>
  <c r="F40" i="28"/>
  <c r="I40" i="28" s="1"/>
  <c r="J40" i="28" s="1"/>
  <c r="K40" i="28" s="1"/>
  <c r="H11" i="29"/>
  <c r="L10" i="29"/>
  <c r="O10" i="29" s="1"/>
  <c r="I39" i="28"/>
  <c r="J39" i="28" s="1"/>
  <c r="K39" i="28" s="1"/>
  <c r="F7" i="28"/>
  <c r="I6" i="28"/>
  <c r="J6" i="28" s="1"/>
  <c r="F41" i="28"/>
  <c r="F6" i="25"/>
  <c r="I33" i="20"/>
  <c r="I24" i="20"/>
  <c r="I25" i="20" s="1"/>
  <c r="I26" i="20" s="1"/>
  <c r="I27" i="20" s="1"/>
  <c r="I28" i="20" s="1"/>
  <c r="I29" i="20" s="1"/>
  <c r="I30" i="20" s="1"/>
  <c r="I31" i="20" s="1"/>
  <c r="I32" i="20" s="1"/>
  <c r="E58" i="15"/>
  <c r="E59" i="15"/>
  <c r="E60" i="15"/>
  <c r="E61" i="15" s="1"/>
  <c r="E62" i="15" s="1"/>
  <c r="E63" i="15" s="1"/>
  <c r="E64" i="15" s="1"/>
  <c r="E65" i="15" s="1"/>
  <c r="E66" i="15" s="1"/>
  <c r="E67" i="15" s="1"/>
  <c r="E24" i="15"/>
  <c r="E25" i="15"/>
  <c r="E26" i="15"/>
  <c r="E27" i="15" s="1"/>
  <c r="E28" i="15" s="1"/>
  <c r="E29" i="15" s="1"/>
  <c r="E30" i="15" s="1"/>
  <c r="E31" i="15" s="1"/>
  <c r="E32" i="15" s="1"/>
  <c r="E33" i="15" s="1"/>
  <c r="E69" i="12"/>
  <c r="E68" i="12"/>
  <c r="E60" i="12"/>
  <c r="E61" i="12" s="1"/>
  <c r="E62" i="12" s="1"/>
  <c r="E63" i="12" s="1"/>
  <c r="E64" i="12" s="1"/>
  <c r="E65" i="12" s="1"/>
  <c r="E66" i="12" s="1"/>
  <c r="E67" i="12" s="1"/>
  <c r="B8" i="9"/>
  <c r="C8" i="9"/>
  <c r="B3" i="22"/>
  <c r="C3" i="22"/>
  <c r="B4" i="22"/>
  <c r="C4" i="22"/>
  <c r="B5" i="22"/>
  <c r="C5" i="22"/>
  <c r="F4" i="22" s="1"/>
  <c r="F5" i="22" s="1"/>
  <c r="F6" i="22" s="1"/>
  <c r="F7" i="22" s="1"/>
  <c r="F8" i="22" s="1"/>
  <c r="F9" i="22" s="1"/>
  <c r="F10" i="22" s="1"/>
  <c r="F11" i="22" s="1"/>
  <c r="F12" i="22" s="1"/>
  <c r="F13" i="22" s="1"/>
  <c r="F14" i="22" s="1"/>
  <c r="F15" i="22" s="1"/>
  <c r="F16" i="22" s="1"/>
  <c r="F17" i="22" s="1"/>
  <c r="F18" i="22" s="1"/>
  <c r="F19" i="22" s="1"/>
  <c r="F20" i="22" s="1"/>
  <c r="F21" i="22" s="1"/>
  <c r="F22" i="22" s="1"/>
  <c r="F23" i="22" s="1"/>
  <c r="F24" i="22" s="1"/>
  <c r="F25" i="22" s="1"/>
  <c r="F26" i="22" s="1"/>
  <c r="F27" i="22" s="1"/>
  <c r="F28" i="22" s="1"/>
  <c r="F29" i="22" s="1"/>
  <c r="F30" i="22" s="1"/>
  <c r="F31" i="22" s="1"/>
  <c r="F32" i="22" s="1"/>
  <c r="F33" i="22" s="1"/>
  <c r="F14" i="25" l="1"/>
  <c r="M10" i="29"/>
  <c r="H12" i="29"/>
  <c r="L11" i="29"/>
  <c r="K6" i="28"/>
  <c r="F42" i="28"/>
  <c r="I41" i="28"/>
  <c r="J41" i="28" s="1"/>
  <c r="F8" i="28"/>
  <c r="I7" i="28"/>
  <c r="J7" i="28" s="1"/>
  <c r="K7" i="28" s="1"/>
  <c r="F7" i="25"/>
  <c r="O4" i="22"/>
  <c r="C12" i="20"/>
  <c r="E41" i="20" s="1"/>
  <c r="B12" i="20"/>
  <c r="C11" i="20"/>
  <c r="C38" i="20" s="1"/>
  <c r="B11" i="20"/>
  <c r="C10" i="20"/>
  <c r="C35" i="20" s="1"/>
  <c r="M11" i="29" l="1"/>
  <c r="O11" i="29"/>
  <c r="F15" i="25"/>
  <c r="O6" i="22"/>
  <c r="O7" i="22"/>
  <c r="O5" i="22"/>
  <c r="H13" i="29"/>
  <c r="L12" i="29"/>
  <c r="C41" i="20"/>
  <c r="C39" i="20"/>
  <c r="C42" i="20" s="1"/>
  <c r="K41" i="28"/>
  <c r="F43" i="28"/>
  <c r="I42" i="28"/>
  <c r="J42" i="28" s="1"/>
  <c r="K42" i="28" s="1"/>
  <c r="F9" i="28"/>
  <c r="I8" i="28"/>
  <c r="J8" i="28" s="1"/>
  <c r="K8" i="28" s="1"/>
  <c r="O9" i="22"/>
  <c r="B2" i="3"/>
  <c r="M12" i="29" l="1"/>
  <c r="O12" i="29"/>
  <c r="H14" i="29"/>
  <c r="L13" i="29"/>
  <c r="O13" i="29" s="1"/>
  <c r="F10" i="28"/>
  <c r="I9" i="28"/>
  <c r="J9" i="28" s="1"/>
  <c r="F44" i="28"/>
  <c r="I43" i="28"/>
  <c r="J43" i="28" s="1"/>
  <c r="K43" i="28" s="1"/>
  <c r="O10" i="22"/>
  <c r="F10" i="6"/>
  <c r="E31" i="6" s="1"/>
  <c r="M13" i="29" l="1"/>
  <c r="H15" i="29"/>
  <c r="L14" i="29"/>
  <c r="F45" i="28"/>
  <c r="I44" i="28"/>
  <c r="J44" i="28" s="1"/>
  <c r="K9" i="28"/>
  <c r="F11" i="28"/>
  <c r="I10" i="28"/>
  <c r="J10" i="28" s="1"/>
  <c r="K10" i="28" s="1"/>
  <c r="O11" i="22"/>
  <c r="C7" i="20"/>
  <c r="B7" i="20"/>
  <c r="I5" i="20"/>
  <c r="I6" i="20" s="1"/>
  <c r="I7" i="20" s="1"/>
  <c r="I8" i="20" s="1"/>
  <c r="I9" i="20" s="1"/>
  <c r="I10" i="20" s="1"/>
  <c r="I11" i="20" s="1"/>
  <c r="I12" i="20" s="1"/>
  <c r="I13" i="20" s="1"/>
  <c r="I14" i="20" s="1"/>
  <c r="I15" i="20" s="1"/>
  <c r="I16" i="20" s="1"/>
  <c r="I17" i="20" s="1"/>
  <c r="I18" i="20" s="1"/>
  <c r="I19" i="20" s="1"/>
  <c r="I20" i="20" s="1"/>
  <c r="I21" i="20" s="1"/>
  <c r="I22" i="20" s="1"/>
  <c r="I23" i="20" s="1"/>
  <c r="C6" i="20"/>
  <c r="B6" i="20"/>
  <c r="C5" i="20"/>
  <c r="B5" i="20"/>
  <c r="C4" i="20"/>
  <c r="B4" i="20"/>
  <c r="C3" i="20"/>
  <c r="B3" i="20"/>
  <c r="M14" i="29" l="1"/>
  <c r="O14" i="29"/>
  <c r="J4" i="20"/>
  <c r="K4" i="20" s="1"/>
  <c r="L4" i="20" s="1"/>
  <c r="M4" i="20" s="1"/>
  <c r="E31" i="20"/>
  <c r="H16" i="29"/>
  <c r="L15" i="29"/>
  <c r="O15" i="29" s="1"/>
  <c r="F12" i="28"/>
  <c r="I11" i="28"/>
  <c r="J11" i="28" s="1"/>
  <c r="K11" i="28" s="1"/>
  <c r="K44" i="28"/>
  <c r="C11" i="28"/>
  <c r="F46" i="28"/>
  <c r="I45" i="28"/>
  <c r="J45" i="28" s="1"/>
  <c r="K45" i="28" s="1"/>
  <c r="O12" i="22"/>
  <c r="C15" i="28" l="1"/>
  <c r="H33" i="28" s="1"/>
  <c r="C9" i="30"/>
  <c r="J5" i="20"/>
  <c r="M15" i="29"/>
  <c r="H17" i="29"/>
  <c r="L16" i="29"/>
  <c r="H12" i="28"/>
  <c r="H4" i="28"/>
  <c r="H62" i="28"/>
  <c r="H46" i="28"/>
  <c r="H18" i="28"/>
  <c r="H61" i="28"/>
  <c r="H45" i="28"/>
  <c r="H42" i="28"/>
  <c r="H14" i="28"/>
  <c r="H57" i="28"/>
  <c r="H29" i="28"/>
  <c r="H55" i="28"/>
  <c r="H10" i="28"/>
  <c r="H53" i="28"/>
  <c r="H5" i="28"/>
  <c r="H60" i="28"/>
  <c r="H44" i="28"/>
  <c r="H32" i="28"/>
  <c r="H16" i="28"/>
  <c r="H27" i="28"/>
  <c r="H25" i="28"/>
  <c r="H52" i="28"/>
  <c r="H67" i="28"/>
  <c r="H51" i="28"/>
  <c r="H23" i="28"/>
  <c r="H7" i="28"/>
  <c r="H66" i="28"/>
  <c r="H50" i="28"/>
  <c r="H22" i="28"/>
  <c r="H6" i="28"/>
  <c r="H59" i="28"/>
  <c r="H43" i="28"/>
  <c r="H13" i="28"/>
  <c r="H56" i="28"/>
  <c r="H40" i="28"/>
  <c r="H11" i="28"/>
  <c r="H54" i="28"/>
  <c r="H38" i="28"/>
  <c r="H26" i="28"/>
  <c r="H9" i="28"/>
  <c r="H8" i="28"/>
  <c r="H65" i="28"/>
  <c r="H49" i="28"/>
  <c r="H21" i="28"/>
  <c r="H19" i="28"/>
  <c r="H47" i="28"/>
  <c r="H20" i="28"/>
  <c r="H63" i="28"/>
  <c r="F47" i="28"/>
  <c r="I46" i="28"/>
  <c r="J46" i="28" s="1"/>
  <c r="K46" i="28" s="1"/>
  <c r="F13" i="28"/>
  <c r="O13" i="22"/>
  <c r="J6" i="20"/>
  <c r="K5" i="20"/>
  <c r="C16" i="13"/>
  <c r="B16" i="13"/>
  <c r="G40" i="19"/>
  <c r="G41" i="19" s="1"/>
  <c r="G42" i="19" s="1"/>
  <c r="G43" i="19" s="1"/>
  <c r="G44" i="19" s="1"/>
  <c r="G45" i="19" s="1"/>
  <c r="G46" i="19" s="1"/>
  <c r="G47" i="19" s="1"/>
  <c r="G48" i="19" s="1"/>
  <c r="G49" i="19" s="1"/>
  <c r="G50" i="19" s="1"/>
  <c r="G51" i="19" s="1"/>
  <c r="G52" i="19" s="1"/>
  <c r="G53" i="19" s="1"/>
  <c r="G54" i="19" s="1"/>
  <c r="G55" i="19" s="1"/>
  <c r="G56" i="19" s="1"/>
  <c r="G57" i="19" s="1"/>
  <c r="G58" i="19" s="1"/>
  <c r="G59" i="19" s="1"/>
  <c r="G60" i="19" s="1"/>
  <c r="G61" i="19" s="1"/>
  <c r="G62" i="19" s="1"/>
  <c r="G63" i="19" s="1"/>
  <c r="G64" i="19" s="1"/>
  <c r="G65" i="19" s="1"/>
  <c r="G66" i="19" s="1"/>
  <c r="G67" i="19" s="1"/>
  <c r="G68" i="19" s="1"/>
  <c r="C15" i="19"/>
  <c r="B15" i="19"/>
  <c r="C14" i="19"/>
  <c r="B14" i="19"/>
  <c r="C13" i="19"/>
  <c r="B13" i="19"/>
  <c r="C8" i="19"/>
  <c r="B8" i="19"/>
  <c r="C7" i="19"/>
  <c r="B7" i="19"/>
  <c r="G5" i="19"/>
  <c r="G6" i="19" s="1"/>
  <c r="G7" i="19" s="1"/>
  <c r="G8" i="19" s="1"/>
  <c r="G9" i="19" s="1"/>
  <c r="G10" i="19" s="1"/>
  <c r="G11" i="19" s="1"/>
  <c r="G12" i="19" s="1"/>
  <c r="G13" i="19" s="1"/>
  <c r="G14" i="19" s="1"/>
  <c r="G15" i="19" s="1"/>
  <c r="G16" i="19" s="1"/>
  <c r="G17" i="19" s="1"/>
  <c r="G18" i="19" s="1"/>
  <c r="G19" i="19" s="1"/>
  <c r="G20" i="19" s="1"/>
  <c r="G21" i="19" s="1"/>
  <c r="G22" i="19" s="1"/>
  <c r="G23" i="19" s="1"/>
  <c r="G24" i="19" s="1"/>
  <c r="G25" i="19" s="1"/>
  <c r="G26" i="19" s="1"/>
  <c r="G27" i="19" s="1"/>
  <c r="G28" i="19" s="1"/>
  <c r="G29" i="19" s="1"/>
  <c r="G30" i="19" s="1"/>
  <c r="G31" i="19" s="1"/>
  <c r="G32" i="19" s="1"/>
  <c r="G33" i="19" s="1"/>
  <c r="C5" i="19"/>
  <c r="H39" i="19" s="1"/>
  <c r="B5" i="19"/>
  <c r="C4" i="19"/>
  <c r="B4" i="19"/>
  <c r="C3" i="19"/>
  <c r="B3" i="19"/>
  <c r="H39" i="28" l="1"/>
  <c r="M16" i="29"/>
  <c r="O16" i="29"/>
  <c r="H28" i="28"/>
  <c r="H24" i="28"/>
  <c r="H41" i="28"/>
  <c r="H48" i="28"/>
  <c r="H15" i="28"/>
  <c r="H30" i="28"/>
  <c r="H17" i="28"/>
  <c r="H64" i="28"/>
  <c r="H31" i="28"/>
  <c r="H58" i="28"/>
  <c r="H18" i="29"/>
  <c r="L17" i="29"/>
  <c r="L5" i="20"/>
  <c r="M5" i="20" s="1"/>
  <c r="C18" i="19"/>
  <c r="C24" i="19"/>
  <c r="E24" i="19" s="1"/>
  <c r="C19" i="19"/>
  <c r="C25" i="19"/>
  <c r="E25" i="19" s="1"/>
  <c r="N8" i="22"/>
  <c r="F48" i="28"/>
  <c r="I47" i="28"/>
  <c r="J47" i="28" s="1"/>
  <c r="K47" i="28" s="1"/>
  <c r="F14" i="28"/>
  <c r="O14" i="22"/>
  <c r="J7" i="20"/>
  <c r="K6" i="20"/>
  <c r="H4" i="19"/>
  <c r="H40" i="19"/>
  <c r="M17" i="29" l="1"/>
  <c r="O17" i="29"/>
  <c r="O8" i="22"/>
  <c r="N34" i="22"/>
  <c r="L34" i="22"/>
  <c r="H19" i="29"/>
  <c r="L18" i="29"/>
  <c r="L6" i="20"/>
  <c r="M6" i="20" s="1"/>
  <c r="F15" i="28"/>
  <c r="F49" i="28"/>
  <c r="I48" i="28"/>
  <c r="J48" i="28" s="1"/>
  <c r="K48" i="28" s="1"/>
  <c r="H5" i="19"/>
  <c r="O15" i="22"/>
  <c r="J8" i="20"/>
  <c r="K7" i="20"/>
  <c r="L7" i="20" s="1"/>
  <c r="M7" i="20" s="1"/>
  <c r="H41" i="19"/>
  <c r="M18" i="29" l="1"/>
  <c r="O18" i="29"/>
  <c r="H20" i="29"/>
  <c r="L19" i="29"/>
  <c r="F50" i="28"/>
  <c r="I49" i="28"/>
  <c r="J49" i="28" s="1"/>
  <c r="K49" i="28" s="1"/>
  <c r="F16" i="28"/>
  <c r="H6" i="19"/>
  <c r="O16" i="22"/>
  <c r="J9" i="20"/>
  <c r="K8" i="20"/>
  <c r="H42" i="19"/>
  <c r="M19" i="29" l="1"/>
  <c r="O19" i="29"/>
  <c r="H21" i="29"/>
  <c r="L20" i="29"/>
  <c r="L8" i="20"/>
  <c r="M8" i="20" s="1"/>
  <c r="F17" i="28"/>
  <c r="F51" i="28"/>
  <c r="I50" i="28"/>
  <c r="J50" i="28" s="1"/>
  <c r="K50" i="28" s="1"/>
  <c r="H7" i="19"/>
  <c r="O17" i="22"/>
  <c r="J10" i="20"/>
  <c r="J11" i="20" s="1"/>
  <c r="J12" i="20" s="1"/>
  <c r="J13" i="20" s="1"/>
  <c r="J14" i="20" s="1"/>
  <c r="J15" i="20" s="1"/>
  <c r="J16" i="20" s="1"/>
  <c r="J17" i="20" s="1"/>
  <c r="J18" i="20" s="1"/>
  <c r="J19" i="20" s="1"/>
  <c r="J20" i="20" s="1"/>
  <c r="J21" i="20" s="1"/>
  <c r="J22" i="20" s="1"/>
  <c r="J23" i="20" s="1"/>
  <c r="J24" i="20" s="1"/>
  <c r="K9" i="20"/>
  <c r="L9" i="20" s="1"/>
  <c r="M9" i="20" s="1"/>
  <c r="H43" i="19"/>
  <c r="M20" i="29" l="1"/>
  <c r="O20" i="29"/>
  <c r="H22" i="29"/>
  <c r="L21" i="29"/>
  <c r="F52" i="28"/>
  <c r="I51" i="28"/>
  <c r="J51" i="28" s="1"/>
  <c r="K51" i="28" s="1"/>
  <c r="F18" i="28"/>
  <c r="J25" i="20"/>
  <c r="H8" i="19"/>
  <c r="O18" i="22"/>
  <c r="K10" i="20"/>
  <c r="L10" i="20" s="1"/>
  <c r="M10" i="20" s="1"/>
  <c r="H44" i="19"/>
  <c r="M21" i="29" l="1"/>
  <c r="O21" i="29"/>
  <c r="H23" i="29"/>
  <c r="L22" i="29"/>
  <c r="F19" i="28"/>
  <c r="F53" i="28"/>
  <c r="I52" i="28"/>
  <c r="J52" i="28" s="1"/>
  <c r="K52" i="28" s="1"/>
  <c r="J26" i="20"/>
  <c r="H9" i="19"/>
  <c r="O19" i="22"/>
  <c r="K11" i="20"/>
  <c r="L11" i="20" s="1"/>
  <c r="M11" i="20" s="1"/>
  <c r="H45" i="19"/>
  <c r="M22" i="29" l="1"/>
  <c r="O22" i="29"/>
  <c r="H24" i="29"/>
  <c r="L23" i="29"/>
  <c r="F54" i="28"/>
  <c r="I53" i="28"/>
  <c r="J53" i="28" s="1"/>
  <c r="K53" i="28" s="1"/>
  <c r="F20" i="28"/>
  <c r="J27" i="20"/>
  <c r="H10" i="19"/>
  <c r="O20" i="22"/>
  <c r="K12" i="20"/>
  <c r="L12" i="20" s="1"/>
  <c r="M12" i="20" s="1"/>
  <c r="H46" i="19"/>
  <c r="M23" i="29" l="1"/>
  <c r="O23" i="29"/>
  <c r="H25" i="29"/>
  <c r="L24" i="29"/>
  <c r="F21" i="28"/>
  <c r="F55" i="28"/>
  <c r="I54" i="28"/>
  <c r="J54" i="28" s="1"/>
  <c r="K54" i="28" s="1"/>
  <c r="J28" i="20"/>
  <c r="H11" i="19"/>
  <c r="O21" i="22"/>
  <c r="K13" i="20"/>
  <c r="L13" i="20" s="1"/>
  <c r="M13" i="20" s="1"/>
  <c r="H47" i="19"/>
  <c r="M24" i="29" l="1"/>
  <c r="O24" i="29"/>
  <c r="H26" i="29"/>
  <c r="L25" i="29"/>
  <c r="F22" i="28"/>
  <c r="F56" i="28"/>
  <c r="I55" i="28"/>
  <c r="J55" i="28" s="1"/>
  <c r="K55" i="28" s="1"/>
  <c r="J29" i="20"/>
  <c r="H12" i="19"/>
  <c r="O22" i="22"/>
  <c r="K14" i="20"/>
  <c r="L14" i="20" s="1"/>
  <c r="M14" i="20" s="1"/>
  <c r="H48" i="19"/>
  <c r="M25" i="29" l="1"/>
  <c r="O25" i="29"/>
  <c r="H27" i="29"/>
  <c r="L26" i="29"/>
  <c r="F57" i="28"/>
  <c r="I56" i="28"/>
  <c r="J56" i="28" s="1"/>
  <c r="K56" i="28" s="1"/>
  <c r="F23" i="28"/>
  <c r="J30" i="20"/>
  <c r="H13" i="19"/>
  <c r="O23" i="22"/>
  <c r="K15" i="20"/>
  <c r="L15" i="20" s="1"/>
  <c r="M15" i="20" s="1"/>
  <c r="H49" i="19"/>
  <c r="M26" i="29" l="1"/>
  <c r="O26" i="29"/>
  <c r="H28" i="29"/>
  <c r="L27" i="29"/>
  <c r="F24" i="28"/>
  <c r="F58" i="28"/>
  <c r="I57" i="28"/>
  <c r="J57" i="28" s="1"/>
  <c r="K57" i="28" s="1"/>
  <c r="J31" i="20"/>
  <c r="H14" i="19"/>
  <c r="O24" i="22"/>
  <c r="K16" i="20"/>
  <c r="L16" i="20" s="1"/>
  <c r="M16" i="20" s="1"/>
  <c r="H50" i="19"/>
  <c r="M27" i="29" l="1"/>
  <c r="O27" i="29"/>
  <c r="H29" i="29"/>
  <c r="L28" i="29"/>
  <c r="F59" i="28"/>
  <c r="I58" i="28"/>
  <c r="J58" i="28" s="1"/>
  <c r="K58" i="28" s="1"/>
  <c r="F25" i="28"/>
  <c r="J32" i="20"/>
  <c r="H15" i="19"/>
  <c r="O25" i="22"/>
  <c r="K17" i="20"/>
  <c r="L17" i="20" s="1"/>
  <c r="M17" i="20" s="1"/>
  <c r="H51" i="19"/>
  <c r="M28" i="29" l="1"/>
  <c r="O28" i="29"/>
  <c r="H30" i="29"/>
  <c r="L29" i="29"/>
  <c r="F26" i="28"/>
  <c r="F60" i="28"/>
  <c r="I59" i="28"/>
  <c r="J59" i="28" s="1"/>
  <c r="K59" i="28" s="1"/>
  <c r="J33" i="20"/>
  <c r="H16" i="19"/>
  <c r="O26" i="22"/>
  <c r="K18" i="20"/>
  <c r="L18" i="20" s="1"/>
  <c r="M18" i="20" s="1"/>
  <c r="H52" i="19"/>
  <c r="M29" i="29" l="1"/>
  <c r="O29" i="29"/>
  <c r="H31" i="29"/>
  <c r="L30" i="29"/>
  <c r="F61" i="28"/>
  <c r="F27" i="28"/>
  <c r="H17" i="19"/>
  <c r="O27" i="22"/>
  <c r="K19" i="20"/>
  <c r="L19" i="20" s="1"/>
  <c r="M19" i="20" s="1"/>
  <c r="H53" i="19"/>
  <c r="M30" i="29" l="1"/>
  <c r="O30" i="29"/>
  <c r="H32" i="29"/>
  <c r="L31" i="29"/>
  <c r="F28" i="28"/>
  <c r="F62" i="28"/>
  <c r="O28" i="22"/>
  <c r="H18" i="19"/>
  <c r="K20" i="20"/>
  <c r="L20" i="20" s="1"/>
  <c r="M20" i="20" s="1"/>
  <c r="H54" i="19"/>
  <c r="M31" i="29" l="1"/>
  <c r="O31" i="29"/>
  <c r="H33" i="29"/>
  <c r="L32" i="29"/>
  <c r="F63" i="28"/>
  <c r="F29" i="28"/>
  <c r="O29" i="22"/>
  <c r="H19" i="19"/>
  <c r="K21" i="20"/>
  <c r="L21" i="20" s="1"/>
  <c r="M21" i="20" s="1"/>
  <c r="H55" i="19"/>
  <c r="M32" i="29" l="1"/>
  <c r="O32" i="29"/>
  <c r="L33" i="29"/>
  <c r="O33" i="29" s="1"/>
  <c r="O34" i="29" s="1"/>
  <c r="H34" i="29"/>
  <c r="F30" i="28"/>
  <c r="F64" i="28"/>
  <c r="O30" i="22"/>
  <c r="H20" i="19"/>
  <c r="K22" i="20"/>
  <c r="L22" i="20" s="1"/>
  <c r="M22" i="20" s="1"/>
  <c r="H56" i="19"/>
  <c r="M33" i="29" l="1"/>
  <c r="M34" i="29" s="1"/>
  <c r="L34" i="29"/>
  <c r="F65" i="28"/>
  <c r="F31" i="28"/>
  <c r="O31" i="22"/>
  <c r="H21" i="19"/>
  <c r="K23" i="20"/>
  <c r="L23" i="20" s="1"/>
  <c r="M23" i="20" s="1"/>
  <c r="H57" i="19"/>
  <c r="C14" i="2" l="1"/>
  <c r="C72" i="2"/>
  <c r="D72" i="2" s="1"/>
  <c r="F32" i="28"/>
  <c r="F66" i="28"/>
  <c r="K24" i="20"/>
  <c r="L24" i="20" s="1"/>
  <c r="M24" i="20" s="1"/>
  <c r="O32" i="22"/>
  <c r="H22" i="19"/>
  <c r="H58" i="19"/>
  <c r="F33" i="28" l="1"/>
  <c r="F67" i="28"/>
  <c r="H59" i="19"/>
  <c r="K25" i="20"/>
  <c r="L25" i="20" s="1"/>
  <c r="M25" i="20" s="1"/>
  <c r="O33" i="22"/>
  <c r="O34" i="22" s="1"/>
  <c r="R34" i="22" s="1"/>
  <c r="H23" i="19"/>
  <c r="C27" i="9"/>
  <c r="G4" i="9" s="1"/>
  <c r="C26" i="9"/>
  <c r="C25" i="9"/>
  <c r="F4" i="9" s="1"/>
  <c r="C24" i="9"/>
  <c r="B27" i="9"/>
  <c r="B26" i="9"/>
  <c r="B25" i="9"/>
  <c r="B24" i="9"/>
  <c r="E11" i="6"/>
  <c r="E15" i="6" s="1"/>
  <c r="E21" i="6" s="1"/>
  <c r="B25" i="6"/>
  <c r="A25" i="6"/>
  <c r="B24" i="6"/>
  <c r="A24" i="6"/>
  <c r="F39" i="6"/>
  <c r="F38" i="6"/>
  <c r="F37" i="6"/>
  <c r="C71" i="6"/>
  <c r="D45" i="6" l="1"/>
  <c r="G45" i="6" s="1"/>
  <c r="D44" i="6"/>
  <c r="D57" i="6" s="1"/>
  <c r="D46" i="6"/>
  <c r="C72" i="6"/>
  <c r="C45" i="6"/>
  <c r="C58" i="6" s="1"/>
  <c r="E46" i="6"/>
  <c r="E47" i="6"/>
  <c r="F15" i="6"/>
  <c r="H4" i="9"/>
  <c r="F3" i="9"/>
  <c r="H9" i="9" s="1"/>
  <c r="G3" i="9"/>
  <c r="K26" i="20"/>
  <c r="L26" i="20" s="1"/>
  <c r="M26" i="20" s="1"/>
  <c r="H60" i="19"/>
  <c r="H24" i="19"/>
  <c r="J70" i="6"/>
  <c r="K70" i="6"/>
  <c r="G58" i="6" l="1"/>
  <c r="G71" i="6" s="1"/>
  <c r="D58" i="6"/>
  <c r="D71" i="6" s="1"/>
  <c r="F58" i="6"/>
  <c r="E58" i="6"/>
  <c r="D70" i="6"/>
  <c r="G46" i="6"/>
  <c r="C73" i="6"/>
  <c r="C46" i="6"/>
  <c r="C59" i="6" s="1"/>
  <c r="D52" i="6"/>
  <c r="G44" i="6"/>
  <c r="G57" i="6" s="1"/>
  <c r="E52" i="6"/>
  <c r="F21" i="6"/>
  <c r="G9" i="9"/>
  <c r="J9" i="9" s="1"/>
  <c r="H3" i="9"/>
  <c r="C7" i="30" s="1"/>
  <c r="F5" i="9"/>
  <c r="D30" i="20" s="1"/>
  <c r="D31" i="20" s="1"/>
  <c r="C37" i="20" s="1"/>
  <c r="G5" i="9"/>
  <c r="G10" i="9" s="1"/>
  <c r="H61" i="19"/>
  <c r="H25" i="19"/>
  <c r="C6" i="18"/>
  <c r="B6" i="18"/>
  <c r="C5" i="18"/>
  <c r="B5" i="18"/>
  <c r="C4" i="18"/>
  <c r="B4" i="18"/>
  <c r="C10" i="18"/>
  <c r="C9" i="18"/>
  <c r="C8" i="18"/>
  <c r="B10" i="18"/>
  <c r="B9" i="18"/>
  <c r="B8" i="18"/>
  <c r="C3" i="18"/>
  <c r="B3" i="18"/>
  <c r="G70" i="6" l="1"/>
  <c r="E71" i="6"/>
  <c r="J71" i="6" s="1"/>
  <c r="D59" i="6"/>
  <c r="E59" i="6"/>
  <c r="E72" i="6" s="1"/>
  <c r="G59" i="6"/>
  <c r="F59" i="6"/>
  <c r="F72" i="6" s="1"/>
  <c r="K72" i="6" s="1"/>
  <c r="F71" i="6"/>
  <c r="K71" i="6" s="1"/>
  <c r="C74" i="6"/>
  <c r="C47" i="6"/>
  <c r="C60" i="6" s="1"/>
  <c r="H10" i="9"/>
  <c r="H11" i="9" s="1"/>
  <c r="H12" i="9" s="1"/>
  <c r="C44" i="20"/>
  <c r="C45" i="20"/>
  <c r="J10" i="9"/>
  <c r="G11" i="9"/>
  <c r="J11" i="9" s="1"/>
  <c r="F4" i="18"/>
  <c r="F5" i="18"/>
  <c r="F3" i="18"/>
  <c r="H62" i="19"/>
  <c r="H26" i="19"/>
  <c r="F16" i="17"/>
  <c r="F15" i="17"/>
  <c r="F14" i="17"/>
  <c r="F13" i="17"/>
  <c r="F12" i="17"/>
  <c r="F11" i="17"/>
  <c r="F10" i="17"/>
  <c r="F9" i="17"/>
  <c r="F8" i="17"/>
  <c r="F7" i="17"/>
  <c r="F6" i="17"/>
  <c r="D60" i="6" l="1"/>
  <c r="D73" i="6" s="1"/>
  <c r="I73" i="6" s="1"/>
  <c r="E60" i="6"/>
  <c r="E73" i="6" s="1"/>
  <c r="D72" i="6"/>
  <c r="G72" i="6"/>
  <c r="C75" i="6"/>
  <c r="C48" i="6"/>
  <c r="C61" i="6" s="1"/>
  <c r="K27" i="20"/>
  <c r="L27" i="20" s="1"/>
  <c r="M27" i="20" s="1"/>
  <c r="G12" i="9"/>
  <c r="J12" i="9" s="1"/>
  <c r="H63" i="19"/>
  <c r="H27" i="19"/>
  <c r="H13" i="9"/>
  <c r="C54" i="2"/>
  <c r="D14" i="2"/>
  <c r="C6" i="16"/>
  <c r="B6" i="16"/>
  <c r="C12" i="16"/>
  <c r="B12" i="16"/>
  <c r="C14" i="16"/>
  <c r="C8" i="16"/>
  <c r="B10" i="16"/>
  <c r="B14" i="16"/>
  <c r="B8" i="16"/>
  <c r="C68" i="4"/>
  <c r="C10" i="16" s="1"/>
  <c r="E61" i="6" l="1"/>
  <c r="D61" i="6"/>
  <c r="C76" i="6"/>
  <c r="C49" i="6"/>
  <c r="C62" i="6" s="1"/>
  <c r="I68" i="16"/>
  <c r="I52" i="16"/>
  <c r="I67" i="16"/>
  <c r="I51" i="16"/>
  <c r="I58" i="16"/>
  <c r="I40" i="16"/>
  <c r="I57" i="16"/>
  <c r="I39" i="16"/>
  <c r="I59" i="16"/>
  <c r="I56" i="16"/>
  <c r="I49" i="16"/>
  <c r="I54" i="16"/>
  <c r="I53" i="16"/>
  <c r="I50" i="16"/>
  <c r="I55" i="16"/>
  <c r="I48" i="16"/>
  <c r="I64" i="16"/>
  <c r="I63" i="16"/>
  <c r="I61" i="16"/>
  <c r="I60" i="16"/>
  <c r="I46" i="16"/>
  <c r="I43" i="16"/>
  <c r="I62" i="16"/>
  <c r="I47" i="16"/>
  <c r="I45" i="16"/>
  <c r="I44" i="16"/>
  <c r="I66" i="16"/>
  <c r="I41" i="16"/>
  <c r="I65" i="16"/>
  <c r="I42" i="16"/>
  <c r="I32" i="16"/>
  <c r="I16" i="16"/>
  <c r="I31" i="16"/>
  <c r="I15" i="16"/>
  <c r="I18" i="16"/>
  <c r="I17" i="16"/>
  <c r="I33" i="16"/>
  <c r="I11" i="16"/>
  <c r="I10" i="16"/>
  <c r="I28" i="16"/>
  <c r="I24" i="16"/>
  <c r="I30" i="16"/>
  <c r="I8" i="16"/>
  <c r="I26" i="16"/>
  <c r="I6" i="16"/>
  <c r="I25" i="16"/>
  <c r="I29" i="16"/>
  <c r="I9" i="16"/>
  <c r="I27" i="16"/>
  <c r="I7" i="16"/>
  <c r="I5" i="16"/>
  <c r="I20" i="16"/>
  <c r="I19" i="16"/>
  <c r="I14" i="16"/>
  <c r="I13" i="16"/>
  <c r="I12" i="16"/>
  <c r="I22" i="16"/>
  <c r="I34" i="16"/>
  <c r="I23" i="16"/>
  <c r="I21" i="16"/>
  <c r="K28" i="20"/>
  <c r="L28" i="20" s="1"/>
  <c r="M28" i="20" s="1"/>
  <c r="C71" i="2"/>
  <c r="G13" i="9"/>
  <c r="J13" i="9" s="1"/>
  <c r="H64" i="19"/>
  <c r="H28" i="19"/>
  <c r="H14" i="9"/>
  <c r="E40" i="16"/>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C7" i="16"/>
  <c r="B7" i="16"/>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C5" i="16"/>
  <c r="B5" i="16"/>
  <c r="C4" i="16"/>
  <c r="B4" i="16"/>
  <c r="C3" i="16"/>
  <c r="B3" i="16"/>
  <c r="C15" i="15"/>
  <c r="C16" i="15"/>
  <c r="C10" i="15"/>
  <c r="C11" i="15"/>
  <c r="B16" i="15"/>
  <c r="B15" i="15"/>
  <c r="B14" i="15"/>
  <c r="B11" i="15"/>
  <c r="B10" i="15"/>
  <c r="B9" i="15"/>
  <c r="C56" i="4"/>
  <c r="C14" i="15" s="1"/>
  <c r="C58" i="4"/>
  <c r="C9" i="15" s="1"/>
  <c r="E39" i="15"/>
  <c r="E40" i="15" s="1"/>
  <c r="E41" i="15" s="1"/>
  <c r="E42" i="15" s="1"/>
  <c r="E43" i="15" s="1"/>
  <c r="E44" i="15" s="1"/>
  <c r="E45" i="15" s="1"/>
  <c r="E46" i="15" s="1"/>
  <c r="E47" i="15" s="1"/>
  <c r="E48" i="15" s="1"/>
  <c r="E49" i="15" s="1"/>
  <c r="E50" i="15" s="1"/>
  <c r="E51" i="15" s="1"/>
  <c r="E52" i="15" s="1"/>
  <c r="E53" i="15" s="1"/>
  <c r="E54" i="15" s="1"/>
  <c r="E55" i="15" s="1"/>
  <c r="E56" i="15" s="1"/>
  <c r="E57" i="15" s="1"/>
  <c r="C6" i="15"/>
  <c r="B6" i="15"/>
  <c r="E5" i="15"/>
  <c r="E6" i="15" s="1"/>
  <c r="E7" i="15" s="1"/>
  <c r="E8" i="15" s="1"/>
  <c r="E9" i="15" s="1"/>
  <c r="E10" i="15" s="1"/>
  <c r="E11" i="15" s="1"/>
  <c r="E12" i="15" s="1"/>
  <c r="E13" i="15" s="1"/>
  <c r="E14" i="15" s="1"/>
  <c r="E15" i="15" s="1"/>
  <c r="E16" i="15" s="1"/>
  <c r="E17" i="15" s="1"/>
  <c r="E18" i="15" s="1"/>
  <c r="E19" i="15" s="1"/>
  <c r="E20" i="15" s="1"/>
  <c r="E21" i="15" s="1"/>
  <c r="E22" i="15" s="1"/>
  <c r="E23" i="15" s="1"/>
  <c r="C5" i="15"/>
  <c r="B5" i="15"/>
  <c r="C4" i="15"/>
  <c r="B4" i="15"/>
  <c r="C3" i="15"/>
  <c r="B3" i="15"/>
  <c r="D62" i="6" l="1"/>
  <c r="D75" i="6" s="1"/>
  <c r="I75" i="6" s="1"/>
  <c r="E62" i="6"/>
  <c r="E75" i="6" s="1"/>
  <c r="J75" i="6" s="1"/>
  <c r="D74" i="6"/>
  <c r="I74" i="6" s="1"/>
  <c r="E74" i="6"/>
  <c r="J74" i="6" s="1"/>
  <c r="C77" i="6"/>
  <c r="C50" i="6"/>
  <c r="C63" i="6" s="1"/>
  <c r="D71" i="2"/>
  <c r="F8" i="3" s="1"/>
  <c r="K29" i="20"/>
  <c r="L29" i="20" s="1"/>
  <c r="M29" i="20" s="1"/>
  <c r="C13" i="2"/>
  <c r="K30" i="20"/>
  <c r="L30" i="20" s="1"/>
  <c r="M30" i="20" s="1"/>
  <c r="G14" i="9"/>
  <c r="J14" i="9" s="1"/>
  <c r="H65" i="19"/>
  <c r="H29" i="19"/>
  <c r="H15" i="9"/>
  <c r="F5" i="16"/>
  <c r="F39" i="16"/>
  <c r="F4" i="15"/>
  <c r="F38" i="15"/>
  <c r="E39" i="13"/>
  <c r="E40" i="13" s="1"/>
  <c r="E41" i="13" s="1"/>
  <c r="E42"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E67" i="13" s="1"/>
  <c r="E5" i="13"/>
  <c r="E6" i="13" s="1"/>
  <c r="E7" i="13" s="1"/>
  <c r="E8" i="13" s="1"/>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C5" i="13"/>
  <c r="F4" i="13" s="1"/>
  <c r="B5" i="13"/>
  <c r="C4" i="13"/>
  <c r="B4" i="13"/>
  <c r="C3" i="13"/>
  <c r="B3" i="13"/>
  <c r="C7" i="12"/>
  <c r="C6" i="12"/>
  <c r="B7" i="12"/>
  <c r="B6" i="12"/>
  <c r="E41" i="12"/>
  <c r="E42" i="12" s="1"/>
  <c r="E43" i="12" s="1"/>
  <c r="E44" i="12" s="1"/>
  <c r="E45" i="12" s="1"/>
  <c r="E46" i="12" s="1"/>
  <c r="E47" i="12" s="1"/>
  <c r="E48" i="12" s="1"/>
  <c r="E49" i="12" s="1"/>
  <c r="E50" i="12" s="1"/>
  <c r="E51" i="12" s="1"/>
  <c r="E52" i="12" s="1"/>
  <c r="E53" i="12" s="1"/>
  <c r="E54" i="12" s="1"/>
  <c r="E55" i="12" s="1"/>
  <c r="E56" i="12" s="1"/>
  <c r="E57" i="12" s="1"/>
  <c r="E58" i="12" s="1"/>
  <c r="E59" i="12" s="1"/>
  <c r="C5" i="12"/>
  <c r="F40" i="12" s="1"/>
  <c r="B5" i="12"/>
  <c r="E5" i="12"/>
  <c r="E6" i="12" s="1"/>
  <c r="E7" i="12" s="1"/>
  <c r="E8" i="12" s="1"/>
  <c r="E9" i="12" s="1"/>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E33" i="12" s="1"/>
  <c r="C4" i="12"/>
  <c r="B4" i="12"/>
  <c r="B3" i="12"/>
  <c r="B18" i="9"/>
  <c r="C18" i="9"/>
  <c r="B19" i="9"/>
  <c r="C19" i="9"/>
  <c r="C7" i="9"/>
  <c r="B7" i="9"/>
  <c r="C3" i="9"/>
  <c r="C5" i="9"/>
  <c r="C6" i="9"/>
  <c r="B5" i="9"/>
  <c r="B6" i="9"/>
  <c r="B3" i="9"/>
  <c r="B9" i="9"/>
  <c r="C9" i="9"/>
  <c r="K9" i="9" s="1"/>
  <c r="D13" i="2" l="1"/>
  <c r="D63" i="6"/>
  <c r="E63" i="6"/>
  <c r="C51" i="6"/>
  <c r="C64" i="6" s="1"/>
  <c r="K77" i="6"/>
  <c r="J39" i="16"/>
  <c r="K39" i="16"/>
  <c r="L39" i="16"/>
  <c r="M39" i="16"/>
  <c r="L5" i="16"/>
  <c r="K5" i="16"/>
  <c r="J5" i="16"/>
  <c r="M5" i="16"/>
  <c r="K31" i="20"/>
  <c r="L31" i="20" s="1"/>
  <c r="M31" i="20" s="1"/>
  <c r="C8" i="30"/>
  <c r="C21" i="9"/>
  <c r="G15" i="9"/>
  <c r="H66" i="19"/>
  <c r="H30" i="19"/>
  <c r="K10" i="9"/>
  <c r="K11" i="9"/>
  <c r="K12" i="9"/>
  <c r="K13" i="9"/>
  <c r="K14" i="9"/>
  <c r="H16" i="9"/>
  <c r="K15" i="9"/>
  <c r="F40" i="16"/>
  <c r="F6" i="16"/>
  <c r="F4" i="12"/>
  <c r="F39" i="15"/>
  <c r="F5" i="15"/>
  <c r="F5" i="13"/>
  <c r="F38" i="13"/>
  <c r="F41" i="12"/>
  <c r="E76" i="6" l="1"/>
  <c r="J76" i="6" s="1"/>
  <c r="D76" i="6"/>
  <c r="I76" i="6" s="1"/>
  <c r="F64" i="6"/>
  <c r="G64" i="6"/>
  <c r="G77" i="6" s="1"/>
  <c r="L77" i="6" s="1"/>
  <c r="E64" i="6"/>
  <c r="E77" i="6" s="1"/>
  <c r="J77" i="6" s="1"/>
  <c r="D64" i="6"/>
  <c r="D77" i="6" s="1"/>
  <c r="I77" i="6" s="1"/>
  <c r="K32" i="20"/>
  <c r="L32" i="20" s="1"/>
  <c r="M32" i="20" s="1"/>
  <c r="L6" i="16"/>
  <c r="J6" i="16"/>
  <c r="K6" i="16"/>
  <c r="M6" i="16"/>
  <c r="K40" i="16"/>
  <c r="J40" i="16"/>
  <c r="L40" i="16"/>
  <c r="M40" i="16"/>
  <c r="J15" i="9"/>
  <c r="G16" i="9"/>
  <c r="G17" i="9" s="1"/>
  <c r="F5" i="12"/>
  <c r="H67" i="19"/>
  <c r="H31" i="19"/>
  <c r="H17" i="9"/>
  <c r="K16" i="9"/>
  <c r="F7" i="16"/>
  <c r="F41" i="16"/>
  <c r="F40" i="15"/>
  <c r="F6" i="15"/>
  <c r="F39" i="13"/>
  <c r="F6" i="13"/>
  <c r="F42" i="12"/>
  <c r="K33" i="20" l="1"/>
  <c r="L33" i="20" s="1"/>
  <c r="M33" i="20" s="1"/>
  <c r="E65" i="6"/>
  <c r="D65" i="6"/>
  <c r="J41" i="16"/>
  <c r="K41" i="16"/>
  <c r="L41" i="16"/>
  <c r="M41" i="16"/>
  <c r="M7" i="16"/>
  <c r="L7" i="16"/>
  <c r="J7" i="16"/>
  <c r="K7" i="16"/>
  <c r="J16" i="9"/>
  <c r="J17" i="9"/>
  <c r="M34" i="20"/>
  <c r="C96" i="2" s="1"/>
  <c r="L34" i="20"/>
  <c r="H68" i="19"/>
  <c r="F6" i="12"/>
  <c r="H32" i="19"/>
  <c r="H18" i="9"/>
  <c r="K17" i="9"/>
  <c r="G18" i="9"/>
  <c r="F42" i="16"/>
  <c r="F8" i="16"/>
  <c r="F7" i="15"/>
  <c r="F41" i="15"/>
  <c r="F7" i="13"/>
  <c r="F40" i="13"/>
  <c r="F43" i="12"/>
  <c r="K42" i="16" l="1"/>
  <c r="J42" i="16"/>
  <c r="L42" i="16"/>
  <c r="M42" i="16"/>
  <c r="M8" i="16"/>
  <c r="L8" i="16"/>
  <c r="J8" i="16"/>
  <c r="K8" i="16"/>
  <c r="C97" i="2"/>
  <c r="D97" i="2" s="1"/>
  <c r="F34" i="3" s="1"/>
  <c r="D96" i="2"/>
  <c r="F33" i="3" s="1"/>
  <c r="J18" i="9"/>
  <c r="F7" i="12"/>
  <c r="H33" i="19"/>
  <c r="H19" i="9"/>
  <c r="K18" i="9"/>
  <c r="G19" i="9"/>
  <c r="F9" i="16"/>
  <c r="F43" i="16"/>
  <c r="F42" i="15"/>
  <c r="F8" i="15"/>
  <c r="F41" i="13"/>
  <c r="F8" i="13"/>
  <c r="F44" i="12"/>
  <c r="J43" i="16" l="1"/>
  <c r="K43" i="16"/>
  <c r="L43" i="16"/>
  <c r="M43" i="16"/>
  <c r="L9" i="16"/>
  <c r="K9" i="16"/>
  <c r="J9" i="16"/>
  <c r="M9" i="16"/>
  <c r="J19" i="9"/>
  <c r="F8" i="12"/>
  <c r="G20" i="9"/>
  <c r="H20" i="9"/>
  <c r="K19" i="9"/>
  <c r="F44" i="16"/>
  <c r="F10" i="16"/>
  <c r="F43" i="15"/>
  <c r="F9" i="15"/>
  <c r="F9" i="13"/>
  <c r="F42" i="13"/>
  <c r="F45" i="12"/>
  <c r="K10" i="16" l="1"/>
  <c r="M10" i="16"/>
  <c r="L10" i="16"/>
  <c r="J10" i="16"/>
  <c r="J44" i="16"/>
  <c r="L44" i="16"/>
  <c r="M44" i="16"/>
  <c r="K44" i="16"/>
  <c r="J20" i="9"/>
  <c r="F9" i="12"/>
  <c r="H21" i="9"/>
  <c r="K20" i="9"/>
  <c r="G21" i="9"/>
  <c r="F11" i="16"/>
  <c r="F45" i="16"/>
  <c r="F44" i="15"/>
  <c r="F10" i="15"/>
  <c r="F10" i="13"/>
  <c r="F43" i="13"/>
  <c r="F46" i="12"/>
  <c r="K11" i="16" l="1"/>
  <c r="M11" i="16"/>
  <c r="L11" i="16"/>
  <c r="J11" i="16"/>
  <c r="M45" i="16"/>
  <c r="L45" i="16"/>
  <c r="J45" i="16"/>
  <c r="K45" i="16"/>
  <c r="F10" i="12"/>
  <c r="J21" i="9"/>
  <c r="G22" i="9"/>
  <c r="H22" i="9"/>
  <c r="K21" i="9"/>
  <c r="F12" i="16"/>
  <c r="F46" i="16"/>
  <c r="F45" i="15"/>
  <c r="F11" i="15"/>
  <c r="F44" i="13"/>
  <c r="F11" i="13"/>
  <c r="F47" i="12"/>
  <c r="J46" i="16" l="1"/>
  <c r="L46" i="16"/>
  <c r="K46" i="16"/>
  <c r="M46" i="16"/>
  <c r="M12" i="16"/>
  <c r="L12" i="16"/>
  <c r="K12" i="16"/>
  <c r="J12" i="16"/>
  <c r="F11" i="12"/>
  <c r="J22" i="9"/>
  <c r="H23" i="9"/>
  <c r="K22" i="9"/>
  <c r="G23" i="9"/>
  <c r="F47" i="16"/>
  <c r="F13" i="16"/>
  <c r="F46" i="15"/>
  <c r="F12" i="15"/>
  <c r="F12" i="13"/>
  <c r="F45" i="13"/>
  <c r="F48" i="12"/>
  <c r="M13" i="16" l="1"/>
  <c r="L13" i="16"/>
  <c r="K13" i="16"/>
  <c r="J13" i="16"/>
  <c r="J47" i="16"/>
  <c r="K47" i="16"/>
  <c r="M47" i="16"/>
  <c r="L47" i="16"/>
  <c r="J23" i="9"/>
  <c r="F12" i="12"/>
  <c r="G24" i="9"/>
  <c r="H24" i="9"/>
  <c r="K23" i="9"/>
  <c r="F14" i="16"/>
  <c r="F48" i="16"/>
  <c r="F13" i="15"/>
  <c r="F47" i="15"/>
  <c r="F46" i="13"/>
  <c r="F13" i="13"/>
  <c r="F49" i="12"/>
  <c r="L48" i="16" l="1"/>
  <c r="M48" i="16"/>
  <c r="K48" i="16"/>
  <c r="J48" i="16"/>
  <c r="M14" i="16"/>
  <c r="L14" i="16"/>
  <c r="K14" i="16"/>
  <c r="J14" i="16"/>
  <c r="F13" i="12"/>
  <c r="J24" i="9"/>
  <c r="H25" i="9"/>
  <c r="K24" i="9"/>
  <c r="G25" i="9"/>
  <c r="F15" i="16"/>
  <c r="F49" i="16"/>
  <c r="F48" i="15"/>
  <c r="F14" i="15"/>
  <c r="F14" i="13"/>
  <c r="F47" i="13"/>
  <c r="F50" i="12"/>
  <c r="F10" i="9"/>
  <c r="E9" i="9"/>
  <c r="M15" i="16" l="1"/>
  <c r="L15" i="16"/>
  <c r="J15" i="16"/>
  <c r="K15" i="16"/>
  <c r="K49" i="16"/>
  <c r="L49" i="16"/>
  <c r="J49" i="16"/>
  <c r="M49" i="16"/>
  <c r="M9" i="9"/>
  <c r="W9" i="9"/>
  <c r="F14" i="12"/>
  <c r="J25" i="9"/>
  <c r="G26" i="9"/>
  <c r="H26" i="9"/>
  <c r="K25" i="9"/>
  <c r="F16" i="16"/>
  <c r="F50" i="16"/>
  <c r="F49" i="15"/>
  <c r="F15" i="15"/>
  <c r="F48" i="13"/>
  <c r="F15" i="13"/>
  <c r="F51" i="12"/>
  <c r="F11" i="9"/>
  <c r="E10" i="9"/>
  <c r="M10" i="9" s="1"/>
  <c r="M16" i="16" l="1"/>
  <c r="L16" i="16"/>
  <c r="J16" i="16"/>
  <c r="K16" i="16"/>
  <c r="L50" i="16"/>
  <c r="J50" i="16"/>
  <c r="K50" i="16"/>
  <c r="M50" i="16"/>
  <c r="Y9" i="9"/>
  <c r="X9" i="9"/>
  <c r="U9" i="9"/>
  <c r="T9" i="9"/>
  <c r="U10" i="9"/>
  <c r="T10" i="9"/>
  <c r="N9" i="9"/>
  <c r="Q9" i="9" s="1"/>
  <c r="O9" i="9"/>
  <c r="R9" i="9" s="1"/>
  <c r="O10" i="9"/>
  <c r="R10" i="9" s="1"/>
  <c r="N10" i="9"/>
  <c r="Q10" i="9" s="1"/>
  <c r="W10" i="9"/>
  <c r="E11" i="9"/>
  <c r="M11" i="9" s="1"/>
  <c r="F15" i="12"/>
  <c r="J26" i="9"/>
  <c r="H27" i="9"/>
  <c r="K26" i="9"/>
  <c r="G27" i="9"/>
  <c r="F51" i="16"/>
  <c r="F17" i="16"/>
  <c r="F16" i="15"/>
  <c r="F50" i="15"/>
  <c r="F16" i="13"/>
  <c r="F49" i="13"/>
  <c r="F52" i="12"/>
  <c r="F12" i="9"/>
  <c r="L17" i="16" l="1"/>
  <c r="K17" i="16"/>
  <c r="J17" i="16"/>
  <c r="M17" i="16"/>
  <c r="J51" i="16"/>
  <c r="K51" i="16"/>
  <c r="L51" i="16"/>
  <c r="M51" i="16"/>
  <c r="U11" i="9"/>
  <c r="T11" i="9"/>
  <c r="X10" i="9"/>
  <c r="Y10" i="9"/>
  <c r="N11" i="9"/>
  <c r="Q11" i="9" s="1"/>
  <c r="O11" i="9"/>
  <c r="R11" i="9" s="1"/>
  <c r="W11" i="9"/>
  <c r="F16" i="12"/>
  <c r="J27" i="9"/>
  <c r="G28" i="9"/>
  <c r="H28" i="9"/>
  <c r="K27" i="9"/>
  <c r="F52" i="16"/>
  <c r="F18" i="16"/>
  <c r="F17" i="15"/>
  <c r="F51" i="15"/>
  <c r="F50" i="13"/>
  <c r="F17" i="13"/>
  <c r="F53" i="12"/>
  <c r="F13" i="9"/>
  <c r="E12" i="9"/>
  <c r="M12" i="9" s="1"/>
  <c r="J18" i="16" l="1"/>
  <c r="M18" i="16"/>
  <c r="K18" i="16"/>
  <c r="L18" i="16"/>
  <c r="J52" i="16"/>
  <c r="K52" i="16"/>
  <c r="L52" i="16"/>
  <c r="M52" i="16"/>
  <c r="N12" i="9"/>
  <c r="Q12" i="9" s="1"/>
  <c r="U12" i="9"/>
  <c r="T12" i="9"/>
  <c r="X11" i="9"/>
  <c r="Y11" i="9"/>
  <c r="O12" i="9"/>
  <c r="R12" i="9" s="1"/>
  <c r="W12" i="9"/>
  <c r="F17" i="12"/>
  <c r="J28" i="9"/>
  <c r="H29" i="9"/>
  <c r="K28" i="9"/>
  <c r="G29" i="9"/>
  <c r="F53" i="16"/>
  <c r="F19" i="16"/>
  <c r="F52" i="15"/>
  <c r="F18" i="15"/>
  <c r="F18" i="13"/>
  <c r="F51" i="13"/>
  <c r="F54" i="12"/>
  <c r="F14" i="9"/>
  <c r="E13" i="9"/>
  <c r="M13" i="9" s="1"/>
  <c r="J53" i="16" l="1"/>
  <c r="K53" i="16"/>
  <c r="M53" i="16"/>
  <c r="L53" i="16"/>
  <c r="M19" i="16"/>
  <c r="L19" i="16"/>
  <c r="J19" i="16"/>
  <c r="K19" i="16"/>
  <c r="X12" i="9"/>
  <c r="Y12" i="9"/>
  <c r="T13" i="9"/>
  <c r="U13" i="9"/>
  <c r="O13" i="9"/>
  <c r="R13" i="9" s="1"/>
  <c r="N13" i="9"/>
  <c r="Q13" i="9" s="1"/>
  <c r="W13" i="9"/>
  <c r="F18" i="12"/>
  <c r="G30" i="9"/>
  <c r="G31" i="9" s="1"/>
  <c r="J29" i="9"/>
  <c r="H30" i="9"/>
  <c r="K30" i="9" s="1"/>
  <c r="K29" i="9"/>
  <c r="F20" i="16"/>
  <c r="F54" i="16"/>
  <c r="F53" i="15"/>
  <c r="F19" i="15"/>
  <c r="F52" i="13"/>
  <c r="F19" i="13"/>
  <c r="F55" i="12"/>
  <c r="F15" i="9"/>
  <c r="E14" i="9"/>
  <c r="M14" i="9" s="1"/>
  <c r="M20" i="16" l="1"/>
  <c r="L20" i="16"/>
  <c r="K20" i="16"/>
  <c r="J20" i="16"/>
  <c r="K54" i="16"/>
  <c r="M54" i="16"/>
  <c r="J54" i="16"/>
  <c r="L54" i="16"/>
  <c r="Y13" i="9"/>
  <c r="X13" i="9"/>
  <c r="T14" i="9"/>
  <c r="U14" i="9"/>
  <c r="O14" i="9"/>
  <c r="R14" i="9" s="1"/>
  <c r="N14" i="9"/>
  <c r="Q14" i="9" s="1"/>
  <c r="W14" i="9"/>
  <c r="W15" i="9"/>
  <c r="F19" i="12"/>
  <c r="J30" i="9"/>
  <c r="H31" i="9"/>
  <c r="H32" i="9" s="1"/>
  <c r="J31" i="9"/>
  <c r="G32" i="9"/>
  <c r="F21" i="16"/>
  <c r="F55" i="16"/>
  <c r="F20" i="15"/>
  <c r="F54" i="15"/>
  <c r="F53" i="13"/>
  <c r="F20" i="13"/>
  <c r="F56" i="12"/>
  <c r="F16" i="9"/>
  <c r="E15" i="9"/>
  <c r="X15" i="9" l="1"/>
  <c r="G4" i="27" s="1"/>
  <c r="G4" i="25"/>
  <c r="H4" i="25" s="1"/>
  <c r="J4" i="25" s="1"/>
  <c r="K4" i="25" s="1"/>
  <c r="L4" i="25" s="1"/>
  <c r="G12" i="25"/>
  <c r="H12" i="25" s="1"/>
  <c r="J12" i="25" s="1"/>
  <c r="K12" i="25" s="1"/>
  <c r="L12" i="25" s="1"/>
  <c r="J55" i="16"/>
  <c r="K55" i="16"/>
  <c r="M55" i="16"/>
  <c r="L55" i="16"/>
  <c r="K21" i="16"/>
  <c r="J21" i="16"/>
  <c r="M21" i="16"/>
  <c r="L21" i="16"/>
  <c r="Y15" i="9"/>
  <c r="Y14" i="9"/>
  <c r="X14" i="9"/>
  <c r="M15" i="9"/>
  <c r="K31" i="9"/>
  <c r="F20" i="12"/>
  <c r="J32" i="9"/>
  <c r="G33" i="9"/>
  <c r="E16" i="9"/>
  <c r="M16" i="9" s="1"/>
  <c r="K32" i="9"/>
  <c r="H33" i="9"/>
  <c r="F56" i="16"/>
  <c r="F22" i="16"/>
  <c r="F17" i="9"/>
  <c r="F21" i="15"/>
  <c r="F55" i="15"/>
  <c r="F21" i="13"/>
  <c r="F54" i="13"/>
  <c r="F57" i="12"/>
  <c r="K22" i="16" l="1"/>
  <c r="L22" i="16"/>
  <c r="J22" i="16"/>
  <c r="M22" i="16"/>
  <c r="J56" i="16"/>
  <c r="L56" i="16"/>
  <c r="M56" i="16"/>
  <c r="K56" i="16"/>
  <c r="G12" i="27"/>
  <c r="K12" i="27" s="1"/>
  <c r="T16" i="9"/>
  <c r="U16" i="9"/>
  <c r="U15" i="9"/>
  <c r="T15" i="9"/>
  <c r="N15" i="9"/>
  <c r="Q15" i="9" s="1"/>
  <c r="O15" i="9"/>
  <c r="R15" i="9" s="1"/>
  <c r="O16" i="9"/>
  <c r="R16" i="9" s="1"/>
  <c r="N16" i="9"/>
  <c r="Q16" i="9" s="1"/>
  <c r="W16" i="9"/>
  <c r="F21" i="12"/>
  <c r="J33" i="9"/>
  <c r="K33" i="9"/>
  <c r="H34" i="9"/>
  <c r="G34" i="9"/>
  <c r="F23" i="16"/>
  <c r="F57" i="16"/>
  <c r="F18" i="9"/>
  <c r="E17" i="9"/>
  <c r="M17" i="9" s="1"/>
  <c r="F56" i="15"/>
  <c r="F22" i="15"/>
  <c r="F55" i="13"/>
  <c r="F22" i="13"/>
  <c r="F58" i="12"/>
  <c r="G5" i="25" l="1"/>
  <c r="H5" i="25" s="1"/>
  <c r="G13" i="25"/>
  <c r="H13" i="25" s="1"/>
  <c r="K57" i="16"/>
  <c r="M57" i="16"/>
  <c r="L57" i="16"/>
  <c r="J57" i="16"/>
  <c r="K23" i="16"/>
  <c r="M23" i="16"/>
  <c r="L23" i="16"/>
  <c r="J23" i="16"/>
  <c r="I12" i="27"/>
  <c r="N12" i="27" s="1"/>
  <c r="S12" i="27" s="1"/>
  <c r="J12" i="27"/>
  <c r="P12" i="27"/>
  <c r="U12" i="27" s="1"/>
  <c r="I4" i="27"/>
  <c r="J4" i="27"/>
  <c r="K4" i="27"/>
  <c r="Y16" i="9"/>
  <c r="G13" i="27" s="1"/>
  <c r="X16" i="9"/>
  <c r="G5" i="27" s="1"/>
  <c r="T17" i="9"/>
  <c r="U17" i="9"/>
  <c r="O17" i="9"/>
  <c r="R17" i="9" s="1"/>
  <c r="N17" i="9"/>
  <c r="Q17" i="9" s="1"/>
  <c r="W18" i="9"/>
  <c r="W17" i="9"/>
  <c r="M18" i="9"/>
  <c r="J34" i="9"/>
  <c r="F22" i="12"/>
  <c r="G35" i="9"/>
  <c r="H35" i="9"/>
  <c r="K34" i="9"/>
  <c r="E18" i="9"/>
  <c r="F58" i="16"/>
  <c r="F24" i="16"/>
  <c r="F19" i="9"/>
  <c r="F23" i="15"/>
  <c r="F57" i="15"/>
  <c r="F23" i="13"/>
  <c r="F56" i="13"/>
  <c r="F59" i="12"/>
  <c r="G6" i="25" l="1"/>
  <c r="H6" i="25" s="1"/>
  <c r="G14" i="25"/>
  <c r="H14" i="25" s="1"/>
  <c r="G7" i="25"/>
  <c r="H7" i="25" s="1"/>
  <c r="G15" i="25"/>
  <c r="H15" i="25" s="1"/>
  <c r="M24" i="16"/>
  <c r="L24" i="16"/>
  <c r="K24" i="16"/>
  <c r="J24" i="16"/>
  <c r="L58" i="16"/>
  <c r="K58" i="16"/>
  <c r="M58" i="16"/>
  <c r="J58" i="16"/>
  <c r="O12" i="27"/>
  <c r="T12" i="27" s="1"/>
  <c r="W12" i="27" s="1"/>
  <c r="Y17" i="9"/>
  <c r="G14" i="27" s="1"/>
  <c r="X17" i="9"/>
  <c r="G6" i="27" s="1"/>
  <c r="Y18" i="9"/>
  <c r="G15" i="27" s="1"/>
  <c r="K15" i="27" s="1"/>
  <c r="X18" i="9"/>
  <c r="G7" i="27" s="1"/>
  <c r="K7" i="27" s="1"/>
  <c r="L4" i="27"/>
  <c r="P4" i="27"/>
  <c r="U4" i="27" s="1"/>
  <c r="O4" i="27"/>
  <c r="T4" i="27" s="1"/>
  <c r="N4" i="27"/>
  <c r="S4" i="27" s="1"/>
  <c r="W4" i="27" s="1"/>
  <c r="N18" i="9"/>
  <c r="U18" i="9"/>
  <c r="G38" i="13" s="1"/>
  <c r="T18" i="9"/>
  <c r="G4" i="13" s="1"/>
  <c r="O18" i="9"/>
  <c r="I5" i="27"/>
  <c r="K5" i="27"/>
  <c r="J5" i="27"/>
  <c r="K13" i="27"/>
  <c r="I13" i="27"/>
  <c r="J13" i="27"/>
  <c r="F60" i="12"/>
  <c r="F59" i="16"/>
  <c r="H36" i="9"/>
  <c r="K36" i="9" s="1"/>
  <c r="G36" i="9"/>
  <c r="G37" i="9" s="1"/>
  <c r="J37" i="9" s="1"/>
  <c r="J35" i="9"/>
  <c r="F23" i="12"/>
  <c r="F58" i="15"/>
  <c r="F24" i="15"/>
  <c r="F25" i="16"/>
  <c r="F24" i="13"/>
  <c r="K35" i="9"/>
  <c r="F20" i="9"/>
  <c r="E19" i="9"/>
  <c r="M19" i="9" s="1"/>
  <c r="F57" i="13"/>
  <c r="L25" i="16" l="1"/>
  <c r="M25" i="16"/>
  <c r="K25" i="16"/>
  <c r="J25" i="16"/>
  <c r="J59" i="16"/>
  <c r="K59" i="16"/>
  <c r="L59" i="16"/>
  <c r="M59" i="16"/>
  <c r="X4" i="27"/>
  <c r="I7" i="27"/>
  <c r="N7" i="27" s="1"/>
  <c r="S7" i="27" s="1"/>
  <c r="Q18" i="9"/>
  <c r="G5" i="16" s="1"/>
  <c r="G4" i="28"/>
  <c r="Q4" i="27"/>
  <c r="O19" i="9"/>
  <c r="U19" i="9"/>
  <c r="T19" i="9"/>
  <c r="J7" i="27"/>
  <c r="R18" i="9"/>
  <c r="G40" i="12" s="1"/>
  <c r="H40" i="12" s="1"/>
  <c r="G38" i="28"/>
  <c r="I15" i="27"/>
  <c r="N15" i="27" s="1"/>
  <c r="S15" i="27" s="1"/>
  <c r="N19" i="9"/>
  <c r="J15" i="27"/>
  <c r="O15" i="27" s="1"/>
  <c r="T15" i="27" s="1"/>
  <c r="P5" i="27"/>
  <c r="U5" i="27" s="1"/>
  <c r="L5" i="27"/>
  <c r="O5" i="27"/>
  <c r="T5" i="27" s="1"/>
  <c r="W19" i="9"/>
  <c r="O13" i="27"/>
  <c r="T13" i="27" s="1"/>
  <c r="N13" i="27"/>
  <c r="S13" i="27" s="1"/>
  <c r="P13" i="27"/>
  <c r="U13" i="27" s="1"/>
  <c r="I14" i="27"/>
  <c r="K14" i="27"/>
  <c r="J14" i="27"/>
  <c r="N5" i="27"/>
  <c r="S5" i="27" s="1"/>
  <c r="I6" i="27"/>
  <c r="J6" i="27"/>
  <c r="K6" i="27"/>
  <c r="J4" i="13"/>
  <c r="O4" i="13" s="1"/>
  <c r="I4" i="13"/>
  <c r="N4" i="13" s="1"/>
  <c r="S4" i="13" s="1"/>
  <c r="K38" i="13"/>
  <c r="J38" i="13"/>
  <c r="I38" i="13"/>
  <c r="N38" i="13" s="1"/>
  <c r="P15" i="27"/>
  <c r="U15" i="27" s="1"/>
  <c r="K4" i="13"/>
  <c r="P7" i="27"/>
  <c r="U7" i="27" s="1"/>
  <c r="F24" i="12"/>
  <c r="F60" i="16"/>
  <c r="J36" i="9"/>
  <c r="F58" i="13"/>
  <c r="F25" i="15"/>
  <c r="F61" i="12"/>
  <c r="H37" i="9"/>
  <c r="F59" i="15"/>
  <c r="F26" i="16"/>
  <c r="F25" i="13"/>
  <c r="G38" i="9"/>
  <c r="E20" i="9"/>
  <c r="M20" i="9" s="1"/>
  <c r="F21" i="9"/>
  <c r="M26" i="16" l="1"/>
  <c r="L26" i="16"/>
  <c r="J26" i="16"/>
  <c r="K26" i="16"/>
  <c r="L60" i="16"/>
  <c r="M60" i="16"/>
  <c r="K60" i="16"/>
  <c r="J60" i="16"/>
  <c r="G4" i="12"/>
  <c r="H4" i="12" s="1"/>
  <c r="G4" i="15"/>
  <c r="I4" i="19"/>
  <c r="K4" i="19" s="1"/>
  <c r="P4" i="19" s="1"/>
  <c r="R5" i="16"/>
  <c r="S5" i="16"/>
  <c r="P5" i="16"/>
  <c r="Q5" i="16"/>
  <c r="O5" i="16"/>
  <c r="L7" i="27"/>
  <c r="Q7" i="27" s="1"/>
  <c r="Q19" i="9"/>
  <c r="G6" i="16" s="1"/>
  <c r="G5" i="28"/>
  <c r="G38" i="15"/>
  <c r="O20" i="9"/>
  <c r="U20" i="9"/>
  <c r="T20" i="9"/>
  <c r="I39" i="19"/>
  <c r="M39" i="19" s="1"/>
  <c r="R39" i="19" s="1"/>
  <c r="G39" i="16"/>
  <c r="R19" i="9"/>
  <c r="I40" i="19" s="1"/>
  <c r="K40" i="19" s="1"/>
  <c r="P40" i="19" s="1"/>
  <c r="G39" i="28"/>
  <c r="O7" i="27"/>
  <c r="T7" i="27" s="1"/>
  <c r="X19" i="9"/>
  <c r="Y19" i="9"/>
  <c r="N20" i="9"/>
  <c r="W5" i="27"/>
  <c r="W20" i="9"/>
  <c r="L6" i="27"/>
  <c r="P6" i="27"/>
  <c r="U6" i="27" s="1"/>
  <c r="N14" i="27"/>
  <c r="S14" i="27" s="1"/>
  <c r="O6" i="27"/>
  <c r="T6" i="27" s="1"/>
  <c r="N6" i="27"/>
  <c r="S6" i="27" s="1"/>
  <c r="O14" i="27"/>
  <c r="T14" i="27" s="1"/>
  <c r="Q5" i="27"/>
  <c r="P14" i="27"/>
  <c r="U14" i="27" s="1"/>
  <c r="E21" i="9"/>
  <c r="M21" i="9" s="1"/>
  <c r="L12" i="27"/>
  <c r="L13" i="27"/>
  <c r="G39" i="9"/>
  <c r="J38" i="9"/>
  <c r="F26" i="15"/>
  <c r="F25" i="12"/>
  <c r="F60" i="15"/>
  <c r="F59" i="13"/>
  <c r="K37" i="9"/>
  <c r="F62" i="12"/>
  <c r="F61" i="16"/>
  <c r="I5" i="19"/>
  <c r="K5" i="19" s="1"/>
  <c r="P5" i="19" s="1"/>
  <c r="G5" i="15"/>
  <c r="G5" i="12"/>
  <c r="H5" i="12" s="1"/>
  <c r="H38" i="9"/>
  <c r="F27" i="16"/>
  <c r="F26" i="13"/>
  <c r="F22" i="9"/>
  <c r="L38" i="15" l="1"/>
  <c r="I38" i="15"/>
  <c r="O38" i="15"/>
  <c r="L61" i="16"/>
  <c r="J61" i="16"/>
  <c r="K61" i="16"/>
  <c r="M61" i="16"/>
  <c r="M27" i="16"/>
  <c r="L27" i="16"/>
  <c r="J27" i="16"/>
  <c r="K27" i="16"/>
  <c r="M4" i="19"/>
  <c r="R4" i="19" s="1"/>
  <c r="L4" i="19"/>
  <c r="Q4" i="19" s="1"/>
  <c r="R39" i="16"/>
  <c r="S39" i="16"/>
  <c r="P39" i="16"/>
  <c r="Q39" i="16"/>
  <c r="O39" i="16"/>
  <c r="Q6" i="16"/>
  <c r="P6" i="16"/>
  <c r="R6" i="16"/>
  <c r="S6" i="16"/>
  <c r="O6" i="16"/>
  <c r="L39" i="19"/>
  <c r="Q39" i="19" s="1"/>
  <c r="L40" i="19"/>
  <c r="Q40" i="19" s="1"/>
  <c r="O21" i="9"/>
  <c r="T21" i="9"/>
  <c r="U21" i="9"/>
  <c r="G40" i="16"/>
  <c r="G39" i="15"/>
  <c r="G41" i="12"/>
  <c r="H41" i="12" s="1"/>
  <c r="K39" i="19"/>
  <c r="P39" i="19" s="1"/>
  <c r="T39" i="19" s="1"/>
  <c r="R20" i="9"/>
  <c r="G42" i="12" s="1"/>
  <c r="H42" i="12" s="1"/>
  <c r="G40" i="28"/>
  <c r="X20" i="9"/>
  <c r="Y20" i="9"/>
  <c r="M40" i="19"/>
  <c r="R40" i="19" s="1"/>
  <c r="N21" i="9"/>
  <c r="Q20" i="9"/>
  <c r="G6" i="12" s="1"/>
  <c r="H6" i="12" s="1"/>
  <c r="G6" i="28"/>
  <c r="W21" i="9"/>
  <c r="Q6" i="27"/>
  <c r="Q12" i="27"/>
  <c r="Q13" i="27"/>
  <c r="F27" i="13"/>
  <c r="W13" i="27"/>
  <c r="X13" i="27" s="1"/>
  <c r="L14" i="27"/>
  <c r="F62" i="16"/>
  <c r="K38" i="9"/>
  <c r="H39" i="9"/>
  <c r="F63" i="12"/>
  <c r="F27" i="15"/>
  <c r="F61" i="15"/>
  <c r="F60" i="13"/>
  <c r="F26" i="12"/>
  <c r="G40" i="9"/>
  <c r="J39" i="9"/>
  <c r="F28" i="16"/>
  <c r="L5" i="19"/>
  <c r="Q5" i="19" s="1"/>
  <c r="M5" i="19"/>
  <c r="R5" i="19" s="1"/>
  <c r="F23" i="9"/>
  <c r="E22" i="9"/>
  <c r="M22" i="9" s="1"/>
  <c r="N4" i="19" l="1"/>
  <c r="J62" i="16"/>
  <c r="L62" i="16"/>
  <c r="K62" i="16"/>
  <c r="M62" i="16"/>
  <c r="M28" i="16"/>
  <c r="L28" i="16"/>
  <c r="J28" i="16"/>
  <c r="K28" i="16"/>
  <c r="T40" i="19"/>
  <c r="U40" i="19" s="1"/>
  <c r="P40" i="16"/>
  <c r="S40" i="16"/>
  <c r="R40" i="16"/>
  <c r="Q40" i="16"/>
  <c r="O40" i="16"/>
  <c r="G41" i="16"/>
  <c r="G7" i="16"/>
  <c r="I41" i="19"/>
  <c r="L41" i="19" s="1"/>
  <c r="Q41" i="19" s="1"/>
  <c r="G6" i="15"/>
  <c r="I6" i="19"/>
  <c r="K6" i="19" s="1"/>
  <c r="P6" i="19" s="1"/>
  <c r="N40" i="19"/>
  <c r="N39" i="19"/>
  <c r="Q21" i="9"/>
  <c r="G7" i="15" s="1"/>
  <c r="G7" i="28"/>
  <c r="O22" i="9"/>
  <c r="U22" i="9"/>
  <c r="T22" i="9"/>
  <c r="G40" i="15"/>
  <c r="Y21" i="9"/>
  <c r="X21" i="9"/>
  <c r="R21" i="9"/>
  <c r="G42" i="16" s="1"/>
  <c r="G41" i="28"/>
  <c r="N22" i="9"/>
  <c r="W22" i="9"/>
  <c r="Q14" i="27"/>
  <c r="F28" i="13"/>
  <c r="X12" i="27"/>
  <c r="L15" i="27"/>
  <c r="T4" i="19"/>
  <c r="U4" i="19" s="1"/>
  <c r="G41" i="9"/>
  <c r="J40" i="9"/>
  <c r="F27" i="12"/>
  <c r="F62" i="15"/>
  <c r="H40" i="9"/>
  <c r="K39" i="9"/>
  <c r="F61" i="13"/>
  <c r="F64" i="12"/>
  <c r="F63" i="16"/>
  <c r="F28" i="15"/>
  <c r="F29" i="16"/>
  <c r="T5" i="19"/>
  <c r="U5" i="19" s="1"/>
  <c r="N5" i="19"/>
  <c r="U39" i="19"/>
  <c r="E23" i="9"/>
  <c r="M23" i="9" s="1"/>
  <c r="F24" i="9"/>
  <c r="I7" i="19" l="1"/>
  <c r="L7" i="19" s="1"/>
  <c r="Q7" i="19" s="1"/>
  <c r="P42" i="16"/>
  <c r="O42" i="16"/>
  <c r="M29" i="16"/>
  <c r="J29" i="16"/>
  <c r="K29" i="16"/>
  <c r="L29" i="16"/>
  <c r="J63" i="16"/>
  <c r="K63" i="16"/>
  <c r="L63" i="16"/>
  <c r="M63" i="16"/>
  <c r="Q42" i="16"/>
  <c r="R42" i="16"/>
  <c r="S42" i="16"/>
  <c r="P7" i="16"/>
  <c r="R7" i="16"/>
  <c r="Q7" i="16"/>
  <c r="S7" i="16"/>
  <c r="O7" i="16"/>
  <c r="K41" i="19"/>
  <c r="P41" i="19" s="1"/>
  <c r="S41" i="16"/>
  <c r="P41" i="16"/>
  <c r="R41" i="16"/>
  <c r="Q41" i="16"/>
  <c r="O41" i="16"/>
  <c r="M41" i="19"/>
  <c r="M6" i="19"/>
  <c r="R6" i="19" s="1"/>
  <c r="L6" i="19"/>
  <c r="Q6" i="19" s="1"/>
  <c r="I42" i="19"/>
  <c r="L42" i="19" s="1"/>
  <c r="Q42" i="19" s="1"/>
  <c r="G8" i="16"/>
  <c r="O8" i="16" s="1"/>
  <c r="X22" i="9"/>
  <c r="Y22" i="9"/>
  <c r="Q22" i="9"/>
  <c r="I8" i="19" s="1"/>
  <c r="L8" i="19" s="1"/>
  <c r="G8" i="28"/>
  <c r="R22" i="9"/>
  <c r="G42" i="15" s="1"/>
  <c r="G42" i="28"/>
  <c r="G43" i="12"/>
  <c r="H43" i="12" s="1"/>
  <c r="N23" i="9"/>
  <c r="U23" i="9"/>
  <c r="T23" i="9"/>
  <c r="G7" i="12"/>
  <c r="H7" i="12" s="1"/>
  <c r="G41" i="15"/>
  <c r="O23" i="9"/>
  <c r="W23" i="9"/>
  <c r="Q15" i="27"/>
  <c r="F29" i="13"/>
  <c r="F62" i="13"/>
  <c r="W15" i="27"/>
  <c r="X15" i="27" s="1"/>
  <c r="W14" i="27"/>
  <c r="X5" i="27"/>
  <c r="F63" i="15"/>
  <c r="F29" i="15"/>
  <c r="F64" i="16"/>
  <c r="F28" i="12"/>
  <c r="H41" i="9"/>
  <c r="K40" i="9"/>
  <c r="G42" i="9"/>
  <c r="J41" i="9"/>
  <c r="F65" i="12"/>
  <c r="F30" i="16"/>
  <c r="K7" i="19"/>
  <c r="M7" i="19"/>
  <c r="F25" i="9"/>
  <c r="E24" i="9"/>
  <c r="E25" i="9" s="1"/>
  <c r="K30" i="16" l="1"/>
  <c r="M30" i="16"/>
  <c r="L30" i="16"/>
  <c r="J30" i="16"/>
  <c r="K64" i="16"/>
  <c r="J64" i="16"/>
  <c r="M64" i="16"/>
  <c r="L64" i="16"/>
  <c r="N41" i="19"/>
  <c r="R41" i="19"/>
  <c r="T41" i="19" s="1"/>
  <c r="U41" i="19" s="1"/>
  <c r="K42" i="19"/>
  <c r="P42" i="19" s="1"/>
  <c r="M42" i="19"/>
  <c r="R42" i="19" s="1"/>
  <c r="T6" i="19"/>
  <c r="U6" i="19" s="1"/>
  <c r="R8" i="16"/>
  <c r="Q8" i="16"/>
  <c r="S8" i="16"/>
  <c r="P8" i="16"/>
  <c r="N6" i="19"/>
  <c r="G44" i="12"/>
  <c r="H44" i="12" s="1"/>
  <c r="G8" i="15"/>
  <c r="G8" i="12"/>
  <c r="H8" i="12" s="1"/>
  <c r="Q23" i="9"/>
  <c r="G10" i="16" s="1"/>
  <c r="G9" i="28"/>
  <c r="I43" i="19"/>
  <c r="L43" i="19" s="1"/>
  <c r="Q43" i="19" s="1"/>
  <c r="G43" i="16"/>
  <c r="Y23" i="9"/>
  <c r="X23" i="9"/>
  <c r="R23" i="9"/>
  <c r="I44" i="19" s="1"/>
  <c r="K44" i="19" s="1"/>
  <c r="P44" i="19" s="1"/>
  <c r="G43" i="28"/>
  <c r="G9" i="16"/>
  <c r="P9" i="16" s="1"/>
  <c r="W24" i="9"/>
  <c r="W25" i="9"/>
  <c r="M25" i="9"/>
  <c r="M24" i="9"/>
  <c r="N7" i="19"/>
  <c r="F30" i="13"/>
  <c r="F63" i="13"/>
  <c r="W6" i="27"/>
  <c r="W7" i="27"/>
  <c r="X7" i="27" s="1"/>
  <c r="X14" i="27"/>
  <c r="F30" i="15"/>
  <c r="F65" i="16"/>
  <c r="F66" i="12"/>
  <c r="H42" i="9"/>
  <c r="K41" i="9"/>
  <c r="F29" i="12"/>
  <c r="F64" i="15"/>
  <c r="G43" i="9"/>
  <c r="J42" i="9"/>
  <c r="F31" i="16"/>
  <c r="R7" i="19"/>
  <c r="P7" i="19"/>
  <c r="K8" i="19"/>
  <c r="P8" i="19" s="1"/>
  <c r="M8" i="19"/>
  <c r="R8" i="19" s="1"/>
  <c r="Q8" i="19"/>
  <c r="F26" i="9"/>
  <c r="G9" i="15" l="1"/>
  <c r="I9" i="19"/>
  <c r="L9" i="19" s="1"/>
  <c r="Q9" i="19" s="1"/>
  <c r="T42" i="19"/>
  <c r="U42" i="19" s="1"/>
  <c r="N42" i="19"/>
  <c r="M31" i="16"/>
  <c r="L31" i="16"/>
  <c r="K31" i="16"/>
  <c r="J31" i="16"/>
  <c r="J65" i="16"/>
  <c r="K65" i="16"/>
  <c r="M65" i="16"/>
  <c r="L65" i="16"/>
  <c r="G9" i="12"/>
  <c r="H9" i="12" s="1"/>
  <c r="S9" i="16"/>
  <c r="R9" i="16"/>
  <c r="Q9" i="16"/>
  <c r="O9" i="16"/>
  <c r="S43" i="16"/>
  <c r="R43" i="16"/>
  <c r="Q43" i="16"/>
  <c r="P43" i="16"/>
  <c r="O43" i="16"/>
  <c r="S10" i="16"/>
  <c r="Q10" i="16"/>
  <c r="R10" i="16"/>
  <c r="P10" i="16"/>
  <c r="O10" i="16"/>
  <c r="M44" i="19"/>
  <c r="R44" i="19" s="1"/>
  <c r="L44" i="19"/>
  <c r="Q44" i="19" s="1"/>
  <c r="K43" i="19"/>
  <c r="P43" i="19" s="1"/>
  <c r="M43" i="19"/>
  <c r="R43" i="19" s="1"/>
  <c r="G43" i="15"/>
  <c r="G45" i="12"/>
  <c r="H45" i="12" s="1"/>
  <c r="U25" i="9"/>
  <c r="T25" i="9"/>
  <c r="Y25" i="9"/>
  <c r="X25" i="9"/>
  <c r="U24" i="9"/>
  <c r="T24" i="9"/>
  <c r="X24" i="9"/>
  <c r="Y24" i="9"/>
  <c r="G44" i="16"/>
  <c r="O24" i="9"/>
  <c r="N24" i="9"/>
  <c r="O25" i="9"/>
  <c r="N25" i="9"/>
  <c r="F31" i="13"/>
  <c r="F64" i="13"/>
  <c r="X6" i="27"/>
  <c r="T7" i="19"/>
  <c r="U7" i="19" s="1"/>
  <c r="F30" i="12"/>
  <c r="F67" i="12"/>
  <c r="F65" i="15"/>
  <c r="F66" i="16"/>
  <c r="F31" i="15"/>
  <c r="G44" i="9"/>
  <c r="J43" i="9"/>
  <c r="H43" i="9"/>
  <c r="K42" i="9"/>
  <c r="F32" i="16"/>
  <c r="N8" i="19"/>
  <c r="M9" i="19"/>
  <c r="K9" i="19"/>
  <c r="P9" i="19" s="1"/>
  <c r="T8" i="19"/>
  <c r="F27" i="9"/>
  <c r="E26" i="9"/>
  <c r="M26" i="9" s="1"/>
  <c r="M32" i="16" l="1"/>
  <c r="L32" i="16"/>
  <c r="K32" i="16"/>
  <c r="J32" i="16"/>
  <c r="K66" i="16"/>
  <c r="M66" i="16"/>
  <c r="J66" i="16"/>
  <c r="L66" i="16"/>
  <c r="T43" i="19"/>
  <c r="U43" i="19" s="1"/>
  <c r="N44" i="19"/>
  <c r="P44" i="16"/>
  <c r="S44" i="16"/>
  <c r="Q44" i="16"/>
  <c r="R44" i="16"/>
  <c r="O44" i="16"/>
  <c r="N43" i="19"/>
  <c r="Q25" i="9"/>
  <c r="G11" i="15" s="1"/>
  <c r="G11" i="28"/>
  <c r="R25" i="9"/>
  <c r="G46" i="16" s="1"/>
  <c r="G45" i="28"/>
  <c r="Q24" i="9"/>
  <c r="G11" i="16" s="1"/>
  <c r="G10" i="28"/>
  <c r="T26" i="9"/>
  <c r="U26" i="9"/>
  <c r="R24" i="9"/>
  <c r="G44" i="15" s="1"/>
  <c r="G44" i="28"/>
  <c r="O26" i="9"/>
  <c r="N26" i="9"/>
  <c r="W26" i="9"/>
  <c r="F32" i="13"/>
  <c r="F33" i="13" s="1"/>
  <c r="F65" i="13"/>
  <c r="F66" i="13" s="1"/>
  <c r="F68" i="12"/>
  <c r="F66" i="15"/>
  <c r="F31" i="12"/>
  <c r="F67" i="16"/>
  <c r="H44" i="9"/>
  <c r="K43" i="9"/>
  <c r="G45" i="9"/>
  <c r="J44" i="9"/>
  <c r="F32" i="15"/>
  <c r="F33" i="16"/>
  <c r="N9" i="19"/>
  <c r="R9" i="19"/>
  <c r="U8" i="19"/>
  <c r="T44" i="19"/>
  <c r="U44" i="19" s="1"/>
  <c r="E27" i="9"/>
  <c r="M27" i="9" s="1"/>
  <c r="N27" i="9" s="1"/>
  <c r="F28" i="9"/>
  <c r="G10" i="15" l="1"/>
  <c r="G47" i="12"/>
  <c r="H47" i="12" s="1"/>
  <c r="K33" i="16"/>
  <c r="L33" i="16"/>
  <c r="J33" i="16"/>
  <c r="M33" i="16"/>
  <c r="J67" i="16"/>
  <c r="K67" i="16"/>
  <c r="M67" i="16"/>
  <c r="L67" i="16"/>
  <c r="G10" i="12"/>
  <c r="H10" i="12" s="1"/>
  <c r="I10" i="19"/>
  <c r="M10" i="19" s="1"/>
  <c r="R10" i="19" s="1"/>
  <c r="G45" i="16"/>
  <c r="S45" i="16" s="1"/>
  <c r="G11" i="12"/>
  <c r="H11" i="12" s="1"/>
  <c r="G12" i="16"/>
  <c r="I11" i="19"/>
  <c r="L11" i="19" s="1"/>
  <c r="Q11" i="19" s="1"/>
  <c r="S11" i="16"/>
  <c r="Q11" i="16"/>
  <c r="P11" i="16"/>
  <c r="R11" i="16"/>
  <c r="O11" i="16"/>
  <c r="P46" i="16"/>
  <c r="Q46" i="16"/>
  <c r="R46" i="16"/>
  <c r="S46" i="16"/>
  <c r="O46" i="16"/>
  <c r="G46" i="12"/>
  <c r="H46" i="12" s="1"/>
  <c r="I45" i="19"/>
  <c r="L45" i="19" s="1"/>
  <c r="Q45" i="19" s="1"/>
  <c r="O27" i="9"/>
  <c r="T27" i="9"/>
  <c r="Q27" i="9"/>
  <c r="I13" i="19" s="1"/>
  <c r="U27" i="9"/>
  <c r="Q26" i="9"/>
  <c r="G13" i="16" s="1"/>
  <c r="G12" i="28"/>
  <c r="R26" i="9"/>
  <c r="G46" i="28"/>
  <c r="G45" i="15"/>
  <c r="I46" i="19"/>
  <c r="X26" i="9"/>
  <c r="Y26" i="9"/>
  <c r="W27" i="9"/>
  <c r="F33" i="15"/>
  <c r="F67" i="15"/>
  <c r="H45" i="9"/>
  <c r="K44" i="9"/>
  <c r="F69" i="12"/>
  <c r="F68" i="16"/>
  <c r="G46" i="9"/>
  <c r="J45" i="9"/>
  <c r="F32" i="12"/>
  <c r="F34" i="16"/>
  <c r="F67" i="13"/>
  <c r="T9" i="19"/>
  <c r="U9" i="19" s="1"/>
  <c r="F29" i="9"/>
  <c r="E28" i="9"/>
  <c r="M28" i="9" s="1"/>
  <c r="K10" i="19" l="1"/>
  <c r="P10" i="19" s="1"/>
  <c r="L10" i="19"/>
  <c r="Q10" i="19" s="1"/>
  <c r="T10" i="19" s="1"/>
  <c r="U10" i="19" s="1"/>
  <c r="L68" i="16"/>
  <c r="J68" i="16"/>
  <c r="K68" i="16"/>
  <c r="M68" i="16"/>
  <c r="L34" i="16"/>
  <c r="J34" i="16"/>
  <c r="K34" i="16"/>
  <c r="M34" i="16"/>
  <c r="R45" i="16"/>
  <c r="O45" i="16"/>
  <c r="P45" i="16"/>
  <c r="Q45" i="16"/>
  <c r="K11" i="19"/>
  <c r="P11" i="19" s="1"/>
  <c r="M11" i="19"/>
  <c r="R11" i="19" s="1"/>
  <c r="R12" i="16"/>
  <c r="S12" i="16"/>
  <c r="P12" i="16"/>
  <c r="Q12" i="16"/>
  <c r="O12" i="16"/>
  <c r="M45" i="19"/>
  <c r="R45" i="19" s="1"/>
  <c r="K45" i="19"/>
  <c r="P45" i="19" s="1"/>
  <c r="Q13" i="16"/>
  <c r="R13" i="16"/>
  <c r="S13" i="16"/>
  <c r="P13" i="16"/>
  <c r="O13" i="16"/>
  <c r="I12" i="19"/>
  <c r="L12" i="19" s="1"/>
  <c r="Q12" i="19" s="1"/>
  <c r="N28" i="9"/>
  <c r="T28" i="9"/>
  <c r="U28" i="9"/>
  <c r="I47" i="19"/>
  <c r="G48" i="12"/>
  <c r="H48" i="12" s="1"/>
  <c r="M46" i="19"/>
  <c r="L46" i="19"/>
  <c r="Q46" i="19" s="1"/>
  <c r="K46" i="19"/>
  <c r="P46" i="19" s="1"/>
  <c r="G13" i="28"/>
  <c r="N10" i="19"/>
  <c r="G46" i="15"/>
  <c r="R27" i="9"/>
  <c r="I48" i="19" s="1"/>
  <c r="K48" i="19" s="1"/>
  <c r="P48" i="19" s="1"/>
  <c r="G47" i="28"/>
  <c r="G47" i="16"/>
  <c r="Y27" i="9"/>
  <c r="X27" i="9"/>
  <c r="O28" i="9"/>
  <c r="W28" i="9"/>
  <c r="M13" i="19"/>
  <c r="R13" i="19" s="1"/>
  <c r="G13" i="15"/>
  <c r="G14" i="16"/>
  <c r="G13" i="12"/>
  <c r="H13" i="12" s="1"/>
  <c r="H46" i="9"/>
  <c r="K45" i="9"/>
  <c r="G47" i="9"/>
  <c r="G48" i="9" s="1"/>
  <c r="J46" i="9"/>
  <c r="F33" i="12"/>
  <c r="F30" i="9"/>
  <c r="E29" i="9"/>
  <c r="M29" i="9" s="1"/>
  <c r="T11" i="19" l="1"/>
  <c r="U11" i="19" s="1"/>
  <c r="N11" i="19"/>
  <c r="K12" i="19"/>
  <c r="P12" i="19" s="1"/>
  <c r="T45" i="19"/>
  <c r="U45" i="19" s="1"/>
  <c r="M12" i="19"/>
  <c r="R12" i="19" s="1"/>
  <c r="N45" i="19"/>
  <c r="S14" i="16"/>
  <c r="R14" i="16"/>
  <c r="Q14" i="16"/>
  <c r="P14" i="16"/>
  <c r="O14" i="16"/>
  <c r="U14" i="16" s="1"/>
  <c r="R47" i="16"/>
  <c r="S47" i="16"/>
  <c r="Q47" i="16"/>
  <c r="P47" i="16"/>
  <c r="O47" i="16"/>
  <c r="G49" i="12"/>
  <c r="H49" i="12" s="1"/>
  <c r="G47" i="15"/>
  <c r="L48" i="19"/>
  <c r="Q48" i="19" s="1"/>
  <c r="M48" i="19"/>
  <c r="R48" i="19" s="1"/>
  <c r="G48" i="16"/>
  <c r="R46" i="19"/>
  <c r="T46" i="19" s="1"/>
  <c r="U46" i="19" s="1"/>
  <c r="N46" i="19"/>
  <c r="M47" i="19"/>
  <c r="L47" i="19"/>
  <c r="Q47" i="19" s="1"/>
  <c r="K47" i="19"/>
  <c r="P47" i="19" s="1"/>
  <c r="X28" i="9"/>
  <c r="Y28" i="9"/>
  <c r="R28" i="9"/>
  <c r="G50" i="12" s="1"/>
  <c r="H50" i="12" s="1"/>
  <c r="G48" i="28"/>
  <c r="N29" i="9"/>
  <c r="T29" i="9"/>
  <c r="U29" i="9"/>
  <c r="Q28" i="9"/>
  <c r="I14" i="19" s="1"/>
  <c r="G14" i="28"/>
  <c r="O29" i="9"/>
  <c r="W29" i="9"/>
  <c r="F31" i="9"/>
  <c r="E30" i="9"/>
  <c r="E31" i="9" s="1"/>
  <c r="J48" i="9"/>
  <c r="J47" i="9"/>
  <c r="H47" i="9"/>
  <c r="K46" i="9"/>
  <c r="T12" i="19"/>
  <c r="U12" i="19" s="1"/>
  <c r="N12" i="19"/>
  <c r="K13" i="19"/>
  <c r="P13" i="19" s="1"/>
  <c r="L13" i="19"/>
  <c r="Q13" i="19" s="1"/>
  <c r="N48" i="19"/>
  <c r="T48" i="19" l="1"/>
  <c r="U48" i="19" s="1"/>
  <c r="G49" i="16"/>
  <c r="R49" i="16" s="1"/>
  <c r="I49" i="19"/>
  <c r="L49" i="19" s="1"/>
  <c r="Q49" i="19" s="1"/>
  <c r="G48" i="15"/>
  <c r="Q48" i="16"/>
  <c r="P48" i="16"/>
  <c r="R48" i="16"/>
  <c r="S48" i="16"/>
  <c r="O48" i="16"/>
  <c r="G14" i="12"/>
  <c r="H14" i="12" s="1"/>
  <c r="G14" i="15"/>
  <c r="G15" i="16"/>
  <c r="L14" i="19"/>
  <c r="Q14" i="19" s="1"/>
  <c r="K14" i="19"/>
  <c r="P14" i="19" s="1"/>
  <c r="R29" i="9"/>
  <c r="G50" i="16" s="1"/>
  <c r="G49" i="28"/>
  <c r="Q29" i="9"/>
  <c r="I15" i="19" s="1"/>
  <c r="K15" i="19" s="1"/>
  <c r="P15" i="19" s="1"/>
  <c r="G15" i="28"/>
  <c r="N47" i="19"/>
  <c r="R47" i="19"/>
  <c r="T47" i="19" s="1"/>
  <c r="U47" i="19" s="1"/>
  <c r="Y29" i="9"/>
  <c r="X29" i="9"/>
  <c r="F32" i="9"/>
  <c r="W31" i="9"/>
  <c r="W30" i="9"/>
  <c r="M30" i="9"/>
  <c r="M31" i="9"/>
  <c r="H48" i="9"/>
  <c r="K47" i="9"/>
  <c r="T13" i="19"/>
  <c r="U13" i="19" s="1"/>
  <c r="N13" i="19"/>
  <c r="M14" i="19"/>
  <c r="R14" i="19" s="1"/>
  <c r="E32" i="9"/>
  <c r="M32" i="9" s="1"/>
  <c r="O49" i="16" l="1"/>
  <c r="S49" i="16"/>
  <c r="Q49" i="16"/>
  <c r="P49" i="16"/>
  <c r="G15" i="12"/>
  <c r="H15" i="12" s="1"/>
  <c r="I15" i="12" s="1"/>
  <c r="G15" i="15"/>
  <c r="G16" i="16"/>
  <c r="O16" i="16" s="1"/>
  <c r="M49" i="19"/>
  <c r="R49" i="19" s="1"/>
  <c r="K49" i="19"/>
  <c r="P49" i="19" s="1"/>
  <c r="Q15" i="16"/>
  <c r="P15" i="16"/>
  <c r="S15" i="16"/>
  <c r="R15" i="16"/>
  <c r="O15" i="16"/>
  <c r="S50" i="16"/>
  <c r="Q50" i="16"/>
  <c r="R50" i="16"/>
  <c r="P50" i="16"/>
  <c r="O50" i="16"/>
  <c r="G51" i="12"/>
  <c r="H51" i="12" s="1"/>
  <c r="I51" i="12" s="1"/>
  <c r="G49" i="15"/>
  <c r="I50" i="19"/>
  <c r="M50" i="19" s="1"/>
  <c r="R50" i="19" s="1"/>
  <c r="X31" i="9"/>
  <c r="Y31" i="9"/>
  <c r="T30" i="9"/>
  <c r="U30" i="9"/>
  <c r="T31" i="9"/>
  <c r="U31" i="9"/>
  <c r="T32" i="9"/>
  <c r="U32" i="9"/>
  <c r="X30" i="9"/>
  <c r="Y30" i="9"/>
  <c r="N32" i="9"/>
  <c r="O32" i="9"/>
  <c r="O31" i="9"/>
  <c r="N31" i="9"/>
  <c r="N30" i="9"/>
  <c r="O30" i="9"/>
  <c r="F33" i="9"/>
  <c r="W32" i="9"/>
  <c r="K48" i="9"/>
  <c r="L15" i="19"/>
  <c r="Q15" i="19" s="1"/>
  <c r="M15" i="19"/>
  <c r="R15" i="19" s="1"/>
  <c r="N14" i="19"/>
  <c r="T14" i="19"/>
  <c r="U14" i="19" s="1"/>
  <c r="I50" i="12"/>
  <c r="I14" i="12"/>
  <c r="I5" i="12"/>
  <c r="I10" i="12"/>
  <c r="I9" i="12"/>
  <c r="I11" i="12"/>
  <c r="I13" i="12"/>
  <c r="I43" i="12"/>
  <c r="I47" i="12"/>
  <c r="I44" i="12"/>
  <c r="I45" i="12"/>
  <c r="I42" i="12"/>
  <c r="I8" i="12"/>
  <c r="I41" i="12"/>
  <c r="I49" i="12"/>
  <c r="I6" i="12"/>
  <c r="I48" i="12"/>
  <c r="I7" i="12"/>
  <c r="I46" i="12"/>
  <c r="T49" i="19" l="1"/>
  <c r="U49" i="19" s="1"/>
  <c r="N49" i="19"/>
  <c r="Q16" i="16"/>
  <c r="R16" i="16"/>
  <c r="X16" i="16" s="1"/>
  <c r="S16" i="16"/>
  <c r="P16" i="16"/>
  <c r="V16" i="16" s="1"/>
  <c r="L50" i="19"/>
  <c r="Q50" i="19" s="1"/>
  <c r="K50" i="19"/>
  <c r="P50" i="19" s="1"/>
  <c r="Q30" i="9"/>
  <c r="I16" i="19" s="1"/>
  <c r="G16" i="28"/>
  <c r="R31" i="9"/>
  <c r="I52" i="19" s="1"/>
  <c r="G51" i="28"/>
  <c r="R32" i="9"/>
  <c r="G54" i="12" s="1"/>
  <c r="H54" i="12" s="1"/>
  <c r="G52" i="28"/>
  <c r="R30" i="9"/>
  <c r="G52" i="12" s="1"/>
  <c r="H52" i="12" s="1"/>
  <c r="I52" i="12" s="1"/>
  <c r="G50" i="28"/>
  <c r="Q31" i="9"/>
  <c r="G17" i="15" s="1"/>
  <c r="G17" i="28"/>
  <c r="X32" i="9"/>
  <c r="Y32" i="9"/>
  <c r="Q32" i="9"/>
  <c r="I18" i="19" s="1"/>
  <c r="G18" i="28"/>
  <c r="F34" i="9"/>
  <c r="E33" i="9"/>
  <c r="M33" i="9" s="1"/>
  <c r="T50" i="19"/>
  <c r="U50" i="19" s="1"/>
  <c r="N50" i="19"/>
  <c r="G52" i="16"/>
  <c r="G17" i="16"/>
  <c r="G53" i="12"/>
  <c r="H53" i="12" s="1"/>
  <c r="G53" i="16"/>
  <c r="T15" i="19"/>
  <c r="U15" i="19" s="1"/>
  <c r="N15" i="19"/>
  <c r="I40" i="12"/>
  <c r="I4" i="12"/>
  <c r="F35" i="9"/>
  <c r="X6" i="16"/>
  <c r="Y6" i="16"/>
  <c r="AB6" i="16" s="1"/>
  <c r="V6" i="16"/>
  <c r="W6" i="16"/>
  <c r="U6" i="16"/>
  <c r="X14" i="16"/>
  <c r="W14" i="16"/>
  <c r="V14" i="16"/>
  <c r="Y14" i="16"/>
  <c r="AB14" i="16" s="1"/>
  <c r="V48" i="16"/>
  <c r="W48" i="16"/>
  <c r="X48" i="16"/>
  <c r="Y48" i="16"/>
  <c r="U48" i="16"/>
  <c r="X49" i="16"/>
  <c r="U49" i="16"/>
  <c r="V49" i="16"/>
  <c r="W49" i="16"/>
  <c r="Y49" i="16"/>
  <c r="AB49" i="16" s="1"/>
  <c r="X10" i="16"/>
  <c r="W10" i="16"/>
  <c r="V10" i="16"/>
  <c r="U10" i="16"/>
  <c r="Y10" i="16"/>
  <c r="AB10" i="16" s="1"/>
  <c r="X47" i="16"/>
  <c r="V47" i="16"/>
  <c r="Y47" i="16"/>
  <c r="AB47" i="16" s="1"/>
  <c r="W47" i="16"/>
  <c r="U47" i="16"/>
  <c r="V7" i="16"/>
  <c r="X7" i="16"/>
  <c r="U7" i="16"/>
  <c r="Y7" i="16"/>
  <c r="AB7" i="16" s="1"/>
  <c r="W7" i="16"/>
  <c r="I6" i="15"/>
  <c r="J6" i="15" s="1"/>
  <c r="O6" i="15"/>
  <c r="P6" i="15" s="1"/>
  <c r="L6" i="15"/>
  <c r="M6" i="15" s="1"/>
  <c r="X42" i="16"/>
  <c r="U42" i="16"/>
  <c r="V42" i="16"/>
  <c r="W42" i="16"/>
  <c r="Y42" i="16"/>
  <c r="AB42" i="16" s="1"/>
  <c r="Y12" i="16"/>
  <c r="AB12" i="16" s="1"/>
  <c r="V12" i="16"/>
  <c r="X12" i="16"/>
  <c r="W12" i="16"/>
  <c r="U12" i="16"/>
  <c r="V45" i="16"/>
  <c r="X45" i="16"/>
  <c r="U45" i="16"/>
  <c r="W45" i="16"/>
  <c r="Y45" i="16"/>
  <c r="AB45" i="16" s="1"/>
  <c r="W15" i="16"/>
  <c r="X15" i="16"/>
  <c r="Y15" i="16"/>
  <c r="AB15" i="16" s="1"/>
  <c r="V15" i="16"/>
  <c r="U15" i="16"/>
  <c r="Y41" i="16"/>
  <c r="AB41" i="16" s="1"/>
  <c r="W41" i="16"/>
  <c r="U41" i="16"/>
  <c r="X41" i="16"/>
  <c r="V41" i="16"/>
  <c r="U46" i="16"/>
  <c r="V46" i="16"/>
  <c r="W46" i="16"/>
  <c r="Y46" i="16"/>
  <c r="AB46" i="16" s="1"/>
  <c r="X46" i="16"/>
  <c r="Y16" i="16"/>
  <c r="AB16" i="16" s="1"/>
  <c r="U16" i="16"/>
  <c r="W16" i="16"/>
  <c r="Y40" i="16"/>
  <c r="AB40" i="16" s="1"/>
  <c r="U40" i="16"/>
  <c r="V40" i="16"/>
  <c r="X40" i="16"/>
  <c r="W40" i="16"/>
  <c r="W8" i="16"/>
  <c r="Y8" i="16"/>
  <c r="AB8" i="16" s="1"/>
  <c r="X8" i="16"/>
  <c r="V8" i="16"/>
  <c r="U8" i="16"/>
  <c r="W43" i="16"/>
  <c r="V43" i="16"/>
  <c r="U43" i="16"/>
  <c r="X43" i="16"/>
  <c r="Y43" i="16"/>
  <c r="AB43" i="16" s="1"/>
  <c r="Y44" i="16"/>
  <c r="AB44" i="16" s="1"/>
  <c r="U44" i="16"/>
  <c r="V44" i="16"/>
  <c r="W44" i="16"/>
  <c r="X44" i="16"/>
  <c r="W9" i="16"/>
  <c r="U9" i="16"/>
  <c r="V9" i="16"/>
  <c r="Y9" i="16"/>
  <c r="AB9" i="16" s="1"/>
  <c r="X9" i="16"/>
  <c r="V13" i="16"/>
  <c r="Y13" i="16"/>
  <c r="AB13" i="16" s="1"/>
  <c r="U13" i="16"/>
  <c r="W13" i="16"/>
  <c r="X13" i="16"/>
  <c r="Y50" i="16"/>
  <c r="AB50" i="16" s="1"/>
  <c r="X50" i="16"/>
  <c r="U50" i="16"/>
  <c r="W50" i="16"/>
  <c r="V50" i="16"/>
  <c r="W11" i="16"/>
  <c r="X11" i="16"/>
  <c r="U11" i="16"/>
  <c r="Y11" i="16"/>
  <c r="AB11" i="16" s="1"/>
  <c r="V11" i="16"/>
  <c r="O44" i="15"/>
  <c r="P44" i="15" s="1"/>
  <c r="L44" i="15"/>
  <c r="M44" i="15" s="1"/>
  <c r="I44" i="15"/>
  <c r="J44" i="15" s="1"/>
  <c r="L45" i="15"/>
  <c r="M45" i="15" s="1"/>
  <c r="O45" i="15"/>
  <c r="P45" i="15" s="1"/>
  <c r="I45" i="15"/>
  <c r="J45" i="15" s="1"/>
  <c r="L41" i="15"/>
  <c r="M41" i="15" s="1"/>
  <c r="I41" i="15"/>
  <c r="J41" i="15" s="1"/>
  <c r="O41" i="15"/>
  <c r="P41" i="15" s="1"/>
  <c r="O48" i="15"/>
  <c r="P48" i="15" s="1"/>
  <c r="I48" i="15"/>
  <c r="J48" i="15" s="1"/>
  <c r="L48" i="15"/>
  <c r="M48" i="15" s="1"/>
  <c r="L43" i="15"/>
  <c r="M43" i="15" s="1"/>
  <c r="I43" i="15"/>
  <c r="J43" i="15" s="1"/>
  <c r="O43" i="15"/>
  <c r="P43" i="15" s="1"/>
  <c r="I49" i="15"/>
  <c r="J49" i="15" s="1"/>
  <c r="L49" i="15"/>
  <c r="M49" i="15" s="1"/>
  <c r="O49" i="15"/>
  <c r="P49" i="15" s="1"/>
  <c r="L47" i="15"/>
  <c r="M47" i="15" s="1"/>
  <c r="I47" i="15"/>
  <c r="J47" i="15" s="1"/>
  <c r="O47" i="15"/>
  <c r="P47" i="15" s="1"/>
  <c r="I39" i="15"/>
  <c r="J39" i="15" s="1"/>
  <c r="L39" i="15"/>
  <c r="M39" i="15" s="1"/>
  <c r="O39" i="15"/>
  <c r="P39" i="15" s="1"/>
  <c r="I42" i="15"/>
  <c r="J42" i="15" s="1"/>
  <c r="O42" i="15"/>
  <c r="P42" i="15" s="1"/>
  <c r="L42" i="15"/>
  <c r="M42" i="15" s="1"/>
  <c r="L46" i="15"/>
  <c r="M46" i="15" s="1"/>
  <c r="O46" i="15"/>
  <c r="P46" i="15" s="1"/>
  <c r="I46" i="15"/>
  <c r="J46" i="15" s="1"/>
  <c r="O40" i="15"/>
  <c r="P40" i="15" s="1"/>
  <c r="L40" i="15"/>
  <c r="M40" i="15" s="1"/>
  <c r="I40" i="15"/>
  <c r="J40" i="15" s="1"/>
  <c r="L10" i="15"/>
  <c r="M10" i="15" s="1"/>
  <c r="I10" i="15"/>
  <c r="J10" i="15" s="1"/>
  <c r="O10" i="15"/>
  <c r="P10" i="15" s="1"/>
  <c r="L13" i="15"/>
  <c r="M13" i="15" s="1"/>
  <c r="I13" i="15"/>
  <c r="J13" i="15" s="1"/>
  <c r="O13" i="15"/>
  <c r="P13" i="15" s="1"/>
  <c r="O14" i="15"/>
  <c r="P14" i="15" s="1"/>
  <c r="L14" i="15"/>
  <c r="M14" i="15" s="1"/>
  <c r="I14" i="15"/>
  <c r="J14" i="15" s="1"/>
  <c r="L9" i="15"/>
  <c r="M9" i="15" s="1"/>
  <c r="I9" i="15"/>
  <c r="J9" i="15" s="1"/>
  <c r="O9" i="15"/>
  <c r="P9" i="15" s="1"/>
  <c r="L7" i="15"/>
  <c r="M7" i="15" s="1"/>
  <c r="I7" i="15"/>
  <c r="J7" i="15" s="1"/>
  <c r="O7" i="15"/>
  <c r="P7" i="15" s="1"/>
  <c r="O4" i="15"/>
  <c r="L4" i="15"/>
  <c r="I4" i="15"/>
  <c r="O5" i="15"/>
  <c r="P5" i="15" s="1"/>
  <c r="I5" i="15"/>
  <c r="J5" i="15" s="1"/>
  <c r="L5" i="15"/>
  <c r="M5" i="15" s="1"/>
  <c r="I8" i="15"/>
  <c r="J8" i="15" s="1"/>
  <c r="O8" i="15"/>
  <c r="P8" i="15" s="1"/>
  <c r="L8" i="15"/>
  <c r="M8" i="15" s="1"/>
  <c r="L11" i="15"/>
  <c r="M11" i="15" s="1"/>
  <c r="I11" i="15"/>
  <c r="J11" i="15" s="1"/>
  <c r="O11" i="15"/>
  <c r="P11" i="15" s="1"/>
  <c r="L15" i="15"/>
  <c r="M15" i="15" s="1"/>
  <c r="O15" i="15"/>
  <c r="P15" i="15" s="1"/>
  <c r="I15" i="15"/>
  <c r="J15" i="15" s="1"/>
  <c r="G16" i="12" l="1"/>
  <c r="G16" i="15"/>
  <c r="I16" i="15" s="1"/>
  <c r="J16" i="15" s="1"/>
  <c r="P53" i="16"/>
  <c r="S53" i="16"/>
  <c r="Q53" i="16"/>
  <c r="R53" i="16"/>
  <c r="O53" i="16"/>
  <c r="P17" i="16"/>
  <c r="V17" i="16" s="1"/>
  <c r="S17" i="16"/>
  <c r="Y17" i="16" s="1"/>
  <c r="AB17" i="16" s="1"/>
  <c r="Q17" i="16"/>
  <c r="W17" i="16" s="1"/>
  <c r="R17" i="16"/>
  <c r="X17" i="16" s="1"/>
  <c r="O17" i="16"/>
  <c r="U17" i="16" s="1"/>
  <c r="S52" i="16"/>
  <c r="R52" i="16"/>
  <c r="Q52" i="16"/>
  <c r="P52" i="16"/>
  <c r="O52" i="16"/>
  <c r="G17" i="12"/>
  <c r="H17" i="12" s="1"/>
  <c r="G18" i="16"/>
  <c r="I17" i="19"/>
  <c r="G51" i="16"/>
  <c r="I51" i="19"/>
  <c r="M51" i="19" s="1"/>
  <c r="G50" i="15"/>
  <c r="L50" i="15" s="1"/>
  <c r="M50" i="15" s="1"/>
  <c r="H16" i="12"/>
  <c r="I16" i="12" s="1"/>
  <c r="O33" i="9"/>
  <c r="T33" i="9"/>
  <c r="U33" i="9"/>
  <c r="G18" i="12"/>
  <c r="H18" i="12" s="1"/>
  <c r="G19" i="16"/>
  <c r="G18" i="15"/>
  <c r="E34" i="9"/>
  <c r="M34" i="9" s="1"/>
  <c r="N34" i="9" s="1"/>
  <c r="G52" i="15"/>
  <c r="I53" i="19"/>
  <c r="W33" i="9"/>
  <c r="G51" i="15"/>
  <c r="N33" i="9"/>
  <c r="O16" i="15"/>
  <c r="P16" i="15" s="1"/>
  <c r="K16" i="19"/>
  <c r="P16" i="19" s="1"/>
  <c r="M16" i="19"/>
  <c r="L16" i="19"/>
  <c r="Q16" i="19" s="1"/>
  <c r="W39" i="16"/>
  <c r="V39" i="16"/>
  <c r="Y39" i="16"/>
  <c r="X39" i="16"/>
  <c r="U39" i="16"/>
  <c r="Y5" i="16"/>
  <c r="W5" i="16"/>
  <c r="U5" i="16"/>
  <c r="V5" i="16"/>
  <c r="X5" i="16"/>
  <c r="S38" i="13"/>
  <c r="P38" i="13"/>
  <c r="U38" i="13" s="1"/>
  <c r="O38" i="13"/>
  <c r="T38" i="13" s="1"/>
  <c r="T4" i="13"/>
  <c r="P4" i="13"/>
  <c r="U4" i="13" s="1"/>
  <c r="F36" i="9"/>
  <c r="AA48" i="16"/>
  <c r="AA43" i="16"/>
  <c r="AC43" i="16" s="1"/>
  <c r="AA16" i="16"/>
  <c r="AC16" i="16" s="1"/>
  <c r="AA46" i="16"/>
  <c r="AC46" i="16" s="1"/>
  <c r="AA8" i="16"/>
  <c r="AC8" i="16" s="1"/>
  <c r="AA6" i="16"/>
  <c r="AC6" i="16" s="1"/>
  <c r="AA41" i="16"/>
  <c r="AC41" i="16" s="1"/>
  <c r="AB48" i="16"/>
  <c r="AA10" i="16"/>
  <c r="AC10" i="16" s="1"/>
  <c r="AA47" i="16"/>
  <c r="AC47" i="16" s="1"/>
  <c r="AA9" i="16"/>
  <c r="AC9" i="16" s="1"/>
  <c r="AA11" i="16"/>
  <c r="AC11" i="16" s="1"/>
  <c r="AA14" i="16"/>
  <c r="AC14" i="16" s="1"/>
  <c r="AA50" i="16"/>
  <c r="AC50" i="16" s="1"/>
  <c r="AA13" i="16"/>
  <c r="AC13" i="16" s="1"/>
  <c r="AA42" i="16"/>
  <c r="AC42" i="16" s="1"/>
  <c r="AA44" i="16"/>
  <c r="AC44" i="16" s="1"/>
  <c r="AA45" i="16"/>
  <c r="AC45" i="16" s="1"/>
  <c r="AA7" i="16"/>
  <c r="AC7" i="16" s="1"/>
  <c r="AA12" i="16"/>
  <c r="AC12" i="16" s="1"/>
  <c r="L4" i="13"/>
  <c r="AA40" i="16"/>
  <c r="AC40" i="16" s="1"/>
  <c r="AA15" i="16"/>
  <c r="AC15" i="16" s="1"/>
  <c r="L38" i="13"/>
  <c r="AA49" i="16"/>
  <c r="AC49" i="16" s="1"/>
  <c r="M38" i="15"/>
  <c r="J38" i="15"/>
  <c r="P38" i="15"/>
  <c r="J4" i="15"/>
  <c r="P4" i="15"/>
  <c r="M4" i="15"/>
  <c r="L16" i="15" l="1"/>
  <c r="M16" i="15" s="1"/>
  <c r="I50" i="15"/>
  <c r="J50" i="15" s="1"/>
  <c r="Q51" i="16"/>
  <c r="W51" i="16" s="1"/>
  <c r="P51" i="16"/>
  <c r="V51" i="16" s="1"/>
  <c r="S51" i="16"/>
  <c r="Y51" i="16" s="1"/>
  <c r="AB51" i="16" s="1"/>
  <c r="R51" i="16"/>
  <c r="X51" i="16" s="1"/>
  <c r="O51" i="16"/>
  <c r="U51" i="16" s="1"/>
  <c r="P18" i="16"/>
  <c r="R18" i="16"/>
  <c r="S18" i="16"/>
  <c r="Q18" i="16"/>
  <c r="O18" i="16"/>
  <c r="Q19" i="16"/>
  <c r="P19" i="16"/>
  <c r="S19" i="16"/>
  <c r="R19" i="16"/>
  <c r="O19" i="16"/>
  <c r="K51" i="19"/>
  <c r="P51" i="19" s="1"/>
  <c r="O50" i="15"/>
  <c r="P50" i="15" s="1"/>
  <c r="L51" i="19"/>
  <c r="Q51" i="19" s="1"/>
  <c r="W34" i="9"/>
  <c r="Y34" i="9" s="1"/>
  <c r="Q33" i="9"/>
  <c r="G19" i="28"/>
  <c r="Q34" i="9"/>
  <c r="G20" i="12" s="1"/>
  <c r="H20" i="12" s="1"/>
  <c r="G20" i="28"/>
  <c r="Y33" i="9"/>
  <c r="X33" i="9"/>
  <c r="O34" i="9"/>
  <c r="T34" i="9"/>
  <c r="U34" i="9"/>
  <c r="E35" i="9"/>
  <c r="M35" i="9" s="1"/>
  <c r="N35" i="9" s="1"/>
  <c r="R33" i="9"/>
  <c r="I54" i="19" s="1"/>
  <c r="G53" i="28"/>
  <c r="AA17" i="16"/>
  <c r="AC17" i="16" s="1"/>
  <c r="R51" i="19"/>
  <c r="R16" i="19"/>
  <c r="T16" i="19" s="1"/>
  <c r="U16" i="19" s="1"/>
  <c r="N16" i="19"/>
  <c r="AC48" i="16"/>
  <c r="G20" i="15"/>
  <c r="G21" i="16"/>
  <c r="AA5" i="16"/>
  <c r="AB39" i="16"/>
  <c r="AA39" i="16"/>
  <c r="AB5" i="16"/>
  <c r="Q38" i="13"/>
  <c r="Q4" i="13"/>
  <c r="F37" i="9"/>
  <c r="I20" i="19" l="1"/>
  <c r="T51" i="19"/>
  <c r="U51" i="19" s="1"/>
  <c r="AA51" i="16"/>
  <c r="AC51" i="16" s="1"/>
  <c r="N51" i="19"/>
  <c r="X34" i="9"/>
  <c r="P21" i="16"/>
  <c r="R21" i="16"/>
  <c r="S21" i="16"/>
  <c r="Q21" i="16"/>
  <c r="O21" i="16"/>
  <c r="G53" i="15"/>
  <c r="E36" i="9"/>
  <c r="M36" i="9" s="1"/>
  <c r="N36" i="9" s="1"/>
  <c r="W35" i="9"/>
  <c r="X35" i="9" s="1"/>
  <c r="O35" i="9"/>
  <c r="T35" i="9"/>
  <c r="U35" i="9"/>
  <c r="R34" i="9"/>
  <c r="G54" i="28"/>
  <c r="Q35" i="9"/>
  <c r="I21" i="19" s="1"/>
  <c r="G21" i="28"/>
  <c r="G55" i="12"/>
  <c r="H55" i="12" s="1"/>
  <c r="G54" i="16"/>
  <c r="I19" i="19"/>
  <c r="G19" i="12"/>
  <c r="H19" i="12" s="1"/>
  <c r="G19" i="15"/>
  <c r="G20" i="16"/>
  <c r="AC39" i="16"/>
  <c r="AC5" i="16"/>
  <c r="W38" i="13"/>
  <c r="W4" i="13"/>
  <c r="F38" i="9"/>
  <c r="U36" i="9" l="1"/>
  <c r="W36" i="9"/>
  <c r="T36" i="9"/>
  <c r="O36" i="9"/>
  <c r="P54" i="16"/>
  <c r="S54" i="16"/>
  <c r="Q54" i="16"/>
  <c r="R54" i="16"/>
  <c r="O54" i="16"/>
  <c r="E37" i="9"/>
  <c r="M37" i="9" s="1"/>
  <c r="O37" i="9" s="1"/>
  <c r="S20" i="16"/>
  <c r="R20" i="16"/>
  <c r="P20" i="16"/>
  <c r="Q20" i="16"/>
  <c r="O20" i="16"/>
  <c r="Y35" i="9"/>
  <c r="G21" i="12"/>
  <c r="H21" i="12" s="1"/>
  <c r="I21" i="12" s="1"/>
  <c r="G21" i="15"/>
  <c r="O21" i="15" s="1"/>
  <c r="G22" i="16"/>
  <c r="X36" i="9"/>
  <c r="Y36" i="9"/>
  <c r="G54" i="15"/>
  <c r="G56" i="12"/>
  <c r="H56" i="12" s="1"/>
  <c r="I56" i="12" s="1"/>
  <c r="G55" i="16"/>
  <c r="I55" i="19"/>
  <c r="Q36" i="9"/>
  <c r="I22" i="19" s="1"/>
  <c r="L22" i="19" s="1"/>
  <c r="Q22" i="19" s="1"/>
  <c r="G22" i="28"/>
  <c r="R35" i="9"/>
  <c r="G55" i="28"/>
  <c r="R36" i="9"/>
  <c r="G56" i="15" s="1"/>
  <c r="I56" i="15" s="1"/>
  <c r="J56" i="15" s="1"/>
  <c r="G56" i="28"/>
  <c r="N37" i="9"/>
  <c r="F39" i="9"/>
  <c r="X38" i="13"/>
  <c r="X4" i="13"/>
  <c r="I20" i="12"/>
  <c r="I54" i="12"/>
  <c r="I18" i="12"/>
  <c r="I19" i="12"/>
  <c r="I55" i="12"/>
  <c r="W37" i="9" l="1"/>
  <c r="X37" i="9" s="1"/>
  <c r="P22" i="16"/>
  <c r="Q22" i="16"/>
  <c r="R22" i="16"/>
  <c r="X22" i="16" s="1"/>
  <c r="S22" i="16"/>
  <c r="O22" i="16"/>
  <c r="U22" i="16" s="1"/>
  <c r="Q55" i="16"/>
  <c r="W55" i="16" s="1"/>
  <c r="P55" i="16"/>
  <c r="V55" i="16" s="1"/>
  <c r="S55" i="16"/>
  <c r="Y55" i="16" s="1"/>
  <c r="AB55" i="16" s="1"/>
  <c r="R55" i="16"/>
  <c r="X55" i="16" s="1"/>
  <c r="O55" i="16"/>
  <c r="U55" i="16" s="1"/>
  <c r="U37" i="9"/>
  <c r="T37" i="9"/>
  <c r="E38" i="9"/>
  <c r="M38" i="9" s="1"/>
  <c r="N38" i="9" s="1"/>
  <c r="L21" i="15"/>
  <c r="M21" i="15" s="1"/>
  <c r="I21" i="15"/>
  <c r="J21" i="15" s="1"/>
  <c r="G55" i="15"/>
  <c r="I56" i="19"/>
  <c r="G56" i="16"/>
  <c r="G57" i="12"/>
  <c r="H57" i="12" s="1"/>
  <c r="I57" i="12" s="1"/>
  <c r="G58" i="12"/>
  <c r="H58" i="12" s="1"/>
  <c r="I58" i="12" s="1"/>
  <c r="G22" i="12"/>
  <c r="H22" i="12" s="1"/>
  <c r="I22" i="12" s="1"/>
  <c r="G22" i="15"/>
  <c r="O22" i="15" s="1"/>
  <c r="P22" i="15" s="1"/>
  <c r="G23" i="16"/>
  <c r="G57" i="16"/>
  <c r="I57" i="19"/>
  <c r="K57" i="19" s="1"/>
  <c r="P57" i="19" s="1"/>
  <c r="R37" i="9"/>
  <c r="I58" i="19" s="1"/>
  <c r="L58" i="19" s="1"/>
  <c r="G57" i="28"/>
  <c r="Q37" i="9"/>
  <c r="G23" i="15" s="1"/>
  <c r="I23" i="15" s="1"/>
  <c r="J23" i="15" s="1"/>
  <c r="G23" i="28"/>
  <c r="F40" i="9"/>
  <c r="M22" i="19"/>
  <c r="R22" i="19" s="1"/>
  <c r="K22" i="19"/>
  <c r="P22" i="19" s="1"/>
  <c r="I53" i="12"/>
  <c r="I17" i="12"/>
  <c r="L21" i="19"/>
  <c r="Q21" i="19" s="1"/>
  <c r="K21" i="19"/>
  <c r="P21" i="19" s="1"/>
  <c r="M21" i="19"/>
  <c r="R21" i="19" s="1"/>
  <c r="O54" i="15"/>
  <c r="P54" i="15" s="1"/>
  <c r="L54" i="15"/>
  <c r="M54" i="15" s="1"/>
  <c r="I54" i="15"/>
  <c r="J54" i="15" s="1"/>
  <c r="M55" i="19"/>
  <c r="L55" i="19"/>
  <c r="Q55" i="19" s="1"/>
  <c r="K55" i="19"/>
  <c r="P55" i="19" s="1"/>
  <c r="W21" i="16"/>
  <c r="V21" i="16"/>
  <c r="Y21" i="16"/>
  <c r="AB21" i="16" s="1"/>
  <c r="U21" i="16"/>
  <c r="X21" i="16"/>
  <c r="M20" i="19"/>
  <c r="R20" i="19" s="1"/>
  <c r="K20" i="19"/>
  <c r="P20" i="19" s="1"/>
  <c r="L20" i="19"/>
  <c r="Q20" i="19" s="1"/>
  <c r="L53" i="15"/>
  <c r="M53" i="15" s="1"/>
  <c r="O53" i="15"/>
  <c r="P53" i="15" s="1"/>
  <c r="I53" i="15"/>
  <c r="J53" i="15" s="1"/>
  <c r="Y54" i="16"/>
  <c r="AB54" i="16" s="1"/>
  <c r="V54" i="16"/>
  <c r="W54" i="16"/>
  <c r="U54" i="16"/>
  <c r="X54" i="16"/>
  <c r="W20" i="16"/>
  <c r="V20" i="16"/>
  <c r="U20" i="16"/>
  <c r="Y20" i="16"/>
  <c r="AB20" i="16" s="1"/>
  <c r="X20" i="16"/>
  <c r="M19" i="19"/>
  <c r="R19" i="19" s="1"/>
  <c r="L19" i="19"/>
  <c r="Q19" i="19" s="1"/>
  <c r="K19" i="19"/>
  <c r="P19" i="19" s="1"/>
  <c r="K54" i="19"/>
  <c r="P54" i="19" s="1"/>
  <c r="M54" i="19"/>
  <c r="L54" i="19"/>
  <c r="Q54" i="19" s="1"/>
  <c r="L18" i="15"/>
  <c r="M18" i="15" s="1"/>
  <c r="O18" i="15"/>
  <c r="P18" i="15" s="1"/>
  <c r="I18" i="15"/>
  <c r="J18" i="15" s="1"/>
  <c r="M18" i="19"/>
  <c r="L18" i="19"/>
  <c r="Q18" i="19" s="1"/>
  <c r="K18" i="19"/>
  <c r="P18" i="19" s="1"/>
  <c r="K53" i="19"/>
  <c r="P53" i="19" s="1"/>
  <c r="M53" i="19"/>
  <c r="L53" i="19"/>
  <c r="Q53" i="19" s="1"/>
  <c r="L17" i="19"/>
  <c r="Q17" i="19" s="1"/>
  <c r="M17" i="19"/>
  <c r="R17" i="19" s="1"/>
  <c r="K17" i="19"/>
  <c r="P17" i="19" s="1"/>
  <c r="L52" i="19"/>
  <c r="Q52" i="19" s="1"/>
  <c r="M52" i="19"/>
  <c r="K52" i="19"/>
  <c r="P52" i="19" s="1"/>
  <c r="O51" i="15"/>
  <c r="I51" i="15"/>
  <c r="L51" i="15"/>
  <c r="L17" i="15"/>
  <c r="O17" i="15"/>
  <c r="I17" i="15"/>
  <c r="X19" i="16"/>
  <c r="W19" i="16"/>
  <c r="V19" i="16"/>
  <c r="Y19" i="16"/>
  <c r="AB19" i="16" s="1"/>
  <c r="U19" i="16"/>
  <c r="Y53" i="16"/>
  <c r="AB53" i="16" s="1"/>
  <c r="V53" i="16"/>
  <c r="W53" i="16"/>
  <c r="X53" i="16"/>
  <c r="U53" i="16"/>
  <c r="O52" i="15"/>
  <c r="P52" i="15" s="1"/>
  <c r="I52" i="15"/>
  <c r="J52" i="15" s="1"/>
  <c r="L52" i="15"/>
  <c r="M52" i="15" s="1"/>
  <c r="O19" i="15"/>
  <c r="P19" i="15" s="1"/>
  <c r="L19" i="15"/>
  <c r="M19" i="15" s="1"/>
  <c r="I19" i="15"/>
  <c r="J19" i="15" s="1"/>
  <c r="L20" i="15"/>
  <c r="M20" i="15" s="1"/>
  <c r="I20" i="15"/>
  <c r="J20" i="15" s="1"/>
  <c r="O20" i="15"/>
  <c r="P20" i="15" s="1"/>
  <c r="M56" i="19"/>
  <c r="L56" i="19"/>
  <c r="Q56" i="19" s="1"/>
  <c r="K56" i="19"/>
  <c r="P56" i="19" s="1"/>
  <c r="O56" i="15"/>
  <c r="P56" i="15" s="1"/>
  <c r="L56" i="15"/>
  <c r="M56" i="15" s="1"/>
  <c r="Y22" i="16"/>
  <c r="V22" i="16"/>
  <c r="P21" i="15"/>
  <c r="W22" i="16"/>
  <c r="F6" i="6"/>
  <c r="F7" i="6"/>
  <c r="F8" i="6"/>
  <c r="F9" i="6"/>
  <c r="F12" i="6"/>
  <c r="E30" i="6" s="1"/>
  <c r="F13" i="6"/>
  <c r="F14" i="6"/>
  <c r="F18" i="6"/>
  <c r="F11" i="6"/>
  <c r="F5" i="6"/>
  <c r="F36" i="5"/>
  <c r="F37" i="5" s="1"/>
  <c r="F38" i="5" s="1"/>
  <c r="F39" i="5" s="1"/>
  <c r="F40" i="5" s="1"/>
  <c r="F41" i="5" s="1"/>
  <c r="F42" i="5" s="1"/>
  <c r="F43" i="5" s="1"/>
  <c r="F44" i="5" s="1"/>
  <c r="F45" i="5" s="1"/>
  <c r="F46" i="5" s="1"/>
  <c r="E36" i="5"/>
  <c r="E37" i="5" s="1"/>
  <c r="E38" i="5" s="1"/>
  <c r="E39" i="5" s="1"/>
  <c r="E40" i="5" s="1"/>
  <c r="E41" i="5" s="1"/>
  <c r="E42" i="5" s="1"/>
  <c r="E43" i="5" s="1"/>
  <c r="E44" i="5" s="1"/>
  <c r="E45" i="5" s="1"/>
  <c r="E46" i="5" s="1"/>
  <c r="D36" i="5"/>
  <c r="D37" i="5" s="1"/>
  <c r="D38" i="5" s="1"/>
  <c r="D39" i="5" s="1"/>
  <c r="D40" i="5" s="1"/>
  <c r="D41" i="5" s="1"/>
  <c r="D42" i="5" s="1"/>
  <c r="D43" i="5" s="1"/>
  <c r="D44" i="5" s="1"/>
  <c r="D45" i="5" s="1"/>
  <c r="D46" i="5" s="1"/>
  <c r="C36" i="5"/>
  <c r="C37" i="5" s="1"/>
  <c r="C38" i="5" s="1"/>
  <c r="C39" i="5" s="1"/>
  <c r="C40" i="5" s="1"/>
  <c r="C41" i="5" s="1"/>
  <c r="C42" i="5" s="1"/>
  <c r="C43" i="5" s="1"/>
  <c r="C44" i="5" s="1"/>
  <c r="C45" i="5" s="1"/>
  <c r="C46" i="5" s="1"/>
  <c r="B36" i="5"/>
  <c r="B37" i="5" s="1"/>
  <c r="B38" i="5" s="1"/>
  <c r="B39" i="5" s="1"/>
  <c r="B40" i="5" s="1"/>
  <c r="B41" i="5" s="1"/>
  <c r="B42" i="5" s="1"/>
  <c r="B43" i="5" s="1"/>
  <c r="B44" i="5" s="1"/>
  <c r="B45" i="5" s="1"/>
  <c r="B46" i="5" s="1"/>
  <c r="E29" i="6" l="1"/>
  <c r="R18" i="19"/>
  <c r="N18" i="19"/>
  <c r="Y37" i="9"/>
  <c r="U38" i="9"/>
  <c r="G23" i="12"/>
  <c r="H23" i="12" s="1"/>
  <c r="I23" i="12" s="1"/>
  <c r="G24" i="16"/>
  <c r="P24" i="16" s="1"/>
  <c r="V24" i="16" s="1"/>
  <c r="I23" i="19"/>
  <c r="L23" i="19" s="1"/>
  <c r="T38" i="9"/>
  <c r="P23" i="16"/>
  <c r="V23" i="16" s="1"/>
  <c r="S23" i="16"/>
  <c r="Y23" i="16" s="1"/>
  <c r="AB23" i="16" s="1"/>
  <c r="R23" i="16"/>
  <c r="X23" i="16" s="1"/>
  <c r="Q23" i="16"/>
  <c r="W23" i="16" s="1"/>
  <c r="O23" i="16"/>
  <c r="U23" i="16" s="1"/>
  <c r="E39" i="9"/>
  <c r="E40" i="9" s="1"/>
  <c r="M40" i="9" s="1"/>
  <c r="O38" i="9"/>
  <c r="G58" i="28" s="1"/>
  <c r="S57" i="16"/>
  <c r="Y57" i="16" s="1"/>
  <c r="AB57" i="16" s="1"/>
  <c r="R57" i="16"/>
  <c r="X57" i="16" s="1"/>
  <c r="P57" i="16"/>
  <c r="V57" i="16" s="1"/>
  <c r="Q57" i="16"/>
  <c r="W57" i="16" s="1"/>
  <c r="O57" i="16"/>
  <c r="U57" i="16" s="1"/>
  <c r="W38" i="9"/>
  <c r="X38" i="9" s="1"/>
  <c r="P56" i="16"/>
  <c r="V56" i="16" s="1"/>
  <c r="S56" i="16"/>
  <c r="Y56" i="16" s="1"/>
  <c r="AB56" i="16" s="1"/>
  <c r="R56" i="16"/>
  <c r="X56" i="16" s="1"/>
  <c r="Q56" i="16"/>
  <c r="W56" i="16" s="1"/>
  <c r="O56" i="16"/>
  <c r="U56" i="16" s="1"/>
  <c r="G58" i="16"/>
  <c r="G57" i="15"/>
  <c r="L57" i="15" s="1"/>
  <c r="I22" i="15"/>
  <c r="J22" i="15" s="1"/>
  <c r="G59" i="12"/>
  <c r="H59" i="12" s="1"/>
  <c r="M57" i="19"/>
  <c r="R57" i="19" s="1"/>
  <c r="H3" i="18"/>
  <c r="I3" i="18" s="1"/>
  <c r="L22" i="15"/>
  <c r="M22" i="15" s="1"/>
  <c r="L57" i="19"/>
  <c r="Q57" i="19" s="1"/>
  <c r="Q38" i="9"/>
  <c r="G25" i="16" s="1"/>
  <c r="G24" i="28"/>
  <c r="I55" i="15"/>
  <c r="J55" i="15" s="1"/>
  <c r="L55" i="15"/>
  <c r="M55" i="15" s="1"/>
  <c r="O55" i="15"/>
  <c r="P55" i="15" s="1"/>
  <c r="F41" i="9"/>
  <c r="M58" i="19"/>
  <c r="R58" i="19" s="1"/>
  <c r="K58" i="19"/>
  <c r="P58" i="19" s="1"/>
  <c r="K16" i="27"/>
  <c r="I16" i="27"/>
  <c r="O8" i="27"/>
  <c r="J8" i="27"/>
  <c r="K8" i="27"/>
  <c r="N8" i="27"/>
  <c r="I8" i="27"/>
  <c r="J16" i="27"/>
  <c r="W52" i="16"/>
  <c r="X52" i="16"/>
  <c r="Y52" i="16"/>
  <c r="V52" i="16"/>
  <c r="U52" i="16"/>
  <c r="Y18" i="16"/>
  <c r="X18" i="16"/>
  <c r="W18" i="16"/>
  <c r="U18" i="16"/>
  <c r="V18" i="16"/>
  <c r="M51" i="15"/>
  <c r="J51" i="15"/>
  <c r="P51" i="15"/>
  <c r="M17" i="15"/>
  <c r="P17" i="15"/>
  <c r="J17" i="15"/>
  <c r="N22" i="19"/>
  <c r="T22" i="19"/>
  <c r="U22" i="19" s="1"/>
  <c r="AA54" i="16"/>
  <c r="AC54" i="16" s="1"/>
  <c r="R56" i="19"/>
  <c r="T56" i="19" s="1"/>
  <c r="U56" i="19" s="1"/>
  <c r="N56" i="19"/>
  <c r="AA53" i="16"/>
  <c r="AC53" i="16" s="1"/>
  <c r="AA19" i="16"/>
  <c r="AC19" i="16" s="1"/>
  <c r="N52" i="19"/>
  <c r="R52" i="19"/>
  <c r="T52" i="19" s="1"/>
  <c r="U52" i="19" s="1"/>
  <c r="T17" i="19"/>
  <c r="U17" i="19" s="1"/>
  <c r="N17" i="19"/>
  <c r="N53" i="19"/>
  <c r="R53" i="19"/>
  <c r="T53" i="19" s="1"/>
  <c r="U53" i="19" s="1"/>
  <c r="T18" i="19"/>
  <c r="U18" i="19" s="1"/>
  <c r="N54" i="19"/>
  <c r="R54" i="19"/>
  <c r="T54" i="19" s="1"/>
  <c r="U54" i="19" s="1"/>
  <c r="T19" i="19"/>
  <c r="U19" i="19" s="1"/>
  <c r="N19" i="19"/>
  <c r="AA20" i="16"/>
  <c r="AC20" i="16" s="1"/>
  <c r="AA55" i="16"/>
  <c r="AC55" i="16" s="1"/>
  <c r="N20" i="19"/>
  <c r="T20" i="19"/>
  <c r="U20" i="19" s="1"/>
  <c r="AA21" i="16"/>
  <c r="AC21" i="16" s="1"/>
  <c r="N55" i="19"/>
  <c r="R55" i="19"/>
  <c r="T55" i="19" s="1"/>
  <c r="U55" i="19" s="1"/>
  <c r="N21" i="19"/>
  <c r="T21" i="19"/>
  <c r="U21" i="19" s="1"/>
  <c r="O23" i="15"/>
  <c r="P23" i="15" s="1"/>
  <c r="K23" i="19"/>
  <c r="L23" i="15"/>
  <c r="M23" i="15" s="1"/>
  <c r="Q58" i="19"/>
  <c r="AA22" i="16"/>
  <c r="AB22" i="16"/>
  <c r="Y38" i="9" l="1"/>
  <c r="M23" i="19"/>
  <c r="O24" i="16"/>
  <c r="U24" i="16" s="1"/>
  <c r="S24" i="16"/>
  <c r="Y24" i="16" s="1"/>
  <c r="AB24" i="16" s="1"/>
  <c r="R24" i="16"/>
  <c r="X24" i="16" s="1"/>
  <c r="R38" i="9"/>
  <c r="I57" i="15"/>
  <c r="O57" i="15"/>
  <c r="P57" i="15" s="1"/>
  <c r="W40" i="9"/>
  <c r="Y40" i="9" s="1"/>
  <c r="Q24" i="16"/>
  <c r="W24" i="16" s="1"/>
  <c r="W39" i="9"/>
  <c r="X39" i="9" s="1"/>
  <c r="M39" i="9"/>
  <c r="O39" i="9" s="1"/>
  <c r="Q58" i="16"/>
  <c r="W58" i="16" s="1"/>
  <c r="R58" i="16"/>
  <c r="X58" i="16" s="1"/>
  <c r="S58" i="16"/>
  <c r="Y58" i="16" s="1"/>
  <c r="AB58" i="16" s="1"/>
  <c r="P58" i="16"/>
  <c r="V58" i="16" s="1"/>
  <c r="O58" i="16"/>
  <c r="U58" i="16" s="1"/>
  <c r="S25" i="16"/>
  <c r="Y25" i="16" s="1"/>
  <c r="AB25" i="16" s="1"/>
  <c r="R25" i="16"/>
  <c r="X25" i="16" s="1"/>
  <c r="Q25" i="16"/>
  <c r="W25" i="16" s="1"/>
  <c r="P25" i="16"/>
  <c r="V25" i="16" s="1"/>
  <c r="O25" i="16"/>
  <c r="U25" i="16" s="1"/>
  <c r="AA57" i="16"/>
  <c r="AC57" i="16" s="1"/>
  <c r="AA23" i="16"/>
  <c r="AC23" i="16" s="1"/>
  <c r="T57" i="19"/>
  <c r="U57" i="19" s="1"/>
  <c r="AA56" i="16"/>
  <c r="AC56" i="16" s="1"/>
  <c r="N57" i="19"/>
  <c r="U39" i="9"/>
  <c r="O40" i="9"/>
  <c r="T40" i="9"/>
  <c r="U40" i="9"/>
  <c r="G60" i="13" s="1"/>
  <c r="N40" i="9"/>
  <c r="N58" i="19"/>
  <c r="H4" i="18"/>
  <c r="I4" i="18" s="1"/>
  <c r="F42" i="9"/>
  <c r="E41" i="9"/>
  <c r="M41" i="9" s="1"/>
  <c r="AC22" i="16"/>
  <c r="J73" i="6"/>
  <c r="J72" i="6"/>
  <c r="R23" i="19"/>
  <c r="Q16" i="27"/>
  <c r="P8" i="27"/>
  <c r="I59" i="12"/>
  <c r="N16" i="27"/>
  <c r="T16" i="27"/>
  <c r="O16" i="27"/>
  <c r="P16" i="27"/>
  <c r="Q8" i="27"/>
  <c r="L8" i="27"/>
  <c r="U8" i="27"/>
  <c r="T8" i="27"/>
  <c r="L16" i="27"/>
  <c r="AA52" i="16"/>
  <c r="AB52" i="16"/>
  <c r="AA18" i="16"/>
  <c r="AB18" i="16"/>
  <c r="T58" i="19"/>
  <c r="Q23" i="19"/>
  <c r="P23" i="19"/>
  <c r="N23" i="19"/>
  <c r="M57" i="15"/>
  <c r="J57" i="15"/>
  <c r="E17" i="6"/>
  <c r="T39" i="9" l="1"/>
  <c r="F17" i="6"/>
  <c r="Y39" i="9"/>
  <c r="AA24" i="16"/>
  <c r="AC24" i="16" s="1"/>
  <c r="X40" i="9"/>
  <c r="N39" i="9"/>
  <c r="AA58" i="16"/>
  <c r="AC58" i="16" s="1"/>
  <c r="AA25" i="16"/>
  <c r="AC25" i="16" s="1"/>
  <c r="Q40" i="9"/>
  <c r="G26" i="28"/>
  <c r="T41" i="9"/>
  <c r="U41" i="9"/>
  <c r="R40" i="9"/>
  <c r="I61" i="19" s="1"/>
  <c r="K61" i="19" s="1"/>
  <c r="P61" i="19" s="1"/>
  <c r="G60" i="28"/>
  <c r="Q39" i="9"/>
  <c r="G26" i="16" s="1"/>
  <c r="G25" i="28"/>
  <c r="R39" i="9"/>
  <c r="G59" i="28"/>
  <c r="O41" i="9"/>
  <c r="N41" i="9"/>
  <c r="W41" i="9"/>
  <c r="E42" i="9"/>
  <c r="M42" i="9" s="1"/>
  <c r="I60" i="13"/>
  <c r="N60" i="13" s="1"/>
  <c r="S60" i="13" s="1"/>
  <c r="J60" i="13"/>
  <c r="O60" i="13" s="1"/>
  <c r="T60" i="13" s="1"/>
  <c r="K60" i="13"/>
  <c r="E78" i="6"/>
  <c r="F43" i="9"/>
  <c r="J78" i="6"/>
  <c r="AC52" i="16"/>
  <c r="AC18" i="16"/>
  <c r="S16" i="27"/>
  <c r="S8" i="27"/>
  <c r="U16" i="27"/>
  <c r="T23" i="19"/>
  <c r="U58" i="19"/>
  <c r="L70" i="6"/>
  <c r="I72" i="6"/>
  <c r="L72" i="6"/>
  <c r="I71" i="6"/>
  <c r="L71" i="6"/>
  <c r="D78" i="6"/>
  <c r="I70" i="6"/>
  <c r="E19" i="6"/>
  <c r="D32" i="6" s="1"/>
  <c r="D33" i="6" s="1"/>
  <c r="D34" i="6" l="1"/>
  <c r="F49" i="6"/>
  <c r="F47" i="6"/>
  <c r="F60" i="6" s="1"/>
  <c r="F48" i="6"/>
  <c r="F50" i="6"/>
  <c r="Q26" i="16"/>
  <c r="P26" i="16"/>
  <c r="S26" i="16"/>
  <c r="Y26" i="16" s="1"/>
  <c r="AB26" i="16" s="1"/>
  <c r="R26" i="16"/>
  <c r="X26" i="16" s="1"/>
  <c r="O26" i="16"/>
  <c r="U26" i="16" s="1"/>
  <c r="L61" i="19"/>
  <c r="Q61" i="19" s="1"/>
  <c r="V26" i="16"/>
  <c r="W26" i="16"/>
  <c r="X41" i="9"/>
  <c r="Y41" i="9"/>
  <c r="Q41" i="9"/>
  <c r="G27" i="28"/>
  <c r="R41" i="9"/>
  <c r="G61" i="28"/>
  <c r="M61" i="19"/>
  <c r="R61" i="19" s="1"/>
  <c r="T42" i="9"/>
  <c r="U42" i="9"/>
  <c r="O42" i="9"/>
  <c r="N42" i="9"/>
  <c r="W42" i="9"/>
  <c r="E43" i="9"/>
  <c r="M43" i="9" s="1"/>
  <c r="F44" i="9"/>
  <c r="P60" i="13"/>
  <c r="U60" i="13" s="1"/>
  <c r="W60" i="13" s="1"/>
  <c r="X60" i="13" s="1"/>
  <c r="L60" i="13"/>
  <c r="Q60" i="13" s="1"/>
  <c r="W8" i="27"/>
  <c r="X8" i="27"/>
  <c r="C20" i="2" s="1"/>
  <c r="X16" i="27"/>
  <c r="W16" i="27"/>
  <c r="U23" i="19"/>
  <c r="I78" i="6"/>
  <c r="E20" i="6"/>
  <c r="F19" i="6"/>
  <c r="F73" i="6" l="1"/>
  <c r="G50" i="6"/>
  <c r="G63" i="6" s="1"/>
  <c r="F63" i="6"/>
  <c r="F76" i="6" s="1"/>
  <c r="G48" i="6"/>
  <c r="G61" i="6" s="1"/>
  <c r="F61" i="6"/>
  <c r="F74" i="6" s="1"/>
  <c r="G49" i="6"/>
  <c r="G62" i="6" s="1"/>
  <c r="F62" i="6"/>
  <c r="F75" i="6" s="1"/>
  <c r="W18" i="27"/>
  <c r="F52" i="6"/>
  <c r="G47" i="6"/>
  <c r="I20" i="6"/>
  <c r="I22" i="6" s="1"/>
  <c r="E22" i="6"/>
  <c r="F22" i="6" s="1"/>
  <c r="C19" i="2"/>
  <c r="X18" i="27"/>
  <c r="C77" i="2" s="1"/>
  <c r="T61" i="19"/>
  <c r="U61" i="19" s="1"/>
  <c r="AA26" i="16"/>
  <c r="AC26" i="16" s="1"/>
  <c r="E32" i="6"/>
  <c r="E33" i="6" s="1"/>
  <c r="F20" i="6"/>
  <c r="Y42" i="9"/>
  <c r="X42" i="9"/>
  <c r="R42" i="9"/>
  <c r="G62" i="28"/>
  <c r="T43" i="9"/>
  <c r="U43" i="9"/>
  <c r="Q42" i="9"/>
  <c r="G28" i="28"/>
  <c r="N61" i="19"/>
  <c r="O43" i="9"/>
  <c r="N43" i="9"/>
  <c r="W43" i="9"/>
  <c r="D19" i="2"/>
  <c r="F45" i="9"/>
  <c r="E44" i="9"/>
  <c r="H5" i="18"/>
  <c r="D20" i="2"/>
  <c r="G75" i="6" l="1"/>
  <c r="G52" i="6"/>
  <c r="G60" i="6"/>
  <c r="G76" i="6"/>
  <c r="G74" i="6"/>
  <c r="F65" i="6"/>
  <c r="D77" i="2"/>
  <c r="F14" i="3" s="1"/>
  <c r="E34" i="6"/>
  <c r="Q43" i="9"/>
  <c r="G29" i="28"/>
  <c r="R43" i="9"/>
  <c r="G63" i="28"/>
  <c r="Y43" i="9"/>
  <c r="X43" i="9"/>
  <c r="E45" i="9"/>
  <c r="W45" i="9" s="1"/>
  <c r="W44" i="9"/>
  <c r="M44" i="9"/>
  <c r="F46" i="9"/>
  <c r="H6" i="18"/>
  <c r="I5" i="18"/>
  <c r="I6" i="18" s="1"/>
  <c r="K76" i="6"/>
  <c r="K75" i="6"/>
  <c r="K73" i="6"/>
  <c r="K74" i="6"/>
  <c r="G73" i="6" l="1"/>
  <c r="G65" i="6"/>
  <c r="C15" i="2"/>
  <c r="C73" i="2"/>
  <c r="M45" i="9"/>
  <c r="O45" i="9" s="1"/>
  <c r="T44" i="9"/>
  <c r="U44" i="9"/>
  <c r="X45" i="9"/>
  <c r="Y45" i="9"/>
  <c r="X44" i="9"/>
  <c r="Y44" i="9"/>
  <c r="E46" i="9"/>
  <c r="M46" i="9" s="1"/>
  <c r="O44" i="9"/>
  <c r="N44" i="9"/>
  <c r="D15" i="2"/>
  <c r="F47" i="9"/>
  <c r="L75" i="6"/>
  <c r="L76" i="6"/>
  <c r="F78" i="6"/>
  <c r="L74" i="6"/>
  <c r="K78" i="6"/>
  <c r="D73" i="2" l="1"/>
  <c r="F10" i="3" s="1"/>
  <c r="W46" i="9"/>
  <c r="T45" i="9"/>
  <c r="U45" i="9"/>
  <c r="N45" i="9"/>
  <c r="Q45" i="9" s="1"/>
  <c r="X46" i="9"/>
  <c r="Y46" i="9"/>
  <c r="G31" i="28"/>
  <c r="Q44" i="9"/>
  <c r="G30" i="28"/>
  <c r="R44" i="9"/>
  <c r="G64" i="28"/>
  <c r="R45" i="9"/>
  <c r="G65" i="28"/>
  <c r="U46" i="9"/>
  <c r="T46" i="9"/>
  <c r="N46" i="9"/>
  <c r="O46" i="9"/>
  <c r="M47" i="9"/>
  <c r="L73" i="6"/>
  <c r="L78" i="6" s="1"/>
  <c r="G78" i="6"/>
  <c r="F48" i="9"/>
  <c r="E47" i="9"/>
  <c r="C48" i="2"/>
  <c r="C8" i="2" l="1"/>
  <c r="C9" i="2" s="1"/>
  <c r="D9" i="2" s="1"/>
  <c r="C66" i="2"/>
  <c r="C67" i="2" s="1"/>
  <c r="N47" i="9"/>
  <c r="U47" i="9"/>
  <c r="T47" i="9"/>
  <c r="R46" i="9"/>
  <c r="G67" i="16" s="1"/>
  <c r="G66" i="28"/>
  <c r="I66" i="28" s="1"/>
  <c r="J66" i="28" s="1"/>
  <c r="K66" i="28" s="1"/>
  <c r="Q46" i="9"/>
  <c r="I32" i="19" s="1"/>
  <c r="G32" i="28"/>
  <c r="O47" i="9"/>
  <c r="E48" i="9"/>
  <c r="W48" i="9" s="1"/>
  <c r="W47" i="9"/>
  <c r="G33" i="13"/>
  <c r="G13" i="13"/>
  <c r="J15" i="25"/>
  <c r="K15" i="25" s="1"/>
  <c r="J13" i="25"/>
  <c r="K13" i="25" s="1"/>
  <c r="G39" i="13"/>
  <c r="J14" i="25"/>
  <c r="I59" i="19"/>
  <c r="G5" i="13"/>
  <c r="G6" i="13"/>
  <c r="G12" i="12"/>
  <c r="H12" i="12" s="1"/>
  <c r="I60" i="19"/>
  <c r="G41" i="13"/>
  <c r="G7" i="13"/>
  <c r="G8" i="13"/>
  <c r="G9" i="13"/>
  <c r="G14" i="13"/>
  <c r="G12" i="15"/>
  <c r="G40" i="13"/>
  <c r="G16" i="13"/>
  <c r="G42" i="13"/>
  <c r="G43" i="13"/>
  <c r="G44" i="13"/>
  <c r="G15" i="13"/>
  <c r="G10" i="13"/>
  <c r="G17" i="13"/>
  <c r="G20" i="13"/>
  <c r="G45" i="13"/>
  <c r="G46" i="13"/>
  <c r="I14" i="28"/>
  <c r="J14" i="28" s="1"/>
  <c r="K14" i="28" s="1"/>
  <c r="G11" i="13"/>
  <c r="I16" i="28"/>
  <c r="J16" i="28" s="1"/>
  <c r="K16" i="28" s="1"/>
  <c r="G12" i="13"/>
  <c r="G18" i="13"/>
  <c r="I13" i="28"/>
  <c r="J13" i="28" s="1"/>
  <c r="K13" i="28" s="1"/>
  <c r="I12" i="28"/>
  <c r="J12" i="28" s="1"/>
  <c r="G19" i="13"/>
  <c r="G47" i="13"/>
  <c r="G49" i="13"/>
  <c r="G21" i="13"/>
  <c r="G50" i="13"/>
  <c r="I15" i="28"/>
  <c r="J15" i="28" s="1"/>
  <c r="K15" i="28" s="1"/>
  <c r="I22" i="28"/>
  <c r="J22" i="28" s="1"/>
  <c r="K22" i="28" s="1"/>
  <c r="I17" i="28"/>
  <c r="J17" i="28" s="1"/>
  <c r="K17" i="28" s="1"/>
  <c r="G48" i="13"/>
  <c r="G51" i="13"/>
  <c r="I18" i="28"/>
  <c r="J18" i="28" s="1"/>
  <c r="K18" i="28" s="1"/>
  <c r="G53" i="13"/>
  <c r="G23" i="13"/>
  <c r="G22" i="13"/>
  <c r="G54" i="13"/>
  <c r="G24" i="13"/>
  <c r="G60" i="16"/>
  <c r="I23" i="28"/>
  <c r="J23" i="28" s="1"/>
  <c r="K23" i="28" s="1"/>
  <c r="I19" i="28"/>
  <c r="J19" i="28" s="1"/>
  <c r="K19" i="28" s="1"/>
  <c r="G55" i="13"/>
  <c r="G58" i="15"/>
  <c r="G52" i="13"/>
  <c r="G60" i="12"/>
  <c r="H60" i="12" s="1"/>
  <c r="G61" i="12"/>
  <c r="H61" i="12" s="1"/>
  <c r="I61" i="12" s="1"/>
  <c r="I24" i="28"/>
  <c r="J24" i="28" s="1"/>
  <c r="K24" i="28" s="1"/>
  <c r="I20" i="28"/>
  <c r="J20" i="28" s="1"/>
  <c r="K20" i="28" s="1"/>
  <c r="G27" i="13"/>
  <c r="G25" i="13"/>
  <c r="G59" i="16"/>
  <c r="G59" i="15"/>
  <c r="I21" i="28"/>
  <c r="J21" i="28" s="1"/>
  <c r="K21" i="28" s="1"/>
  <c r="G62" i="13"/>
  <c r="G28" i="13"/>
  <c r="G57" i="13"/>
  <c r="G56" i="13"/>
  <c r="I25" i="28"/>
  <c r="J25" i="28" s="1"/>
  <c r="K25" i="28" s="1"/>
  <c r="G26" i="13"/>
  <c r="G29" i="13"/>
  <c r="I24" i="19"/>
  <c r="G25" i="12"/>
  <c r="H25" i="12" s="1"/>
  <c r="I25" i="12" s="1"/>
  <c r="G61" i="13"/>
  <c r="I60" i="28"/>
  <c r="J60" i="28" s="1"/>
  <c r="G63" i="13"/>
  <c r="G62" i="12"/>
  <c r="H62" i="12" s="1"/>
  <c r="I62" i="12" s="1"/>
  <c r="G24" i="15"/>
  <c r="G58" i="13"/>
  <c r="G24" i="12"/>
  <c r="H24" i="12" s="1"/>
  <c r="I24" i="12" s="1"/>
  <c r="I28" i="28"/>
  <c r="J28" i="28" s="1"/>
  <c r="K28" i="28" s="1"/>
  <c r="G59" i="13"/>
  <c r="I26" i="28"/>
  <c r="J26" i="28" s="1"/>
  <c r="K26" i="28" s="1"/>
  <c r="G31" i="13"/>
  <c r="I27" i="28"/>
  <c r="J27" i="28" s="1"/>
  <c r="K27" i="28" s="1"/>
  <c r="G25" i="15"/>
  <c r="I25" i="19"/>
  <c r="G64" i="13"/>
  <c r="G32" i="13"/>
  <c r="G30" i="13"/>
  <c r="G66" i="13"/>
  <c r="G27" i="15"/>
  <c r="G63" i="16"/>
  <c r="I29" i="28"/>
  <c r="J29" i="28" s="1"/>
  <c r="K29" i="28" s="1"/>
  <c r="G26" i="15"/>
  <c r="G65" i="13"/>
  <c r="G60" i="15"/>
  <c r="I26" i="19"/>
  <c r="I61" i="28"/>
  <c r="J61" i="28" s="1"/>
  <c r="K61" i="28" s="1"/>
  <c r="G27" i="12"/>
  <c r="H27" i="12" s="1"/>
  <c r="I27" i="12" s="1"/>
  <c r="G27" i="16"/>
  <c r="G61" i="16"/>
  <c r="G26" i="12"/>
  <c r="H26" i="12" s="1"/>
  <c r="I26" i="12" s="1"/>
  <c r="I27" i="19"/>
  <c r="G28" i="12"/>
  <c r="H28" i="12" s="1"/>
  <c r="I28" i="12" s="1"/>
  <c r="I29" i="19"/>
  <c r="G67" i="13"/>
  <c r="I63" i="28"/>
  <c r="J63" i="28" s="1"/>
  <c r="K63" i="28" s="1"/>
  <c r="G28" i="16"/>
  <c r="G29" i="12"/>
  <c r="H29" i="12" s="1"/>
  <c r="I29" i="12" s="1"/>
  <c r="G64" i="12"/>
  <c r="I62" i="28"/>
  <c r="J62" i="28" s="1"/>
  <c r="K62" i="28" s="1"/>
  <c r="G30" i="16"/>
  <c r="G61" i="15"/>
  <c r="G29" i="16"/>
  <c r="G63" i="12"/>
  <c r="H63" i="12" s="1"/>
  <c r="I63" i="12" s="1"/>
  <c r="G29" i="15"/>
  <c r="G32" i="16"/>
  <c r="G28" i="15"/>
  <c r="G62" i="15"/>
  <c r="I28" i="19"/>
  <c r="G62" i="16"/>
  <c r="I63" i="19"/>
  <c r="I30" i="28"/>
  <c r="J30" i="28" s="1"/>
  <c r="K30" i="28" s="1"/>
  <c r="I62" i="19"/>
  <c r="G64" i="15"/>
  <c r="I64" i="19"/>
  <c r="G64" i="16"/>
  <c r="I64" i="28"/>
  <c r="J64" i="28" s="1"/>
  <c r="K64" i="28" s="1"/>
  <c r="G31" i="16"/>
  <c r="G63" i="15"/>
  <c r="G30" i="12"/>
  <c r="H30" i="12" s="1"/>
  <c r="I30" i="12" s="1"/>
  <c r="I31" i="28"/>
  <c r="J31" i="28" s="1"/>
  <c r="K31" i="28" s="1"/>
  <c r="G65" i="12"/>
  <c r="H65" i="12" s="1"/>
  <c r="I65" i="12" s="1"/>
  <c r="I66" i="19"/>
  <c r="G66" i="12"/>
  <c r="H66" i="12" s="1"/>
  <c r="I66" i="12" s="1"/>
  <c r="G65" i="16"/>
  <c r="I30" i="19"/>
  <c r="G32" i="15"/>
  <c r="G33" i="16"/>
  <c r="I32" i="28"/>
  <c r="J32" i="28" s="1"/>
  <c r="K32" i="28" s="1"/>
  <c r="I67" i="19"/>
  <c r="I31" i="19"/>
  <c r="G31" i="12"/>
  <c r="H31" i="12" s="1"/>
  <c r="I31" i="12" s="1"/>
  <c r="G30" i="15"/>
  <c r="G31" i="15"/>
  <c r="G65" i="15"/>
  <c r="G67" i="12"/>
  <c r="G66" i="16"/>
  <c r="I65" i="19"/>
  <c r="I65" i="28"/>
  <c r="J65" i="28" s="1"/>
  <c r="K65" i="28" s="1"/>
  <c r="G66" i="15"/>
  <c r="C49" i="2"/>
  <c r="D48" i="2"/>
  <c r="D8" i="2" l="1"/>
  <c r="D66" i="2"/>
  <c r="G32" i="12"/>
  <c r="H32" i="12" s="1"/>
  <c r="I32" i="12" s="1"/>
  <c r="M48" i="9"/>
  <c r="P33" i="16"/>
  <c r="R33" i="16"/>
  <c r="X33" i="16" s="1"/>
  <c r="S33" i="16"/>
  <c r="Y33" i="16" s="1"/>
  <c r="AB33" i="16" s="1"/>
  <c r="Q33" i="16"/>
  <c r="W33" i="16" s="1"/>
  <c r="O33" i="16"/>
  <c r="U33" i="16" s="1"/>
  <c r="R66" i="16"/>
  <c r="X66" i="16" s="1"/>
  <c r="P66" i="16"/>
  <c r="V66" i="16" s="1"/>
  <c r="Q66" i="16"/>
  <c r="W66" i="16" s="1"/>
  <c r="S66" i="16"/>
  <c r="Y66" i="16" s="1"/>
  <c r="AB66" i="16" s="1"/>
  <c r="O66" i="16"/>
  <c r="U66" i="16" s="1"/>
  <c r="Q27" i="16"/>
  <c r="S27" i="16"/>
  <c r="R27" i="16"/>
  <c r="P27" i="16"/>
  <c r="O27" i="16"/>
  <c r="R28" i="16"/>
  <c r="X28" i="16" s="1"/>
  <c r="P28" i="16"/>
  <c r="S28" i="16"/>
  <c r="Y28" i="16" s="1"/>
  <c r="AB28" i="16" s="1"/>
  <c r="Q28" i="16"/>
  <c r="O28" i="16"/>
  <c r="U28" i="16" s="1"/>
  <c r="Q61" i="16"/>
  <c r="W61" i="16" s="1"/>
  <c r="S61" i="16"/>
  <c r="Y61" i="16" s="1"/>
  <c r="AB61" i="16" s="1"/>
  <c r="R61" i="16"/>
  <c r="X61" i="16" s="1"/>
  <c r="P61" i="16"/>
  <c r="V61" i="16" s="1"/>
  <c r="O61" i="16"/>
  <c r="U61" i="16" s="1"/>
  <c r="R67" i="16"/>
  <c r="X67" i="16" s="1"/>
  <c r="Q67" i="16"/>
  <c r="W67" i="16" s="1"/>
  <c r="S67" i="16"/>
  <c r="Y67" i="16" s="1"/>
  <c r="AB67" i="16" s="1"/>
  <c r="P67" i="16"/>
  <c r="V67" i="16" s="1"/>
  <c r="O67" i="16"/>
  <c r="U67" i="16" s="1"/>
  <c r="P60" i="16"/>
  <c r="V60" i="16" s="1"/>
  <c r="S60" i="16"/>
  <c r="Y60" i="16" s="1"/>
  <c r="AB60" i="16" s="1"/>
  <c r="Q60" i="16"/>
  <c r="W60" i="16" s="1"/>
  <c r="R60" i="16"/>
  <c r="O60" i="16"/>
  <c r="U60" i="16" s="1"/>
  <c r="R59" i="16"/>
  <c r="Q59" i="16"/>
  <c r="S59" i="16"/>
  <c r="P59" i="16"/>
  <c r="O59" i="16"/>
  <c r="P63" i="16"/>
  <c r="V63" i="16" s="1"/>
  <c r="Q63" i="16"/>
  <c r="W63" i="16" s="1"/>
  <c r="S63" i="16"/>
  <c r="Y63" i="16" s="1"/>
  <c r="AB63" i="16" s="1"/>
  <c r="R63" i="16"/>
  <c r="X63" i="16" s="1"/>
  <c r="O63" i="16"/>
  <c r="U63" i="16" s="1"/>
  <c r="R62" i="16"/>
  <c r="X62" i="16" s="1"/>
  <c r="P62" i="16"/>
  <c r="V62" i="16" s="1"/>
  <c r="Q62" i="16"/>
  <c r="W62" i="16" s="1"/>
  <c r="S62" i="16"/>
  <c r="Y62" i="16" s="1"/>
  <c r="AB62" i="16" s="1"/>
  <c r="O62" i="16"/>
  <c r="U62" i="16" s="1"/>
  <c r="P65" i="16"/>
  <c r="V65" i="16" s="1"/>
  <c r="R65" i="16"/>
  <c r="S65" i="16"/>
  <c r="Q65" i="16"/>
  <c r="W65" i="16" s="1"/>
  <c r="O65" i="16"/>
  <c r="U65" i="16" s="1"/>
  <c r="Q32" i="16"/>
  <c r="W32" i="16" s="1"/>
  <c r="S32" i="16"/>
  <c r="Y32" i="16" s="1"/>
  <c r="AB32" i="16" s="1"/>
  <c r="P32" i="16"/>
  <c r="V32" i="16" s="1"/>
  <c r="R32" i="16"/>
  <c r="X32" i="16" s="1"/>
  <c r="O32" i="16"/>
  <c r="U32" i="16" s="1"/>
  <c r="P31" i="16"/>
  <c r="V31" i="16" s="1"/>
  <c r="S31" i="16"/>
  <c r="Y31" i="16" s="1"/>
  <c r="AB31" i="16" s="1"/>
  <c r="Q31" i="16"/>
  <c r="W31" i="16" s="1"/>
  <c r="R31" i="16"/>
  <c r="X31" i="16" s="1"/>
  <c r="O31" i="16"/>
  <c r="U31" i="16" s="1"/>
  <c r="Q30" i="16"/>
  <c r="R30" i="16"/>
  <c r="S30" i="16"/>
  <c r="Y30" i="16" s="1"/>
  <c r="AB30" i="16" s="1"/>
  <c r="P30" i="16"/>
  <c r="V30" i="16" s="1"/>
  <c r="O30" i="16"/>
  <c r="U30" i="16" s="1"/>
  <c r="S29" i="16"/>
  <c r="Y29" i="16" s="1"/>
  <c r="AB29" i="16" s="1"/>
  <c r="Q29" i="16"/>
  <c r="W29" i="16" s="1"/>
  <c r="P29" i="16"/>
  <c r="V29" i="16" s="1"/>
  <c r="R29" i="16"/>
  <c r="X29" i="16" s="1"/>
  <c r="O29" i="16"/>
  <c r="U29" i="16" s="1"/>
  <c r="P64" i="16"/>
  <c r="V64" i="16" s="1"/>
  <c r="S64" i="16"/>
  <c r="Y64" i="16" s="1"/>
  <c r="AB64" i="16" s="1"/>
  <c r="R64" i="16"/>
  <c r="X64" i="16" s="1"/>
  <c r="Q64" i="16"/>
  <c r="W64" i="16" s="1"/>
  <c r="O64" i="16"/>
  <c r="U64" i="16" s="1"/>
  <c r="V33" i="16"/>
  <c r="H67" i="12"/>
  <c r="I67" i="12" s="1"/>
  <c r="H64" i="12"/>
  <c r="I64" i="12" s="1"/>
  <c r="R47" i="9"/>
  <c r="I68" i="19" s="1"/>
  <c r="G67" i="28"/>
  <c r="I67" i="28" s="1"/>
  <c r="J67" i="28" s="1"/>
  <c r="K67" i="28" s="1"/>
  <c r="X47" i="9"/>
  <c r="Y47" i="9"/>
  <c r="Y48" i="9"/>
  <c r="X48" i="9"/>
  <c r="G68" i="12"/>
  <c r="H68" i="12" s="1"/>
  <c r="I68" i="12" s="1"/>
  <c r="T48" i="9"/>
  <c r="T50" i="9" s="1"/>
  <c r="U48" i="9"/>
  <c r="U50" i="9" s="1"/>
  <c r="Q47" i="9"/>
  <c r="I33" i="19" s="1"/>
  <c r="L33" i="19" s="1"/>
  <c r="Q33" i="19" s="1"/>
  <c r="G33" i="28"/>
  <c r="I33" i="28" s="1"/>
  <c r="J33" i="28" s="1"/>
  <c r="K33" i="28" s="1"/>
  <c r="O48" i="9"/>
  <c r="R48" i="9" s="1"/>
  <c r="N48" i="9"/>
  <c r="Q48" i="9" s="1"/>
  <c r="K14" i="25"/>
  <c r="L14" i="25" s="1"/>
  <c r="K33" i="13"/>
  <c r="J33" i="13"/>
  <c r="O33" i="13" s="1"/>
  <c r="T33" i="13" s="1"/>
  <c r="I33" i="13"/>
  <c r="N33" i="13" s="1"/>
  <c r="S33" i="13" s="1"/>
  <c r="K10" i="13"/>
  <c r="J10" i="13"/>
  <c r="O10" i="13" s="1"/>
  <c r="T10" i="13" s="1"/>
  <c r="I10" i="13"/>
  <c r="N10" i="13" s="1"/>
  <c r="S10" i="13" s="1"/>
  <c r="I29" i="13"/>
  <c r="N29" i="13" s="1"/>
  <c r="S29" i="13" s="1"/>
  <c r="J29" i="13"/>
  <c r="O29" i="13" s="1"/>
  <c r="T29" i="13" s="1"/>
  <c r="K29" i="13"/>
  <c r="W30" i="16"/>
  <c r="X30" i="16"/>
  <c r="J26" i="13"/>
  <c r="O26" i="13" s="1"/>
  <c r="T26" i="13" s="1"/>
  <c r="K26" i="13"/>
  <c r="I26" i="13"/>
  <c r="N26" i="13" s="1"/>
  <c r="S26" i="13" s="1"/>
  <c r="I8" i="13"/>
  <c r="N8" i="13" s="1"/>
  <c r="S8" i="13" s="1"/>
  <c r="K8" i="13"/>
  <c r="J8" i="13"/>
  <c r="O8" i="13" s="1"/>
  <c r="T8" i="13" s="1"/>
  <c r="I11" i="13"/>
  <c r="N11" i="13" s="1"/>
  <c r="S11" i="13" s="1"/>
  <c r="K11" i="13"/>
  <c r="J11" i="13"/>
  <c r="O11" i="13" s="1"/>
  <c r="T11" i="13" s="1"/>
  <c r="K57" i="13"/>
  <c r="J57" i="13"/>
  <c r="O57" i="13" s="1"/>
  <c r="T57" i="13" s="1"/>
  <c r="I57" i="13"/>
  <c r="N57" i="13" s="1"/>
  <c r="S57" i="13" s="1"/>
  <c r="O58" i="15"/>
  <c r="I58" i="15"/>
  <c r="L58" i="15"/>
  <c r="K13" i="13"/>
  <c r="I13" i="13"/>
  <c r="N13" i="13" s="1"/>
  <c r="S13" i="13" s="1"/>
  <c r="J13" i="13"/>
  <c r="O13" i="13" s="1"/>
  <c r="T13" i="13" s="1"/>
  <c r="L32" i="15"/>
  <c r="M32" i="15" s="1"/>
  <c r="O32" i="15"/>
  <c r="P32" i="15" s="1"/>
  <c r="I32" i="15"/>
  <c r="J32" i="15" s="1"/>
  <c r="J58" i="13"/>
  <c r="O58" i="13" s="1"/>
  <c r="T58" i="13" s="1"/>
  <c r="K58" i="13"/>
  <c r="I58" i="13"/>
  <c r="N58" i="13" s="1"/>
  <c r="S58" i="13" s="1"/>
  <c r="K63" i="19"/>
  <c r="P63" i="19" s="1"/>
  <c r="M63" i="19"/>
  <c r="L63" i="19"/>
  <c r="Q63" i="19" s="1"/>
  <c r="L27" i="15"/>
  <c r="M27" i="15" s="1"/>
  <c r="I27" i="15"/>
  <c r="J27" i="15" s="1"/>
  <c r="O27" i="15"/>
  <c r="P27" i="15" s="1"/>
  <c r="Y65" i="16"/>
  <c r="AB65" i="16" s="1"/>
  <c r="X65" i="16"/>
  <c r="M29" i="19"/>
  <c r="K29" i="19"/>
  <c r="P29" i="19" s="1"/>
  <c r="L29" i="19"/>
  <c r="Q29" i="19" s="1"/>
  <c r="K66" i="13"/>
  <c r="J66" i="13"/>
  <c r="O66" i="13" s="1"/>
  <c r="T66" i="13" s="1"/>
  <c r="I66" i="13"/>
  <c r="N66" i="13" s="1"/>
  <c r="S66" i="13" s="1"/>
  <c r="K50" i="13"/>
  <c r="J50" i="13"/>
  <c r="O50" i="13" s="1"/>
  <c r="T50" i="13" s="1"/>
  <c r="I50" i="13"/>
  <c r="N50" i="13" s="1"/>
  <c r="S50" i="13" s="1"/>
  <c r="K60" i="19"/>
  <c r="P60" i="19" s="1"/>
  <c r="L60" i="19"/>
  <c r="Q60" i="19" s="1"/>
  <c r="M60" i="19"/>
  <c r="K31" i="19"/>
  <c r="P31" i="19" s="1"/>
  <c r="L31" i="19"/>
  <c r="Q31" i="19" s="1"/>
  <c r="M31" i="19"/>
  <c r="K53" i="13"/>
  <c r="I53" i="13"/>
  <c r="N53" i="13" s="1"/>
  <c r="S53" i="13" s="1"/>
  <c r="J53" i="13"/>
  <c r="O53" i="13" s="1"/>
  <c r="T53" i="13" s="1"/>
  <c r="K26" i="19"/>
  <c r="P26" i="19" s="1"/>
  <c r="M26" i="19"/>
  <c r="L26" i="19"/>
  <c r="Q26" i="19" s="1"/>
  <c r="K9" i="13"/>
  <c r="I9" i="13"/>
  <c r="N9" i="13" s="1"/>
  <c r="S9" i="13" s="1"/>
  <c r="J9" i="13"/>
  <c r="O9" i="13" s="1"/>
  <c r="T9" i="13" s="1"/>
  <c r="K65" i="13"/>
  <c r="J65" i="13"/>
  <c r="O65" i="13" s="1"/>
  <c r="T65" i="13" s="1"/>
  <c r="I65" i="13"/>
  <c r="N65" i="13" s="1"/>
  <c r="S65" i="13" s="1"/>
  <c r="L13" i="25"/>
  <c r="K64" i="19"/>
  <c r="P64" i="19" s="1"/>
  <c r="L64" i="19"/>
  <c r="Q64" i="19" s="1"/>
  <c r="M64" i="19"/>
  <c r="K56" i="13"/>
  <c r="J56" i="13"/>
  <c r="O56" i="13" s="1"/>
  <c r="T56" i="13" s="1"/>
  <c r="I56" i="13"/>
  <c r="N56" i="13" s="1"/>
  <c r="S56" i="13" s="1"/>
  <c r="K51" i="13"/>
  <c r="J51" i="13"/>
  <c r="O51" i="13" s="1"/>
  <c r="T51" i="13" s="1"/>
  <c r="I51" i="13"/>
  <c r="N51" i="13" s="1"/>
  <c r="S51" i="13" s="1"/>
  <c r="K48" i="13"/>
  <c r="I48" i="13"/>
  <c r="N48" i="13" s="1"/>
  <c r="S48" i="13" s="1"/>
  <c r="J48" i="13"/>
  <c r="O48" i="13" s="1"/>
  <c r="T48" i="13" s="1"/>
  <c r="K43" i="13"/>
  <c r="J43" i="13"/>
  <c r="O43" i="13" s="1"/>
  <c r="T43" i="13" s="1"/>
  <c r="I43" i="13"/>
  <c r="N43" i="13" s="1"/>
  <c r="S43" i="13" s="1"/>
  <c r="W28" i="16"/>
  <c r="V28" i="16"/>
  <c r="K28" i="13"/>
  <c r="J28" i="13"/>
  <c r="O28" i="13" s="1"/>
  <c r="T28" i="13" s="1"/>
  <c r="I28" i="13"/>
  <c r="N28" i="13" s="1"/>
  <c r="S28" i="13" s="1"/>
  <c r="J55" i="13"/>
  <c r="O55" i="13" s="1"/>
  <c r="T55" i="13" s="1"/>
  <c r="K55" i="13"/>
  <c r="I55" i="13"/>
  <c r="N55" i="13" s="1"/>
  <c r="S55" i="13" s="1"/>
  <c r="K41" i="13"/>
  <c r="I41" i="13"/>
  <c r="N41" i="13" s="1"/>
  <c r="S41" i="13" s="1"/>
  <c r="J41" i="13"/>
  <c r="O41" i="13" s="1"/>
  <c r="T41" i="13" s="1"/>
  <c r="M30" i="19"/>
  <c r="L30" i="19"/>
  <c r="Q30" i="19" s="1"/>
  <c r="K30" i="19"/>
  <c r="P30" i="19" s="1"/>
  <c r="K67" i="13"/>
  <c r="I67" i="13"/>
  <c r="N67" i="13" s="1"/>
  <c r="S67" i="13" s="1"/>
  <c r="J67" i="13"/>
  <c r="O67" i="13" s="1"/>
  <c r="T67" i="13" s="1"/>
  <c r="I24" i="15"/>
  <c r="J24" i="15" s="1"/>
  <c r="L24" i="15"/>
  <c r="M24" i="15" s="1"/>
  <c r="O24" i="15"/>
  <c r="P24" i="15" s="1"/>
  <c r="I62" i="13"/>
  <c r="N62" i="13" s="1"/>
  <c r="S62" i="13" s="1"/>
  <c r="K62" i="13"/>
  <c r="J62" i="13"/>
  <c r="O62" i="13" s="1"/>
  <c r="T62" i="13" s="1"/>
  <c r="J42" i="13"/>
  <c r="O42" i="13" s="1"/>
  <c r="T42" i="13" s="1"/>
  <c r="K42" i="13"/>
  <c r="I42" i="13"/>
  <c r="N42" i="13" s="1"/>
  <c r="S42" i="13" s="1"/>
  <c r="M32" i="19"/>
  <c r="K32" i="19"/>
  <c r="P32" i="19" s="1"/>
  <c r="L32" i="19"/>
  <c r="Q32" i="19" s="1"/>
  <c r="L28" i="19"/>
  <c r="Q28" i="19" s="1"/>
  <c r="K28" i="19"/>
  <c r="P28" i="19" s="1"/>
  <c r="M28" i="19"/>
  <c r="J30" i="13"/>
  <c r="O30" i="13" s="1"/>
  <c r="T30" i="13" s="1"/>
  <c r="K30" i="13"/>
  <c r="I30" i="13"/>
  <c r="N30" i="13" s="1"/>
  <c r="S30" i="13" s="1"/>
  <c r="K63" i="13"/>
  <c r="I63" i="13"/>
  <c r="N63" i="13" s="1"/>
  <c r="S63" i="13" s="1"/>
  <c r="J63" i="13"/>
  <c r="O63" i="13" s="1"/>
  <c r="T63" i="13" s="1"/>
  <c r="J46" i="13"/>
  <c r="O46" i="13" s="1"/>
  <c r="T46" i="13" s="1"/>
  <c r="I46" i="13"/>
  <c r="N46" i="13" s="1"/>
  <c r="S46" i="13" s="1"/>
  <c r="K46" i="13"/>
  <c r="I16" i="13"/>
  <c r="N16" i="13" s="1"/>
  <c r="S16" i="13" s="1"/>
  <c r="K16" i="13"/>
  <c r="J16" i="13"/>
  <c r="O16" i="13" s="1"/>
  <c r="T16" i="13" s="1"/>
  <c r="I12" i="12"/>
  <c r="J7" i="25"/>
  <c r="K7" i="25" s="1"/>
  <c r="J31" i="13"/>
  <c r="O31" i="13" s="1"/>
  <c r="T31" i="13" s="1"/>
  <c r="I31" i="13"/>
  <c r="N31" i="13" s="1"/>
  <c r="S31" i="13" s="1"/>
  <c r="K31" i="13"/>
  <c r="I60" i="15"/>
  <c r="J60" i="15" s="1"/>
  <c r="L60" i="15"/>
  <c r="M60" i="15" s="1"/>
  <c r="O60" i="15"/>
  <c r="P60" i="15" s="1"/>
  <c r="K39" i="13"/>
  <c r="J39" i="13"/>
  <c r="I39" i="13"/>
  <c r="I59" i="13"/>
  <c r="N59" i="13" s="1"/>
  <c r="S59" i="13" s="1"/>
  <c r="K59" i="13"/>
  <c r="J59" i="13"/>
  <c r="O59" i="13" s="1"/>
  <c r="T59" i="13" s="1"/>
  <c r="J12" i="13"/>
  <c r="O12" i="13" s="1"/>
  <c r="T12" i="13" s="1"/>
  <c r="K12" i="13"/>
  <c r="I12" i="13"/>
  <c r="N12" i="13" s="1"/>
  <c r="S12" i="13" s="1"/>
  <c r="J6" i="25"/>
  <c r="K6" i="25" s="1"/>
  <c r="L6" i="25" s="1"/>
  <c r="I60" i="12"/>
  <c r="O64" i="15"/>
  <c r="P64" i="15" s="1"/>
  <c r="I64" i="15"/>
  <c r="J64" i="15" s="1"/>
  <c r="L64" i="15"/>
  <c r="M64" i="15" s="1"/>
  <c r="J5" i="25"/>
  <c r="K5" i="25" s="1"/>
  <c r="K62" i="19"/>
  <c r="P62" i="19" s="1"/>
  <c r="M62" i="19"/>
  <c r="L62" i="19"/>
  <c r="Q62" i="19" s="1"/>
  <c r="I65" i="15"/>
  <c r="J65" i="15" s="1"/>
  <c r="O65" i="15"/>
  <c r="P65" i="15" s="1"/>
  <c r="L65" i="15"/>
  <c r="M65" i="15" s="1"/>
  <c r="L62" i="15"/>
  <c r="M62" i="15" s="1"/>
  <c r="I62" i="15"/>
  <c r="J62" i="15" s="1"/>
  <c r="O62" i="15"/>
  <c r="P62" i="15" s="1"/>
  <c r="K60" i="28"/>
  <c r="X60" i="16"/>
  <c r="O28" i="15"/>
  <c r="P28" i="15" s="1"/>
  <c r="I28" i="15"/>
  <c r="J28" i="15" s="1"/>
  <c r="L28" i="15"/>
  <c r="M28" i="15" s="1"/>
  <c r="I49" i="13"/>
  <c r="N49" i="13" s="1"/>
  <c r="S49" i="13" s="1"/>
  <c r="K49" i="13"/>
  <c r="J49" i="13"/>
  <c r="O49" i="13" s="1"/>
  <c r="T49" i="13" s="1"/>
  <c r="K40" i="13"/>
  <c r="J40" i="13"/>
  <c r="O40" i="13" s="1"/>
  <c r="T40" i="13" s="1"/>
  <c r="I40" i="13"/>
  <c r="N40" i="13" s="1"/>
  <c r="S40" i="13" s="1"/>
  <c r="J54" i="13"/>
  <c r="O54" i="13" s="1"/>
  <c r="T54" i="13" s="1"/>
  <c r="I54" i="13"/>
  <c r="N54" i="13" s="1"/>
  <c r="S54" i="13" s="1"/>
  <c r="K54" i="13"/>
  <c r="K45" i="13"/>
  <c r="J45" i="13"/>
  <c r="O45" i="13" s="1"/>
  <c r="T45" i="13" s="1"/>
  <c r="I45" i="13"/>
  <c r="N45" i="13" s="1"/>
  <c r="S45" i="13" s="1"/>
  <c r="I29" i="15"/>
  <c r="J29" i="15" s="1"/>
  <c r="L29" i="15"/>
  <c r="M29" i="15" s="1"/>
  <c r="O29" i="15"/>
  <c r="P29" i="15" s="1"/>
  <c r="K27" i="13"/>
  <c r="J27" i="13"/>
  <c r="O27" i="13" s="1"/>
  <c r="T27" i="13" s="1"/>
  <c r="I27" i="13"/>
  <c r="N27" i="13" s="1"/>
  <c r="S27" i="13" s="1"/>
  <c r="J22" i="13"/>
  <c r="O22" i="13" s="1"/>
  <c r="T22" i="13" s="1"/>
  <c r="K22" i="13"/>
  <c r="I22" i="13"/>
  <c r="N22" i="13" s="1"/>
  <c r="S22" i="13" s="1"/>
  <c r="K47" i="13"/>
  <c r="I47" i="13"/>
  <c r="N47" i="13" s="1"/>
  <c r="S47" i="13" s="1"/>
  <c r="J47" i="13"/>
  <c r="O47" i="13" s="1"/>
  <c r="T47" i="13" s="1"/>
  <c r="I20" i="13"/>
  <c r="N20" i="13" s="1"/>
  <c r="S20" i="13" s="1"/>
  <c r="J20" i="13"/>
  <c r="O20" i="13" s="1"/>
  <c r="T20" i="13" s="1"/>
  <c r="K20" i="13"/>
  <c r="K5" i="13"/>
  <c r="I5" i="13"/>
  <c r="J5" i="13"/>
  <c r="K12" i="28"/>
  <c r="M59" i="19"/>
  <c r="L59" i="19"/>
  <c r="K59" i="19"/>
  <c r="O61" i="15"/>
  <c r="P61" i="15" s="1"/>
  <c r="L61" i="15"/>
  <c r="M61" i="15" s="1"/>
  <c r="I61" i="15"/>
  <c r="J61" i="15" s="1"/>
  <c r="I15" i="13"/>
  <c r="N15" i="13" s="1"/>
  <c r="S15" i="13" s="1"/>
  <c r="J15" i="13"/>
  <c r="O15" i="13" s="1"/>
  <c r="T15" i="13" s="1"/>
  <c r="K15" i="13"/>
  <c r="K67" i="19"/>
  <c r="P67" i="19" s="1"/>
  <c r="L67" i="19"/>
  <c r="Q67" i="19" s="1"/>
  <c r="M67" i="19"/>
  <c r="J18" i="13"/>
  <c r="O18" i="13" s="1"/>
  <c r="T18" i="13" s="1"/>
  <c r="I18" i="13"/>
  <c r="N18" i="13" s="1"/>
  <c r="S18" i="13" s="1"/>
  <c r="K18" i="13"/>
  <c r="I44" i="13"/>
  <c r="N44" i="13" s="1"/>
  <c r="S44" i="13" s="1"/>
  <c r="K44" i="13"/>
  <c r="J44" i="13"/>
  <c r="O44" i="13" s="1"/>
  <c r="T44" i="13" s="1"/>
  <c r="I26" i="15"/>
  <c r="J26" i="15" s="1"/>
  <c r="L26" i="15"/>
  <c r="M26" i="15" s="1"/>
  <c r="O26" i="15"/>
  <c r="P26" i="15" s="1"/>
  <c r="K52" i="13"/>
  <c r="J52" i="13"/>
  <c r="O52" i="13" s="1"/>
  <c r="T52" i="13" s="1"/>
  <c r="I52" i="13"/>
  <c r="N52" i="13" s="1"/>
  <c r="S52" i="13" s="1"/>
  <c r="J7" i="13"/>
  <c r="O7" i="13" s="1"/>
  <c r="T7" i="13" s="1"/>
  <c r="K7" i="13"/>
  <c r="L7" i="13" s="1"/>
  <c r="I7" i="13"/>
  <c r="N7" i="13" s="1"/>
  <c r="S7" i="13" s="1"/>
  <c r="L65" i="19"/>
  <c r="Q65" i="19" s="1"/>
  <c r="M65" i="19"/>
  <c r="K65" i="19"/>
  <c r="P65" i="19" s="1"/>
  <c r="K66" i="19"/>
  <c r="P66" i="19" s="1"/>
  <c r="L66" i="19"/>
  <c r="Q66" i="19" s="1"/>
  <c r="M66" i="19"/>
  <c r="M27" i="19"/>
  <c r="K27" i="19"/>
  <c r="P27" i="19" s="1"/>
  <c r="L27" i="19"/>
  <c r="Q27" i="19" s="1"/>
  <c r="J32" i="13"/>
  <c r="O32" i="13" s="1"/>
  <c r="T32" i="13" s="1"/>
  <c r="K32" i="13"/>
  <c r="I32" i="13"/>
  <c r="N32" i="13" s="1"/>
  <c r="S32" i="13" s="1"/>
  <c r="O59" i="15"/>
  <c r="P59" i="15" s="1"/>
  <c r="L59" i="15"/>
  <c r="M59" i="15" s="1"/>
  <c r="I59" i="15"/>
  <c r="J59" i="15" s="1"/>
  <c r="J21" i="13"/>
  <c r="O21" i="13" s="1"/>
  <c r="T21" i="13" s="1"/>
  <c r="K21" i="13"/>
  <c r="I21" i="13"/>
  <c r="N21" i="13" s="1"/>
  <c r="S21" i="13" s="1"/>
  <c r="J6" i="13"/>
  <c r="O6" i="13" s="1"/>
  <c r="T6" i="13" s="1"/>
  <c r="K6" i="13"/>
  <c r="I6" i="13"/>
  <c r="N6" i="13" s="1"/>
  <c r="S6" i="13" s="1"/>
  <c r="O31" i="15"/>
  <c r="P31" i="15" s="1"/>
  <c r="I31" i="15"/>
  <c r="J31" i="15" s="1"/>
  <c r="L31" i="15"/>
  <c r="M31" i="15" s="1"/>
  <c r="K61" i="13"/>
  <c r="I61" i="13"/>
  <c r="N61" i="13" s="1"/>
  <c r="S61" i="13" s="1"/>
  <c r="J61" i="13"/>
  <c r="O61" i="13" s="1"/>
  <c r="T61" i="13" s="1"/>
  <c r="I24" i="13"/>
  <c r="N24" i="13" s="1"/>
  <c r="S24" i="13" s="1"/>
  <c r="K24" i="13"/>
  <c r="J24" i="13"/>
  <c r="O24" i="13" s="1"/>
  <c r="T24" i="13" s="1"/>
  <c r="J64" i="13"/>
  <c r="O64" i="13" s="1"/>
  <c r="T64" i="13" s="1"/>
  <c r="I64" i="13"/>
  <c r="N64" i="13" s="1"/>
  <c r="S64" i="13" s="1"/>
  <c r="K64" i="13"/>
  <c r="J25" i="13"/>
  <c r="O25" i="13" s="1"/>
  <c r="T25" i="13" s="1"/>
  <c r="K25" i="13"/>
  <c r="I25" i="13"/>
  <c r="N25" i="13" s="1"/>
  <c r="S25" i="13" s="1"/>
  <c r="I12" i="15"/>
  <c r="O12" i="15"/>
  <c r="L12" i="15"/>
  <c r="O30" i="15"/>
  <c r="P30" i="15" s="1"/>
  <c r="L30" i="15"/>
  <c r="M30" i="15" s="1"/>
  <c r="I30" i="15"/>
  <c r="J30" i="15" s="1"/>
  <c r="L25" i="19"/>
  <c r="Q25" i="19" s="1"/>
  <c r="K25" i="19"/>
  <c r="P25" i="19" s="1"/>
  <c r="M25" i="19"/>
  <c r="O66" i="15"/>
  <c r="P66" i="15" s="1"/>
  <c r="I66" i="15"/>
  <c r="J66" i="15" s="1"/>
  <c r="L66" i="15"/>
  <c r="M66" i="15" s="1"/>
  <c r="I63" i="15"/>
  <c r="J63" i="15" s="1"/>
  <c r="O63" i="15"/>
  <c r="P63" i="15" s="1"/>
  <c r="L63" i="15"/>
  <c r="M63" i="15" s="1"/>
  <c r="L25" i="15"/>
  <c r="M25" i="15" s="1"/>
  <c r="O25" i="15"/>
  <c r="P25" i="15" s="1"/>
  <c r="I25" i="15"/>
  <c r="J25" i="15" s="1"/>
  <c r="K24" i="19"/>
  <c r="M24" i="19"/>
  <c r="L24" i="19"/>
  <c r="J23" i="13"/>
  <c r="O23" i="13" s="1"/>
  <c r="T23" i="13" s="1"/>
  <c r="K23" i="13"/>
  <c r="I23" i="13"/>
  <c r="N23" i="13" s="1"/>
  <c r="S23" i="13" s="1"/>
  <c r="J19" i="13"/>
  <c r="O19" i="13" s="1"/>
  <c r="T19" i="13" s="1"/>
  <c r="K19" i="13"/>
  <c r="I19" i="13"/>
  <c r="N19" i="13" s="1"/>
  <c r="S19" i="13" s="1"/>
  <c r="I17" i="13"/>
  <c r="N17" i="13" s="1"/>
  <c r="S17" i="13" s="1"/>
  <c r="K17" i="13"/>
  <c r="J17" i="13"/>
  <c r="O17" i="13" s="1"/>
  <c r="T17" i="13" s="1"/>
  <c r="I14" i="13"/>
  <c r="N14" i="13" s="1"/>
  <c r="S14" i="13" s="1"/>
  <c r="K14" i="13"/>
  <c r="J14" i="13"/>
  <c r="O14" i="13" s="1"/>
  <c r="T14" i="13" s="1"/>
  <c r="D49" i="2"/>
  <c r="L9" i="13" l="1"/>
  <c r="K68" i="28"/>
  <c r="J68" i="28"/>
  <c r="R50" i="9"/>
  <c r="B5" i="30" s="1"/>
  <c r="C5" i="30" s="1"/>
  <c r="G34" i="16"/>
  <c r="G69" i="12"/>
  <c r="H69" i="12" s="1"/>
  <c r="I69" i="12" s="1"/>
  <c r="I70" i="12" s="1"/>
  <c r="Y50" i="9"/>
  <c r="Q50" i="9"/>
  <c r="B4" i="30" s="1"/>
  <c r="G33" i="12"/>
  <c r="H33" i="12" s="1"/>
  <c r="H34" i="12" s="1"/>
  <c r="M33" i="19"/>
  <c r="R33" i="19" s="1"/>
  <c r="K33" i="19"/>
  <c r="P33" i="19" s="1"/>
  <c r="X50" i="9"/>
  <c r="J34" i="28"/>
  <c r="G33" i="15"/>
  <c r="O33" i="15" s="1"/>
  <c r="P33" i="15" s="1"/>
  <c r="K34" i="28"/>
  <c r="C29" i="2" s="1"/>
  <c r="G68" i="16"/>
  <c r="G67" i="15"/>
  <c r="K16" i="25"/>
  <c r="L15" i="25"/>
  <c r="L16" i="25" s="1"/>
  <c r="C30" i="2" s="1"/>
  <c r="L7" i="25"/>
  <c r="AA60" i="16"/>
  <c r="AC60" i="16" s="1"/>
  <c r="AA61" i="16"/>
  <c r="AC61" i="16" s="1"/>
  <c r="AA63" i="16"/>
  <c r="AC63" i="16" s="1"/>
  <c r="L5" i="25"/>
  <c r="L52" i="13"/>
  <c r="Q52" i="13" s="1"/>
  <c r="P52" i="13"/>
  <c r="U52" i="13" s="1"/>
  <c r="W52" i="13" s="1"/>
  <c r="X52" i="13" s="1"/>
  <c r="R30" i="19"/>
  <c r="T30" i="19" s="1"/>
  <c r="U30" i="19" s="1"/>
  <c r="N30" i="19"/>
  <c r="L64" i="13"/>
  <c r="Q64" i="13" s="1"/>
  <c r="P64" i="13"/>
  <c r="U64" i="13" s="1"/>
  <c r="W64" i="13" s="1"/>
  <c r="X64" i="13" s="1"/>
  <c r="R66" i="19"/>
  <c r="T66" i="19" s="1"/>
  <c r="U66" i="19" s="1"/>
  <c r="N66" i="19"/>
  <c r="P43" i="13"/>
  <c r="U43" i="13" s="1"/>
  <c r="W43" i="13" s="1"/>
  <c r="X43" i="13" s="1"/>
  <c r="L43" i="13"/>
  <c r="Q43" i="13" s="1"/>
  <c r="P50" i="13"/>
  <c r="U50" i="13" s="1"/>
  <c r="W50" i="13" s="1"/>
  <c r="X50" i="13" s="1"/>
  <c r="L50" i="13"/>
  <c r="Q50" i="13" s="1"/>
  <c r="P13" i="13"/>
  <c r="U13" i="13" s="1"/>
  <c r="W13" i="13" s="1"/>
  <c r="X13" i="13" s="1"/>
  <c r="L13" i="13"/>
  <c r="Q13" i="13" s="1"/>
  <c r="P22" i="13"/>
  <c r="U22" i="13" s="1"/>
  <c r="W22" i="13" s="1"/>
  <c r="X22" i="13" s="1"/>
  <c r="L22" i="13"/>
  <c r="Q22" i="13" s="1"/>
  <c r="W27" i="16"/>
  <c r="P59" i="19"/>
  <c r="P65" i="13"/>
  <c r="U65" i="13" s="1"/>
  <c r="W65" i="13" s="1"/>
  <c r="X65" i="13" s="1"/>
  <c r="L65" i="13"/>
  <c r="Q65" i="13" s="1"/>
  <c r="J58" i="15"/>
  <c r="Q59" i="19"/>
  <c r="P58" i="15"/>
  <c r="P44" i="13"/>
  <c r="U44" i="13" s="1"/>
  <c r="W44" i="13" s="1"/>
  <c r="X44" i="13" s="1"/>
  <c r="L44" i="13"/>
  <c r="Q44" i="13" s="1"/>
  <c r="R28" i="19"/>
  <c r="T28" i="19" s="1"/>
  <c r="U28" i="19" s="1"/>
  <c r="N28" i="19"/>
  <c r="AA67" i="16"/>
  <c r="AC67" i="16" s="1"/>
  <c r="R29" i="19"/>
  <c r="T29" i="19" s="1"/>
  <c r="U29" i="19" s="1"/>
  <c r="N29" i="19"/>
  <c r="P57" i="13"/>
  <c r="U57" i="13" s="1"/>
  <c r="W57" i="13" s="1"/>
  <c r="L57" i="13"/>
  <c r="P14" i="13"/>
  <c r="U14" i="13" s="1"/>
  <c r="W14" i="13" s="1"/>
  <c r="X14" i="13" s="1"/>
  <c r="L14" i="13"/>
  <c r="Q14" i="13" s="1"/>
  <c r="N39" i="13"/>
  <c r="S39" i="13" s="1"/>
  <c r="I68" i="13"/>
  <c r="AA31" i="16"/>
  <c r="AC31" i="16" s="1"/>
  <c r="P67" i="13"/>
  <c r="U67" i="13" s="1"/>
  <c r="W67" i="13" s="1"/>
  <c r="X67" i="13" s="1"/>
  <c r="L67" i="13"/>
  <c r="Q67" i="13" s="1"/>
  <c r="P51" i="13"/>
  <c r="U51" i="13" s="1"/>
  <c r="W51" i="13" s="1"/>
  <c r="X51" i="13" s="1"/>
  <c r="L51" i="13"/>
  <c r="Q51" i="13" s="1"/>
  <c r="AA30" i="16"/>
  <c r="AC30" i="16" s="1"/>
  <c r="P12" i="15"/>
  <c r="J12" i="15"/>
  <c r="W59" i="16"/>
  <c r="P62" i="13"/>
  <c r="U62" i="13" s="1"/>
  <c r="W62" i="13" s="1"/>
  <c r="X62" i="13" s="1"/>
  <c r="L62" i="13"/>
  <c r="Q62" i="13" s="1"/>
  <c r="U27" i="16"/>
  <c r="R62" i="19"/>
  <c r="T62" i="19" s="1"/>
  <c r="U62" i="19" s="1"/>
  <c r="N62" i="19"/>
  <c r="P8" i="13"/>
  <c r="U8" i="13" s="1"/>
  <c r="W8" i="13" s="1"/>
  <c r="X8" i="13" s="1"/>
  <c r="L8" i="13"/>
  <c r="Q8" i="13" s="1"/>
  <c r="Q24" i="19"/>
  <c r="Q34" i="19" s="1"/>
  <c r="L34" i="19"/>
  <c r="P63" i="13"/>
  <c r="U63" i="13" s="1"/>
  <c r="W63" i="13" s="1"/>
  <c r="X63" i="13" s="1"/>
  <c r="L63" i="13"/>
  <c r="Q63" i="13" s="1"/>
  <c r="R24" i="19"/>
  <c r="N24" i="19"/>
  <c r="P28" i="13"/>
  <c r="U28" i="13" s="1"/>
  <c r="W28" i="13" s="1"/>
  <c r="X28" i="13" s="1"/>
  <c r="L28" i="13"/>
  <c r="Q28" i="13" s="1"/>
  <c r="P48" i="13"/>
  <c r="U48" i="13" s="1"/>
  <c r="W48" i="13" s="1"/>
  <c r="X48" i="13" s="1"/>
  <c r="L48" i="13"/>
  <c r="Q48" i="13" s="1"/>
  <c r="X27" i="16"/>
  <c r="P21" i="13"/>
  <c r="U21" i="13" s="1"/>
  <c r="W21" i="13" s="1"/>
  <c r="X21" i="13" s="1"/>
  <c r="L21" i="13"/>
  <c r="Q21" i="13" s="1"/>
  <c r="R59" i="19"/>
  <c r="N59" i="19"/>
  <c r="AA32" i="16"/>
  <c r="AC32" i="16" s="1"/>
  <c r="P30" i="13"/>
  <c r="U30" i="13" s="1"/>
  <c r="W30" i="13" s="1"/>
  <c r="X30" i="13" s="1"/>
  <c r="L30" i="13"/>
  <c r="Q30" i="13" s="1"/>
  <c r="L26" i="13"/>
  <c r="Q26" i="13" s="1"/>
  <c r="P26" i="13"/>
  <c r="U26" i="13" s="1"/>
  <c r="W26" i="13" s="1"/>
  <c r="X26" i="13" s="1"/>
  <c r="P7" i="13"/>
  <c r="U7" i="13" s="1"/>
  <c r="W7" i="13" s="1"/>
  <c r="X7" i="13" s="1"/>
  <c r="Q7" i="13"/>
  <c r="O5" i="13"/>
  <c r="J34" i="13"/>
  <c r="P40" i="13"/>
  <c r="U40" i="13" s="1"/>
  <c r="W40" i="13" s="1"/>
  <c r="X40" i="13" s="1"/>
  <c r="L40" i="13"/>
  <c r="Q40" i="13" s="1"/>
  <c r="L24" i="13"/>
  <c r="Q24" i="13" s="1"/>
  <c r="P24" i="13"/>
  <c r="U24" i="13" s="1"/>
  <c r="W24" i="13" s="1"/>
  <c r="X24" i="13" s="1"/>
  <c r="N5" i="13"/>
  <c r="I34" i="13"/>
  <c r="O39" i="13"/>
  <c r="J68" i="13"/>
  <c r="AA66" i="16"/>
  <c r="AC66" i="16" s="1"/>
  <c r="R31" i="19"/>
  <c r="T31" i="19" s="1"/>
  <c r="U31" i="19" s="1"/>
  <c r="N31" i="19"/>
  <c r="P17" i="13"/>
  <c r="U17" i="13" s="1"/>
  <c r="W17" i="13" s="1"/>
  <c r="X17" i="13" s="1"/>
  <c r="L17" i="13"/>
  <c r="Q17" i="13" s="1"/>
  <c r="P32" i="13"/>
  <c r="U32" i="13" s="1"/>
  <c r="W32" i="13" s="1"/>
  <c r="X32" i="13" s="1"/>
  <c r="L32" i="13"/>
  <c r="Q32" i="13" s="1"/>
  <c r="L20" i="13"/>
  <c r="Q20" i="13" s="1"/>
  <c r="P20" i="13"/>
  <c r="U20" i="13" s="1"/>
  <c r="W20" i="13" s="1"/>
  <c r="X20" i="13" s="1"/>
  <c r="P56" i="13"/>
  <c r="U56" i="13" s="1"/>
  <c r="W56" i="13" s="1"/>
  <c r="X56" i="13" s="1"/>
  <c r="L56" i="13"/>
  <c r="Q56" i="13" s="1"/>
  <c r="P9" i="13"/>
  <c r="U9" i="13" s="1"/>
  <c r="W9" i="13" s="1"/>
  <c r="X9" i="13" s="1"/>
  <c r="Q9" i="13"/>
  <c r="P47" i="13"/>
  <c r="U47" i="13" s="1"/>
  <c r="W47" i="13" s="1"/>
  <c r="X47" i="13" s="1"/>
  <c r="L47" i="13"/>
  <c r="Q47" i="13" s="1"/>
  <c r="P55" i="13"/>
  <c r="U55" i="13" s="1"/>
  <c r="W55" i="13" s="1"/>
  <c r="X55" i="13" s="1"/>
  <c r="L55" i="13"/>
  <c r="Q55" i="13" s="1"/>
  <c r="P23" i="13"/>
  <c r="U23" i="13" s="1"/>
  <c r="W23" i="13" s="1"/>
  <c r="X23" i="13" s="1"/>
  <c r="L23" i="13"/>
  <c r="L59" i="13"/>
  <c r="Q59" i="13" s="1"/>
  <c r="P59" i="13"/>
  <c r="U59" i="13" s="1"/>
  <c r="W59" i="13" s="1"/>
  <c r="X59" i="13" s="1"/>
  <c r="P10" i="13"/>
  <c r="U10" i="13" s="1"/>
  <c r="W10" i="13" s="1"/>
  <c r="X10" i="13" s="1"/>
  <c r="L10" i="13"/>
  <c r="Q10" i="13" s="1"/>
  <c r="P6" i="13"/>
  <c r="U6" i="13" s="1"/>
  <c r="W6" i="13" s="1"/>
  <c r="X6" i="13" s="1"/>
  <c r="L6" i="13"/>
  <c r="Q6" i="13" s="1"/>
  <c r="M58" i="15"/>
  <c r="AA33" i="16"/>
  <c r="AC33" i="16" s="1"/>
  <c r="P53" i="13"/>
  <c r="U53" i="13" s="1"/>
  <c r="W53" i="13" s="1"/>
  <c r="X53" i="13" s="1"/>
  <c r="L53" i="13"/>
  <c r="Q53" i="13" s="1"/>
  <c r="V27" i="16"/>
  <c r="R65" i="19"/>
  <c r="T65" i="19" s="1"/>
  <c r="U65" i="19" s="1"/>
  <c r="N65" i="19"/>
  <c r="AA64" i="16"/>
  <c r="AC64" i="16" s="1"/>
  <c r="P66" i="13"/>
  <c r="U66" i="13" s="1"/>
  <c r="W66" i="13" s="1"/>
  <c r="X66" i="13" s="1"/>
  <c r="L66" i="13"/>
  <c r="Q66" i="13" s="1"/>
  <c r="P24" i="19"/>
  <c r="Y27" i="16"/>
  <c r="P27" i="13"/>
  <c r="U27" i="13" s="1"/>
  <c r="W27" i="13" s="1"/>
  <c r="X27" i="13" s="1"/>
  <c r="L27" i="13"/>
  <c r="Q27" i="13" s="1"/>
  <c r="AA29" i="16"/>
  <c r="AC29" i="16" s="1"/>
  <c r="P18" i="13"/>
  <c r="U18" i="13" s="1"/>
  <c r="W18" i="13" s="1"/>
  <c r="X18" i="13" s="1"/>
  <c r="L18" i="13"/>
  <c r="Q18" i="13" s="1"/>
  <c r="R63" i="19"/>
  <c r="T63" i="19" s="1"/>
  <c r="U63" i="19" s="1"/>
  <c r="N63" i="19"/>
  <c r="P33" i="13"/>
  <c r="U33" i="13" s="1"/>
  <c r="W33" i="13" s="1"/>
  <c r="X33" i="13" s="1"/>
  <c r="L33" i="13"/>
  <c r="Q33" i="13" s="1"/>
  <c r="M12" i="15"/>
  <c r="R67" i="19"/>
  <c r="T67" i="19" s="1"/>
  <c r="U67" i="19" s="1"/>
  <c r="N67" i="19"/>
  <c r="P5" i="13"/>
  <c r="L5" i="13"/>
  <c r="Q5" i="13" s="1"/>
  <c r="K34" i="13"/>
  <c r="K68" i="19"/>
  <c r="P68" i="19" s="1"/>
  <c r="M68" i="19"/>
  <c r="M69" i="19" s="1"/>
  <c r="L68" i="19"/>
  <c r="Q68" i="19" s="1"/>
  <c r="P49" i="13"/>
  <c r="U49" i="13" s="1"/>
  <c r="W49" i="13" s="1"/>
  <c r="X49" i="13" s="1"/>
  <c r="L49" i="13"/>
  <c r="Q49" i="13" s="1"/>
  <c r="P39" i="13"/>
  <c r="L39" i="13"/>
  <c r="Q39" i="13" s="1"/>
  <c r="K68" i="13"/>
  <c r="AA62" i="16"/>
  <c r="AC62" i="16" s="1"/>
  <c r="L58" i="13"/>
  <c r="Q58" i="13" s="1"/>
  <c r="P58" i="13"/>
  <c r="U58" i="13" s="1"/>
  <c r="W58" i="13" s="1"/>
  <c r="X58" i="13" s="1"/>
  <c r="V59" i="16"/>
  <c r="P16" i="13"/>
  <c r="U16" i="13" s="1"/>
  <c r="W16" i="13" s="1"/>
  <c r="X16" i="13" s="1"/>
  <c r="L16" i="13"/>
  <c r="Q16" i="13" s="1"/>
  <c r="R32" i="19"/>
  <c r="T32" i="19" s="1"/>
  <c r="U32" i="19" s="1"/>
  <c r="N32" i="19"/>
  <c r="AA28" i="16"/>
  <c r="AC28" i="16" s="1"/>
  <c r="R64" i="19"/>
  <c r="T64" i="19" s="1"/>
  <c r="U64" i="19" s="1"/>
  <c r="N64" i="19"/>
  <c r="R60" i="19"/>
  <c r="T60" i="19" s="1"/>
  <c r="U60" i="19" s="1"/>
  <c r="N60" i="19"/>
  <c r="P29" i="13"/>
  <c r="U29" i="13" s="1"/>
  <c r="W29" i="13" s="1"/>
  <c r="X29" i="13" s="1"/>
  <c r="L29" i="13"/>
  <c r="Q29" i="13" s="1"/>
  <c r="P61" i="13"/>
  <c r="U61" i="13" s="1"/>
  <c r="W61" i="13" s="1"/>
  <c r="X61" i="13" s="1"/>
  <c r="L61" i="13"/>
  <c r="Q61" i="13" s="1"/>
  <c r="P15" i="13"/>
  <c r="U15" i="13" s="1"/>
  <c r="W15" i="13" s="1"/>
  <c r="X15" i="13" s="1"/>
  <c r="L15" i="13"/>
  <c r="Q15" i="13" s="1"/>
  <c r="P45" i="13"/>
  <c r="U45" i="13" s="1"/>
  <c r="W45" i="13" s="1"/>
  <c r="X45" i="13" s="1"/>
  <c r="L45" i="13"/>
  <c r="Q45" i="13" s="1"/>
  <c r="Y59" i="16"/>
  <c r="P19" i="13"/>
  <c r="U19" i="13" s="1"/>
  <c r="W19" i="13" s="1"/>
  <c r="X19" i="13" s="1"/>
  <c r="L19" i="13"/>
  <c r="Q19" i="13" s="1"/>
  <c r="P25" i="13"/>
  <c r="U25" i="13" s="1"/>
  <c r="W25" i="13" s="1"/>
  <c r="X25" i="13" s="1"/>
  <c r="L25" i="13"/>
  <c r="Q25" i="13" s="1"/>
  <c r="P54" i="13"/>
  <c r="U54" i="13" s="1"/>
  <c r="W54" i="13" s="1"/>
  <c r="X54" i="13" s="1"/>
  <c r="L54" i="13"/>
  <c r="Q54" i="13" s="1"/>
  <c r="X59" i="16"/>
  <c r="P12" i="13"/>
  <c r="U12" i="13" s="1"/>
  <c r="W12" i="13" s="1"/>
  <c r="X12" i="13" s="1"/>
  <c r="L12" i="13"/>
  <c r="Q12" i="13" s="1"/>
  <c r="P46" i="13"/>
  <c r="U46" i="13" s="1"/>
  <c r="W46" i="13" s="1"/>
  <c r="X46" i="13" s="1"/>
  <c r="L46" i="13"/>
  <c r="Q46" i="13" s="1"/>
  <c r="P42" i="13"/>
  <c r="U42" i="13" s="1"/>
  <c r="W42" i="13" s="1"/>
  <c r="X42" i="13" s="1"/>
  <c r="L42" i="13"/>
  <c r="Q42" i="13" s="1"/>
  <c r="P41" i="13"/>
  <c r="U41" i="13" s="1"/>
  <c r="W41" i="13" s="1"/>
  <c r="X41" i="13" s="1"/>
  <c r="L41" i="13"/>
  <c r="Q41" i="13" s="1"/>
  <c r="R26" i="19"/>
  <c r="T26" i="19" s="1"/>
  <c r="U26" i="19" s="1"/>
  <c r="N26" i="19"/>
  <c r="R25" i="19"/>
  <c r="T25" i="19" s="1"/>
  <c r="U25" i="19" s="1"/>
  <c r="N25" i="19"/>
  <c r="R27" i="19"/>
  <c r="T27" i="19" s="1"/>
  <c r="U27" i="19" s="1"/>
  <c r="N27" i="19"/>
  <c r="U59" i="16"/>
  <c r="P31" i="13"/>
  <c r="U31" i="13" s="1"/>
  <c r="W31" i="13" s="1"/>
  <c r="X31" i="13" s="1"/>
  <c r="L31" i="13"/>
  <c r="Q31" i="13" s="1"/>
  <c r="AA65" i="16"/>
  <c r="AC65" i="16" s="1"/>
  <c r="P11" i="13"/>
  <c r="U11" i="13" s="1"/>
  <c r="W11" i="13" s="1"/>
  <c r="X11" i="13" s="1"/>
  <c r="L11" i="13"/>
  <c r="Q11" i="13" s="1"/>
  <c r="J70" i="28" l="1"/>
  <c r="C32" i="2"/>
  <c r="D32" i="2" s="1"/>
  <c r="C28" i="2"/>
  <c r="D28" i="2" s="1"/>
  <c r="K70" i="28"/>
  <c r="C83" i="2" s="1"/>
  <c r="D83" i="2" s="1"/>
  <c r="F20" i="3" s="1"/>
  <c r="B3" i="30"/>
  <c r="C3" i="30" s="1"/>
  <c r="P68" i="16"/>
  <c r="Q68" i="16"/>
  <c r="R68" i="16"/>
  <c r="S68" i="16"/>
  <c r="O68" i="16"/>
  <c r="Q34" i="16"/>
  <c r="Q35" i="16" s="1"/>
  <c r="R34" i="16"/>
  <c r="R35" i="16" s="1"/>
  <c r="P34" i="16"/>
  <c r="P35" i="16" s="1"/>
  <c r="S34" i="16"/>
  <c r="S35" i="16" s="1"/>
  <c r="O34" i="16"/>
  <c r="O35" i="16" s="1"/>
  <c r="I33" i="15"/>
  <c r="J33" i="15" s="1"/>
  <c r="J34" i="15" s="1"/>
  <c r="C35" i="2" s="1"/>
  <c r="M34" i="19"/>
  <c r="H70" i="12"/>
  <c r="H72" i="12" s="1"/>
  <c r="L33" i="15"/>
  <c r="M33" i="15" s="1"/>
  <c r="M34" i="15" s="1"/>
  <c r="C43" i="2" s="1"/>
  <c r="D43" i="2" s="1"/>
  <c r="C4" i="30"/>
  <c r="K34" i="19"/>
  <c r="P34" i="19"/>
  <c r="D29" i="2"/>
  <c r="O67" i="15"/>
  <c r="L67" i="15"/>
  <c r="I67" i="15"/>
  <c r="N33" i="19"/>
  <c r="N34" i="19" s="1"/>
  <c r="T33" i="19"/>
  <c r="U33" i="19" s="1"/>
  <c r="I33" i="12"/>
  <c r="D30" i="2"/>
  <c r="K8" i="25"/>
  <c r="K18" i="25" s="1"/>
  <c r="L8" i="25"/>
  <c r="L69" i="19"/>
  <c r="Q69" i="19"/>
  <c r="T5" i="13"/>
  <c r="T34" i="13" s="1"/>
  <c r="O34" i="13"/>
  <c r="S68" i="13"/>
  <c r="N68" i="13"/>
  <c r="AB59" i="16"/>
  <c r="AA59" i="16"/>
  <c r="T24" i="19"/>
  <c r="R34" i="19"/>
  <c r="L68" i="13"/>
  <c r="Q57" i="13"/>
  <c r="Q68" i="13" s="1"/>
  <c r="R68" i="19"/>
  <c r="T68" i="19" s="1"/>
  <c r="U68" i="19" s="1"/>
  <c r="N68" i="19"/>
  <c r="N69" i="19" s="1"/>
  <c r="X57" i="13"/>
  <c r="K69" i="19"/>
  <c r="L34" i="13"/>
  <c r="Q23" i="13"/>
  <c r="Q34" i="13" s="1"/>
  <c r="O34" i="15"/>
  <c r="U39" i="13"/>
  <c r="P68" i="13"/>
  <c r="T39" i="13"/>
  <c r="T68" i="13" s="1"/>
  <c r="O68" i="13"/>
  <c r="AB27" i="16"/>
  <c r="U5" i="13"/>
  <c r="P34" i="13"/>
  <c r="S5" i="13"/>
  <c r="S34" i="13" s="1"/>
  <c r="N34" i="13"/>
  <c r="T59" i="19"/>
  <c r="P34" i="15"/>
  <c r="C16" i="2" s="1"/>
  <c r="C17" i="2" s="1"/>
  <c r="AA27" i="16"/>
  <c r="P69" i="19"/>
  <c r="C31" i="2" l="1"/>
  <c r="D31" i="2" s="1"/>
  <c r="L18" i="25"/>
  <c r="C84" i="2" s="1"/>
  <c r="U34" i="16"/>
  <c r="U35" i="16" s="1"/>
  <c r="Y34" i="16"/>
  <c r="AB34" i="16" s="1"/>
  <c r="AB35" i="16" s="1"/>
  <c r="W34" i="16"/>
  <c r="W35" i="16" s="1"/>
  <c r="X34" i="16"/>
  <c r="X35" i="16" s="1"/>
  <c r="V34" i="16"/>
  <c r="V35" i="16" s="1"/>
  <c r="I34" i="15"/>
  <c r="L34" i="15"/>
  <c r="I34" i="12"/>
  <c r="V68" i="16"/>
  <c r="V69" i="16" s="1"/>
  <c r="P69" i="16"/>
  <c r="J67" i="15"/>
  <c r="J68" i="15" s="1"/>
  <c r="I68" i="15"/>
  <c r="I70" i="15" s="1"/>
  <c r="M67" i="15"/>
  <c r="M68" i="15" s="1"/>
  <c r="L68" i="15"/>
  <c r="L70" i="15" s="1"/>
  <c r="X68" i="16"/>
  <c r="X69" i="16" s="1"/>
  <c r="R69" i="16"/>
  <c r="W68" i="16"/>
  <c r="W69" i="16" s="1"/>
  <c r="Q69" i="16"/>
  <c r="Y68" i="16"/>
  <c r="S69" i="16"/>
  <c r="U68" i="16"/>
  <c r="O69" i="16"/>
  <c r="P67" i="15"/>
  <c r="P68" i="15" s="1"/>
  <c r="P70" i="15" s="1"/>
  <c r="C74" i="2" s="1"/>
  <c r="O68" i="15"/>
  <c r="O70" i="15" s="1"/>
  <c r="R69" i="19"/>
  <c r="AC27" i="16"/>
  <c r="D35" i="2"/>
  <c r="D16" i="2"/>
  <c r="AC59" i="16"/>
  <c r="U59" i="19"/>
  <c r="U69" i="19" s="1"/>
  <c r="T69" i="19"/>
  <c r="W5" i="13"/>
  <c r="U34" i="13"/>
  <c r="W39" i="13"/>
  <c r="U68" i="13"/>
  <c r="U24" i="19"/>
  <c r="U34" i="19" s="1"/>
  <c r="C22" i="2" s="1"/>
  <c r="T34" i="19"/>
  <c r="C33" i="2" l="1"/>
  <c r="D33" i="2" s="1"/>
  <c r="I72" i="12"/>
  <c r="C85" i="2" s="1"/>
  <c r="D85" i="2" s="1"/>
  <c r="F22" i="3" s="1"/>
  <c r="C42" i="2"/>
  <c r="D42" i="2" s="1"/>
  <c r="M70" i="15"/>
  <c r="C91" i="2" s="1"/>
  <c r="D91" i="2" s="1"/>
  <c r="F28" i="3" s="1"/>
  <c r="D74" i="2"/>
  <c r="F11" i="3" s="1"/>
  <c r="C75" i="2"/>
  <c r="D75" i="2" s="1"/>
  <c r="F12" i="3" s="1"/>
  <c r="C34" i="2"/>
  <c r="J70" i="15"/>
  <c r="C86" i="2" s="1"/>
  <c r="D86" i="2" s="1"/>
  <c r="F23" i="3" s="1"/>
  <c r="T71" i="19"/>
  <c r="C21" i="2"/>
  <c r="U71" i="19"/>
  <c r="C78" i="2" s="1"/>
  <c r="D84" i="2"/>
  <c r="F21" i="3" s="1"/>
  <c r="AA34" i="16"/>
  <c r="AC34" i="16" s="1"/>
  <c r="AC35" i="16" s="1"/>
  <c r="Y35" i="16"/>
  <c r="AA68" i="16"/>
  <c r="U69" i="16"/>
  <c r="AB68" i="16"/>
  <c r="AB69" i="16" s="1"/>
  <c r="AB71" i="16" s="1"/>
  <c r="Y69" i="16"/>
  <c r="D22" i="2"/>
  <c r="X5" i="13"/>
  <c r="X34" i="13" s="1"/>
  <c r="C24" i="2" s="1"/>
  <c r="W34" i="13"/>
  <c r="X39" i="13"/>
  <c r="X68" i="13" s="1"/>
  <c r="W68" i="13"/>
  <c r="W70" i="13" s="1"/>
  <c r="D17" i="2"/>
  <c r="C88" i="2" l="1"/>
  <c r="D88" i="2" s="1"/>
  <c r="F25" i="3" s="1"/>
  <c r="C38" i="2"/>
  <c r="D38" i="2" s="1"/>
  <c r="D21" i="2"/>
  <c r="D34" i="2"/>
  <c r="C23" i="2"/>
  <c r="C26" i="2" s="1"/>
  <c r="X70" i="13"/>
  <c r="C79" i="2" s="1"/>
  <c r="D79" i="2" s="1"/>
  <c r="F16" i="3" s="1"/>
  <c r="D78" i="2"/>
  <c r="F15" i="3" s="1"/>
  <c r="C41" i="2"/>
  <c r="D41" i="2" s="1"/>
  <c r="AA35" i="16"/>
  <c r="AC68" i="16"/>
  <c r="AC69" i="16" s="1"/>
  <c r="C40" i="2" s="1"/>
  <c r="AA69" i="16"/>
  <c r="D24" i="2"/>
  <c r="D23" i="2" l="1"/>
  <c r="C81" i="2"/>
  <c r="D81" i="2" s="1"/>
  <c r="F18" i="3" s="1"/>
  <c r="AA71" i="16"/>
  <c r="AC71" i="16"/>
  <c r="C90" i="2" s="1"/>
  <c r="D90" i="2" s="1"/>
  <c r="F27" i="3" s="1"/>
  <c r="D40" i="2"/>
  <c r="C46" i="2"/>
  <c r="C56" i="2" s="1"/>
  <c r="D26" i="2"/>
  <c r="C94" i="2" l="1"/>
  <c r="D94" i="2" s="1"/>
  <c r="F31" i="3" s="1"/>
  <c r="D46" i="2"/>
  <c r="C104" i="2" l="1"/>
  <c r="C58" i="2"/>
  <c r="D58" i="2" s="1"/>
  <c r="C59" i="2"/>
  <c r="D59" i="2" s="1"/>
  <c r="D56" i="2"/>
  <c r="D104" i="2" l="1"/>
  <c r="F41" i="3" s="1"/>
  <c r="C106" i="2"/>
  <c r="D106" i="2" s="1"/>
  <c r="C107" i="2"/>
  <c r="D107" i="2" s="1"/>
  <c r="D67" i="2"/>
</calcChain>
</file>

<file path=xl/sharedStrings.xml><?xml version="1.0" encoding="utf-8"?>
<sst xmlns="http://schemas.openxmlformats.org/spreadsheetml/2006/main" count="1330" uniqueCount="705">
  <si>
    <t>PROJECT:</t>
  </si>
  <si>
    <t>PERIOD OF ANALYSIS:</t>
  </si>
  <si>
    <t>Values in 2022$</t>
  </si>
  <si>
    <t>Discounted at 3.1%</t>
  </si>
  <si>
    <t>Value (2022$)</t>
  </si>
  <si>
    <t>Value (2022$) millions</t>
  </si>
  <si>
    <t>Costs</t>
  </si>
  <si>
    <t>Capital Costs</t>
  </si>
  <si>
    <t>Benefits</t>
  </si>
  <si>
    <t>State of Good Repair</t>
  </si>
  <si>
    <t>O&amp;M Costs Avoided</t>
  </si>
  <si>
    <t>Residual Value</t>
  </si>
  <si>
    <t>Sub-Total State of Good Repair</t>
  </si>
  <si>
    <t>Safety</t>
  </si>
  <si>
    <t>Higher Bridge Railing (from 33'' to 42'')</t>
  </si>
  <si>
    <t>Qualitative</t>
  </si>
  <si>
    <t>Sub-Total Safety</t>
  </si>
  <si>
    <t>Economic Competitiveness and Opportunity</t>
  </si>
  <si>
    <t>Sub-Total Mobility and Economic Competitiveness</t>
  </si>
  <si>
    <t>Water Run Off Improvements</t>
  </si>
  <si>
    <t>Resiliency to Weather, Seismic, or Other Extreme Events</t>
  </si>
  <si>
    <t>Sub-Total Climate Change, Resiliency, and the Environment</t>
  </si>
  <si>
    <t>Equity and Quality of Life</t>
  </si>
  <si>
    <t>Sub-Total Quality of Life</t>
  </si>
  <si>
    <t>Innovation</t>
  </si>
  <si>
    <t>Sub-Total Innovation</t>
  </si>
  <si>
    <t>O&amp;M Costs</t>
  </si>
  <si>
    <t>Total Benefits</t>
  </si>
  <si>
    <t>Benefit-Cost Ratio</t>
  </si>
  <si>
    <t>Net Present Value</t>
  </si>
  <si>
    <t>*CO2 discounted at 2%</t>
  </si>
  <si>
    <t>Project Matrix</t>
  </si>
  <si>
    <t>Benefits (2022$ in Millions) Discounted at 3.1%</t>
  </si>
  <si>
    <t>Input</t>
  </si>
  <si>
    <t>Value</t>
  </si>
  <si>
    <t>Source</t>
  </si>
  <si>
    <t>General</t>
  </si>
  <si>
    <t>Discount Rate</t>
  </si>
  <si>
    <t>BCA Guidance for Discretionary Grant Programs- December 2023</t>
  </si>
  <si>
    <t>Discount Rate - CO2</t>
  </si>
  <si>
    <t>Discount Year</t>
  </si>
  <si>
    <t>Dollar Year</t>
  </si>
  <si>
    <t>Analysis Period (years)</t>
  </si>
  <si>
    <t>ODOT</t>
  </si>
  <si>
    <t>Project Start Year</t>
  </si>
  <si>
    <t>FHWA's NBIAS software program. See tab '7-Bridge Closure'</t>
  </si>
  <si>
    <t>Bridge Close Year -- Passenger Vehicles</t>
  </si>
  <si>
    <t>Units</t>
  </si>
  <si>
    <t>Minutes to hours</t>
  </si>
  <si>
    <t>Million multiplier</t>
  </si>
  <si>
    <t>Derived</t>
  </si>
  <si>
    <t>AADT 2020- Passenger Vehicle</t>
  </si>
  <si>
    <t>BIP BCA Tool- NBI Data</t>
  </si>
  <si>
    <t>AADT 2040 Forecast- Passenger Vehicle</t>
  </si>
  <si>
    <t>AADT 2020- Trucks</t>
  </si>
  <si>
    <t>AADT 2040 Forecast- Trucks</t>
  </si>
  <si>
    <t>Truck Annualization (days)</t>
  </si>
  <si>
    <t>Passenger Vehicles Annualization (days)</t>
  </si>
  <si>
    <t>Economic Competitiveness</t>
  </si>
  <si>
    <t>Speed limit - I-40 (mph)</t>
  </si>
  <si>
    <t>Google streetview</t>
  </si>
  <si>
    <t>Travel distance, Exit 291 - Exit 287 (miles)</t>
  </si>
  <si>
    <t>Google maps</t>
  </si>
  <si>
    <t>Travel time (minutes)</t>
  </si>
  <si>
    <t>Travel distance - detour (miles)</t>
  </si>
  <si>
    <t>Travel time - detour (minutes)</t>
  </si>
  <si>
    <t>Travel Time- All Purposes</t>
  </si>
  <si>
    <t>Travel Time- Truck Drivers</t>
  </si>
  <si>
    <t>Vehicle Operating Cost- Light Duty Vehicles</t>
  </si>
  <si>
    <t>Vehicle Operating Cost- Trucks</t>
  </si>
  <si>
    <t>PDO Crash Value</t>
  </si>
  <si>
    <t>Injury Crash Value</t>
  </si>
  <si>
    <t>Fatal Crash Value</t>
  </si>
  <si>
    <t>Marginal Pavement Costs per VMT ($/mile) - Light Duty/Rural (2000$)</t>
  </si>
  <si>
    <t>FHWA Highway Cost Allocation Study, 2000 Addendum, Table 13, https://www.fhwa.dot.gov/policy/hcas/addendum.cfm (assumes all of the trips are on urban highways)</t>
  </si>
  <si>
    <t>Marginal Pavement Costs per VMT ($/mile) - Light Duty/Rural (2022$)</t>
  </si>
  <si>
    <t>Converted using GDP Deflator</t>
  </si>
  <si>
    <t>Marginal Pavement Costs per VMT ($/mile) - 60 Kip 4 Axle US Truck/Rural Interstate (2000$)</t>
  </si>
  <si>
    <t>Marginal Pavement Costs per VMT ($/mile) - Truck/Rural (2022$)</t>
  </si>
  <si>
    <t>Marginal Congestion Costs per VMT ($/mile) - Light Duty/Rural (2022$)</t>
  </si>
  <si>
    <t>Marginal Congestion Costs per VMT ($/mile) - Truck/Rural (2022$)</t>
  </si>
  <si>
    <t>Marginal Noise Costs per VMT ($/mile)  - Light Duty/Rural (2022$)</t>
  </si>
  <si>
    <t>Marginal Noise Costs per VMT ($/mile)  - Truck/Rural (2022$)</t>
  </si>
  <si>
    <t>Emissions</t>
  </si>
  <si>
    <t>Gram to Metric Tons</t>
  </si>
  <si>
    <t>https://www.inchcalculator.com/convert/gram-to-metric-ton/</t>
  </si>
  <si>
    <t>VOC per mile - Auto (grams)</t>
  </si>
  <si>
    <t>Cost of VOC per Ton (2015$)</t>
  </si>
  <si>
    <t>https://www.epa.gov/sites/default/files/2015-07/documents/mar07_cost_estimation.pdf</t>
  </si>
  <si>
    <t>Cost of VOC per Ton (2022$)</t>
  </si>
  <si>
    <t>Converted using GDP deflator</t>
  </si>
  <si>
    <t>https://nepis.epa.gov/Exe/ZyNET.exe/P100EVY6.txt?ZyActionD=ZyDocument&amp;Client=EPA&amp;Index=2016%20Thru%202020%7C1991%20Thru%201994%7C2011%20Thru%202015%7C1986%20Thru%201990%7C2006%20Thru%202010%7C1981%20Thru%201985%7C2000%20Thru%202005%7C1976%20Thru%201980%7C1995%20Thru%201999%7CPrior%20to%201976%7CHardcopy%20Publications&amp;Docs=&amp;Query=Average%20In-Use%20Emissions%20Heavy-Duty%20Trucks&amp;Time=&amp;EndTime=&amp;SearchMethod=2&amp;TocRestrict=n&amp;Toc=&amp;TocEntry=&amp;QField=&amp;QFieldYear=&amp;QFieldMonth=&amp;QFieldDay=&amp;UseQField=&amp;IntQFieldOp=0&amp;ExtQFieldOp=0&amp;XmlQuery=&amp;File=D%3A%5CZYFILES%5CINDEX%20DATA%5C06THRU10%5CTXT%5C00000033%5CP100EVY6.txt&amp;User=ANONYMOUS&amp;Password=anonymous&amp;SortMethod=h%7C-&amp;MaximumDocuments=15&amp;FuzzyDegree=0&amp;ImageQuality=r85g16/r85g16/x150y150g16/i500&amp;Display=hpfr&amp;DefSeekPage=x&amp;SearchBack=ZyActionL&amp;Back=ZyActionS&amp;BackDesc=Results%20page&amp;MaximumPages=1&amp;ZyEntry=4</t>
  </si>
  <si>
    <t>Roadway useful life (years)</t>
  </si>
  <si>
    <t>https://apps.bea.gov/scb/account_articles/national/wlth2594/tableC.htm</t>
  </si>
  <si>
    <t>Utilities useful life (years)</t>
  </si>
  <si>
    <t>Bridges useful life (years)</t>
  </si>
  <si>
    <t>https://www.virginiadot.org/vtrc/main/online_reports/pdf/18-r1.pdf</t>
  </si>
  <si>
    <t>Crash Modification Factor</t>
  </si>
  <si>
    <t>CMF from widen paved shoulder from 3ft to 5ft</t>
  </si>
  <si>
    <t>https://cmfclearinghouse.fhwa.dot.gov/detail.php?facid=11</t>
  </si>
  <si>
    <t>Cardiac arrest per population per 100,000</t>
  </si>
  <si>
    <t>Value of Statistical Life (VSL)</t>
  </si>
  <si>
    <t>National Rural Median Response Time for Cardiac Arrest (minutes)</t>
  </si>
  <si>
    <t>Survival Probability Formula</t>
  </si>
  <si>
    <t>(1+e^-0.26+0.106(x)+0.139(x))^-1</t>
  </si>
  <si>
    <t>Table A-6: Damage Costs for Emissions per Metric Ton* by Emission Type</t>
  </si>
  <si>
    <r>
      <t>NO</t>
    </r>
    <r>
      <rPr>
        <b/>
        <vertAlign val="subscript"/>
        <sz val="10"/>
        <rFont val="Aptos Narrow"/>
        <family val="2"/>
        <scheme val="minor"/>
      </rPr>
      <t>X</t>
    </r>
  </si>
  <si>
    <r>
      <t>SO</t>
    </r>
    <r>
      <rPr>
        <b/>
        <vertAlign val="subscript"/>
        <sz val="10"/>
        <rFont val="Aptos Narrow"/>
        <family val="2"/>
        <scheme val="minor"/>
      </rPr>
      <t>X</t>
    </r>
  </si>
  <si>
    <r>
      <t>PM</t>
    </r>
    <r>
      <rPr>
        <b/>
        <vertAlign val="subscript"/>
        <sz val="10"/>
        <rFont val="Aptos Narrow"/>
        <family val="2"/>
        <scheme val="minor"/>
      </rPr>
      <t>2.5</t>
    </r>
    <r>
      <rPr>
        <b/>
        <sz val="10"/>
        <rFont val="Aptos Narrow"/>
        <family val="2"/>
        <scheme val="minor"/>
      </rPr>
      <t>**</t>
    </r>
  </si>
  <si>
    <r>
      <t>CO</t>
    </r>
    <r>
      <rPr>
        <b/>
        <vertAlign val="subscript"/>
        <sz val="10"/>
        <rFont val="Aptos Narrow"/>
        <family val="2"/>
        <scheme val="minor"/>
      </rPr>
      <t>2</t>
    </r>
  </si>
  <si>
    <t>Source: BCA Guidance for Discretionary Grant Programs - December 2023</t>
  </si>
  <si>
    <t>Received 10/7/2024 from Mychael Flynn (ODOT)</t>
  </si>
  <si>
    <t>Category</t>
  </si>
  <si>
    <t>Task</t>
  </si>
  <si>
    <t>Start</t>
  </si>
  <si>
    <t>End</t>
  </si>
  <si>
    <t>Quarters</t>
  </si>
  <si>
    <t>Q1</t>
  </si>
  <si>
    <t>Q2</t>
  </si>
  <si>
    <t>Q3</t>
  </si>
  <si>
    <t>Q4</t>
  </si>
  <si>
    <t>Preliminary Design</t>
  </si>
  <si>
    <t>Preliminary Study</t>
  </si>
  <si>
    <t>x</t>
  </si>
  <si>
    <t>Survey</t>
  </si>
  <si>
    <t>Preliminary Design (up to 65%)</t>
  </si>
  <si>
    <t>Access Justification Report (AJR)</t>
  </si>
  <si>
    <t>NEPA (DCE)</t>
  </si>
  <si>
    <t>Right of Way Acquisition (if necessary)</t>
  </si>
  <si>
    <t>Utilities</t>
  </si>
  <si>
    <t>Utility Relocation</t>
  </si>
  <si>
    <t>Final Plans</t>
  </si>
  <si>
    <t>Obligation of Funds</t>
  </si>
  <si>
    <t>Authorization &amp; Letting</t>
  </si>
  <si>
    <t>Construction</t>
  </si>
  <si>
    <t>Source:</t>
  </si>
  <si>
    <t>Preliminary Construction Cost Estimate</t>
  </si>
  <si>
    <t>Date:</t>
  </si>
  <si>
    <t>Item</t>
  </si>
  <si>
    <t>Percent (if applicable)</t>
  </si>
  <si>
    <t>Cost (2022$)</t>
  </si>
  <si>
    <t>Roadway</t>
  </si>
  <si>
    <t>Surfacing</t>
  </si>
  <si>
    <t>Earthwork</t>
  </si>
  <si>
    <t>Erosion Control</t>
  </si>
  <si>
    <t>Removals</t>
  </si>
  <si>
    <t>Bridge A</t>
  </si>
  <si>
    <t>Traffic</t>
  </si>
  <si>
    <t>Signage and Striping</t>
  </si>
  <si>
    <t>Utility</t>
  </si>
  <si>
    <t>Traffic Control</t>
  </si>
  <si>
    <t>Traffic Safety</t>
  </si>
  <si>
    <t>Sub-Total</t>
  </si>
  <si>
    <t>Staking</t>
  </si>
  <si>
    <t>Mobilization</t>
  </si>
  <si>
    <t>E&amp;C</t>
  </si>
  <si>
    <t>Total</t>
  </si>
  <si>
    <t>Inputs</t>
  </si>
  <si>
    <t>Start Year</t>
  </si>
  <si>
    <t>End Year</t>
  </si>
  <si>
    <t>Total Quarters</t>
  </si>
  <si>
    <t>Q1 2023</t>
  </si>
  <si>
    <t>Q2 2025</t>
  </si>
  <si>
    <t>Q3 2025</t>
  </si>
  <si>
    <t>Q2 2026</t>
  </si>
  <si>
    <t>Q3 2026</t>
  </si>
  <si>
    <t>Q2 2029</t>
  </si>
  <si>
    <t>Year</t>
  </si>
  <si>
    <t>Utility (2022$)</t>
  </si>
  <si>
    <t>Construction (2022$)</t>
  </si>
  <si>
    <t>Total (2022$)</t>
  </si>
  <si>
    <t>Utility (Discounted 3.1%)</t>
  </si>
  <si>
    <t>Construction (Discounted 3.1%)</t>
  </si>
  <si>
    <t>Total (Discounted 3.1%)</t>
  </si>
  <si>
    <t>Project Year</t>
  </si>
  <si>
    <t>AADT Passenger Vehicles</t>
  </si>
  <si>
    <t>AADT Trucks</t>
  </si>
  <si>
    <t>CAGR (2020 to 2040)</t>
  </si>
  <si>
    <t>Analysis Year</t>
  </si>
  <si>
    <t>Truck</t>
  </si>
  <si>
    <t>Truck VMT Avoided</t>
  </si>
  <si>
    <t>Calculations</t>
  </si>
  <si>
    <t>Bridge Condition and Closures</t>
  </si>
  <si>
    <t xml:space="preserve">Table 22. Bridge Details </t>
  </si>
  <si>
    <t>Variable</t>
  </si>
  <si>
    <t>Bridge Currently Closed or Load Posted? (NBI)</t>
  </si>
  <si>
    <t>A</t>
  </si>
  <si>
    <t>NBI Coding Translation</t>
  </si>
  <si>
    <t>Open, no restriction</t>
  </si>
  <si>
    <t>Current Superstructure Condition Rating</t>
  </si>
  <si>
    <t>Current Operating Rating (metric tons)</t>
  </si>
  <si>
    <t>Table 23. Forecasted Condition Rating</t>
  </si>
  <si>
    <t>Bridge Component and Rating</t>
  </si>
  <si>
    <t>Condition Rating Reference Value</t>
  </si>
  <si>
    <t>NBIAS Forecast Year</t>
  </si>
  <si>
    <t>Overall Condition Rating 3</t>
  </si>
  <si>
    <t>Overall Condition Rating 2</t>
  </si>
  <si>
    <t>Superstructure Condition Rating 4</t>
  </si>
  <si>
    <t>Superstructure Condition Rating 3</t>
  </si>
  <si>
    <t xml:space="preserve">Note: Using FHWA's NBIAS software program, FHWA has estimated the expected year in which the bridge will enter a minimum condition rating of 3 and 2. </t>
  </si>
  <si>
    <t>See guidance Appendix B: NBIAS for how forecast of closure and load posting is calculated.</t>
  </si>
  <si>
    <t>Table 25. Anticipated Closure</t>
  </si>
  <si>
    <t>Closure Level</t>
  </si>
  <si>
    <t>Forecast Year</t>
  </si>
  <si>
    <t>Year 
(Note: Set to 2070 if unused)</t>
  </si>
  <si>
    <t>% Reduction in All Traffic</t>
  </si>
  <si>
    <t>Explanation for year if not reference; for % reduction</t>
  </si>
  <si>
    <t>Closure</t>
  </si>
  <si>
    <t>2052; Based on when year Overall Condition Rating 2 is reached plus average time to closure of 3.68 years</t>
  </si>
  <si>
    <t>Bridge anticipated to be close ahead of NBIAS forecast based on engineering study.</t>
  </si>
  <si>
    <t>Source: BIP_BCA_Tool_v1.0.4_12282023.xlsb</t>
  </si>
  <si>
    <t xml:space="preserve">Table 1. Bridge Variables </t>
  </si>
  <si>
    <t>Bridge Variables</t>
  </si>
  <si>
    <t>Bridge Values</t>
  </si>
  <si>
    <t>State</t>
  </si>
  <si>
    <t>Oklahoma</t>
  </si>
  <si>
    <t>County</t>
  </si>
  <si>
    <t>Sequoyah</t>
  </si>
  <si>
    <t>Structure Number</t>
  </si>
  <si>
    <t>170510000000000</t>
  </si>
  <si>
    <t>Inventory Route</t>
  </si>
  <si>
    <t>00040</t>
  </si>
  <si>
    <t>Feature Intersected</t>
  </si>
  <si>
    <t>'ARKANSAS RIVER'</t>
  </si>
  <si>
    <t>Facility Carried</t>
  </si>
  <si>
    <t>'I-40'</t>
  </si>
  <si>
    <t>Latitude</t>
  </si>
  <si>
    <t>35° 29' 16.49"</t>
  </si>
  <si>
    <t>Longitude</t>
  </si>
  <si>
    <t>-95° 05' 38.05"</t>
  </si>
  <si>
    <t>Bridge Length (mi)</t>
  </si>
  <si>
    <t>Bypass, Detour Length (mi)</t>
  </si>
  <si>
    <t>Owner</t>
  </si>
  <si>
    <t>01</t>
  </si>
  <si>
    <t>Functional Class, Rural/Urban</t>
  </si>
  <si>
    <t>Bridge Road Type</t>
  </si>
  <si>
    <t>Rural - Principal Arterial - Interstate</t>
  </si>
  <si>
    <t>Year Built</t>
  </si>
  <si>
    <t>Year Reconstructed</t>
  </si>
  <si>
    <t>Lanes on the Structure</t>
  </si>
  <si>
    <t>Annual Truck Traffic</t>
  </si>
  <si>
    <t>Travel Time Savings (hours)</t>
  </si>
  <si>
    <t>Total Travel Time Savings- Trucks (hours)</t>
  </si>
  <si>
    <t>Travel Time Savings (2022$)</t>
  </si>
  <si>
    <t>Discount Rate (3.1%)</t>
  </si>
  <si>
    <t>Calcuations</t>
  </si>
  <si>
    <t>Travel Time Difference (minutes)</t>
  </si>
  <si>
    <t>Passenger Vehicles</t>
  </si>
  <si>
    <t>Annual VMT Avoided - Truck</t>
  </si>
  <si>
    <t>Vehicle Operating Cost Avoided (2022$)</t>
  </si>
  <si>
    <t>Discounted 3.1%</t>
  </si>
  <si>
    <t>Congestion Total (2022$)</t>
  </si>
  <si>
    <t>Noise Total (2022$)</t>
  </si>
  <si>
    <t>Pavement Wear Total (2022$)</t>
  </si>
  <si>
    <t>VOC (metric tons/miles)</t>
  </si>
  <si>
    <r>
      <t>NO</t>
    </r>
    <r>
      <rPr>
        <b/>
        <vertAlign val="subscript"/>
        <sz val="10"/>
        <rFont val="Aptos Narrow"/>
        <family val="2"/>
        <scheme val="minor"/>
      </rPr>
      <t>X</t>
    </r>
    <r>
      <rPr>
        <b/>
        <sz val="10"/>
        <rFont val="Aptos Narrow"/>
        <family val="2"/>
        <scheme val="minor"/>
      </rPr>
      <t xml:space="preserve"> (metric tons/miles)</t>
    </r>
  </si>
  <si>
    <r>
      <t>SO</t>
    </r>
    <r>
      <rPr>
        <b/>
        <vertAlign val="subscript"/>
        <sz val="10"/>
        <rFont val="Aptos Narrow"/>
        <family val="2"/>
        <scheme val="minor"/>
      </rPr>
      <t>X</t>
    </r>
    <r>
      <rPr>
        <b/>
        <sz val="10"/>
        <rFont val="Aptos Narrow"/>
        <family val="2"/>
        <scheme val="minor"/>
      </rPr>
      <t xml:space="preserve"> (metric tons/miles)</t>
    </r>
  </si>
  <si>
    <r>
      <t>PM</t>
    </r>
    <r>
      <rPr>
        <b/>
        <vertAlign val="subscript"/>
        <sz val="10"/>
        <rFont val="Aptos Narrow"/>
        <family val="2"/>
        <scheme val="minor"/>
      </rPr>
      <t>2.5</t>
    </r>
    <r>
      <rPr>
        <b/>
        <sz val="10"/>
        <rFont val="Aptos Narrow"/>
        <family val="2"/>
        <scheme val="minor"/>
      </rPr>
      <t>** (metric tons/miles)</t>
    </r>
  </si>
  <si>
    <r>
      <t>CO</t>
    </r>
    <r>
      <rPr>
        <b/>
        <vertAlign val="subscript"/>
        <sz val="10"/>
        <rFont val="Aptos Narrow"/>
        <family val="2"/>
        <scheme val="minor"/>
      </rPr>
      <t>2</t>
    </r>
    <r>
      <rPr>
        <b/>
        <sz val="10"/>
        <rFont val="Aptos Narrow"/>
        <family val="2"/>
        <scheme val="minor"/>
      </rPr>
      <t xml:space="preserve"> (metric tons/miles)</t>
    </r>
  </si>
  <si>
    <t>Discounted 3.1% (excecpt CO2)</t>
  </si>
  <si>
    <t>Discount 2% (CO2 only)</t>
  </si>
  <si>
    <t>Total Discounted 3.1% (except CO2, discounted at 2%)</t>
  </si>
  <si>
    <t>Increase in number of deaths</t>
  </si>
  <si>
    <t>Emergency Services Savings</t>
  </si>
  <si>
    <t>Discounted Savings (3.1%)</t>
  </si>
  <si>
    <t>Survival probability = survival probability after out-of-hospital cardiac arrest due to ventricular fibrillation</t>
  </si>
  <si>
    <t xml:space="preserve">ICPR = time interval from collapse to CPR </t>
  </si>
  <si>
    <t>IDefib = time interval from collapse to defibrillation</t>
  </si>
  <si>
    <t xml:space="preserve">1. Determine the EMS provider that will temporarily replace the EMS provider that is out of service </t>
  </si>
  <si>
    <t>2. Establish the distance between the two emergency responders</t>
  </si>
  <si>
    <t>Miles</t>
  </si>
  <si>
    <t xml:space="preserve">3. Estimate the population served by the non-operating EMS provider </t>
  </si>
  <si>
    <t>4. Determine the dollar loss expected due to the shutdown</t>
  </si>
  <si>
    <t>Number of cardiac arrests per year</t>
  </si>
  <si>
    <t>Survival probability</t>
  </si>
  <si>
    <t>Number of death per year</t>
  </si>
  <si>
    <t>Asset</t>
  </si>
  <si>
    <t>Used Service Life (years)</t>
  </si>
  <si>
    <t>Remaining Value (2022$)</t>
  </si>
  <si>
    <t>Useful Life</t>
  </si>
  <si>
    <t>Table 10.1 - GROSS DOMESTIC PRODUCT AND DEFLATORS USED IN THE HISTORICAL TABLES:  1940 - 2029</t>
  </si>
  <si>
    <t>(Fiscal Year 2017 = 1.000)</t>
  </si>
  <si>
    <t>Fiscal Year</t>
  </si>
  <si>
    <t>GDP (in
billions of
dollars)</t>
  </si>
  <si>
    <t>GDP
(Chained)
Price Index</t>
  </si>
  <si>
    <t>Composite Outlay Deflators</t>
  </si>
  <si>
    <t>Total
Defense</t>
  </si>
  <si>
    <t>Total
Nondefense</t>
  </si>
  <si>
    <t>Payment for Individuals</t>
  </si>
  <si>
    <t>Other
Grants</t>
  </si>
  <si>
    <t>Net Interest</t>
  </si>
  <si>
    <t>Undis-
tributed
Offsetting
Receipts</t>
  </si>
  <si>
    <t>All Other</t>
  </si>
  <si>
    <t>Addendum: Direct Capital</t>
  </si>
  <si>
    <t>Direct</t>
  </si>
  <si>
    <t>Grants</t>
  </si>
  <si>
    <t>Defense</t>
  </si>
  <si>
    <t>Nondefense</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</si>
  <si>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</si>
  <si>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</si>
  <si>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</si>
  <si>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</si>
  <si>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</si>
  <si>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</si>
  <si>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</si>
  <si>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</si>
  <si>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</si>
  <si>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</si>
  <si>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</si>
  <si>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</si>
  <si>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</si>
  <si>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</si>
  <si>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</si>
  <si>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</si>
  <si>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</si>
  <si>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</si>
  <si>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</si>
  <si>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</si>
  <si>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</si>
  <si>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</si>
  <si>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</si>
  <si>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</si>
  <si>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</si>
  <si>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</si>
  <si>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</si>
  <si>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</si>
  <si>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</si>
  <si>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</si>
  <si>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</si>
  <si>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</si>
  <si>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</si>
  <si>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</si>
  <si>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</si>
  <si>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</si>
  <si>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</si>
  <si>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TQ</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</si>
  <si>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</si>
  <si>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</si>
  <si>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</si>
  <si>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</si>
  <si>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</si>
  <si>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</si>
  <si>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</si>
  <si>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</si>
  <si>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</si>
  <si>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</si>
  <si>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</si>
  <si>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</si>
  <si>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</si>
  <si>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</si>
  <si>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</si>
  <si>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</si>
  <si>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</si>
  <si>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</si>
  <si>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</si>
  <si>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</si>
  <si>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</si>
  <si>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</si>
  <si>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</si>
  <si>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</si>
  <si>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</si>
  <si>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</si>
  <si>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</si>
  <si>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</si>
  <si>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</si>
  <si>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</si>
  <si>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</si>
  <si>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</si>
  <si>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</si>
  <si>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</si>
  <si>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</si>
  <si>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</si>
  <si>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</si>
  <si>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</si>
  <si>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</si>
  <si>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</si>
  <si>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</si>
  <si>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</si>
  <si>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</si>
  <si>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</si>
  <si>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</si>
  <si>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</si>
  <si>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</si>
  <si>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 estimate</t>
  </si>
  <si>
    <t>2025 estimate</t>
  </si>
  <si>
    <t>2026 estimate</t>
  </si>
  <si>
    <t>2027 estimate</t>
  </si>
  <si>
    <t>2028 estimate</t>
  </si>
  <si>
    <t>2029 estimate</t>
  </si>
  <si>
    <t>Note: Constant dollar research and development outlays are based on the GDP (chained) price index.</t>
  </si>
  <si>
    <t>O&amp;M Costs Avoided (2022$)</t>
  </si>
  <si>
    <t>Discounted (3.1%)</t>
  </si>
  <si>
    <t>Emergency Medical Response</t>
  </si>
  <si>
    <t>Construction Travel Time Disbenefits</t>
  </si>
  <si>
    <t>Construction Close Date- Start</t>
  </si>
  <si>
    <t>Construction Close Date- End</t>
  </si>
  <si>
    <t>Half Year Benefits</t>
  </si>
  <si>
    <t>Disbenefit</t>
  </si>
  <si>
    <t>Construction zone speed limit</t>
  </si>
  <si>
    <t>Construction Zone Length (miles)</t>
  </si>
  <si>
    <t>Travel Time Delays (hours)</t>
  </si>
  <si>
    <t>Travel Distance Difference (miles)</t>
  </si>
  <si>
    <t>Crash Modification Factor -Central Median Value</t>
  </si>
  <si>
    <t>Travel Time Difference (hour)</t>
  </si>
  <si>
    <t>Total Delay Time- Trucks (hours)</t>
  </si>
  <si>
    <t>https://www.ncsl.org/transportation/state-strategies-to-boost-work-zone-safety-on-roadways</t>
  </si>
  <si>
    <t>https://files.hudexchange.info/course-content/ndrc-nofa-benefit-cost-analysis-data-resources-and-expert-tips-webinar/FEMA-BCAR-Resource.pdf</t>
  </si>
  <si>
    <t>https://www.google.com/maps/dir/Webbers+Falls/Northeastern+Health+System+Sequoyah,+213+E+Redwood+Ave,+Sallisaw,+OK+74955/@35.4879792,-95.0359283,29965m/data=!3m2!1e3!4b1!4m14!4m13!1m5!1m1!1s0x87b5f39196585e65:0x1eee02ac612283a6!2m2!1d-95.1299597!2d35.5109296!1m5!1m1!1s0x87ca6b366ab11895:0x2c46a12c05bc51fa!2m2!1d-94.788264!2d35.4638319!3e0?entry=ttu&amp;g_ep=EgoyMDI0MTAxNi4wIKXMDSoASAFQAw%3D%3D</t>
  </si>
  <si>
    <t>https://www.google.com/maps/dir/Webbers+Falls/St+Francis+Hospital+Muskogee,+300+Edna+M.+Rockefeller+Dr,+Muskogee,+OK+74401/@35.6062488,-95.2794009,65258m/data=!3m2!1e3!5s0x87b5dfcd6dd0f759:0xa02a4ac86390388f!4m14!4m13!1m5!1m1!1s0x87b5f39196585e65:0x1eee02ac612283a6!2m2!1d-95.1299597!2d35.5109296!1m5!1m1!1s0x87b5dfcd130ade29:0xf1adf528f9a96096!2m2!1d-95.406145!2d35.7524746!3e0?entry=ttu&amp;g_ep=EgoyMDI0MTAxNi4wIKXMDSoASAFQAw%3D%3D</t>
  </si>
  <si>
    <t>Special Inspection (2022$)</t>
  </si>
  <si>
    <t>Annual O&amp;M Cost- Maintenance and Operations (2024$)</t>
  </si>
  <si>
    <t>Special Inspection- Every 2 Years (2024$)</t>
  </si>
  <si>
    <t>Rehabilitation (at year 5) (2024$)</t>
  </si>
  <si>
    <t>Additional Rehabilitation (25 years after initial rehab) (2024$)</t>
  </si>
  <si>
    <t>Annual O&amp;M Cost- Maintenance and Operations (2022$)</t>
  </si>
  <si>
    <t>Special Inspection- Every 2 Years (2022$)</t>
  </si>
  <si>
    <t>NBI and NSTM Inspection (2022$)</t>
  </si>
  <si>
    <t>Rehabilitation (at year 5) (2022$)</t>
  </si>
  <si>
    <t>Additional Rehabilitation (25 years after initial rehab) (2022$)</t>
  </si>
  <si>
    <t>ODOT- Email provided by Jason Giebler, P.E., S.E. (Bridge Division) on October 18 2024</t>
  </si>
  <si>
    <t>NBI and NSTM Inspection- Every 2 Years (2024$)</t>
  </si>
  <si>
    <t>Under water inspection- Every 5 Years (2024$)</t>
  </si>
  <si>
    <t>NBI and NSTM Inspection- Every 2 Years (2022$)</t>
  </si>
  <si>
    <t>Under water inspection- Every 5 Years (2022$)</t>
  </si>
  <si>
    <t>Under water inspection (2022$)</t>
  </si>
  <si>
    <t>TR Reviewed</t>
  </si>
  <si>
    <t>VMT for Bridge- Shoulder Widening</t>
  </si>
  <si>
    <t>VMT for Construction Workzone</t>
  </si>
  <si>
    <t>Length of I-40 Bridge (miles)</t>
  </si>
  <si>
    <t>https://www.google.com/maps/dir/35.4858898,-95.0994913/35.4875591,-95.0950024/@35.4874547,-95.0992417,17.75z/data=!4m2!4m1!3e0?entry=ttu&amp;g_ep=EgoyMDI0MTAxNi4wIKXMDSoASAFQAw%3D%3D</t>
  </si>
  <si>
    <t>Silane Bridge Deck (2022$)</t>
  </si>
  <si>
    <t>Construction- Other</t>
  </si>
  <si>
    <t>Construction- Bridge</t>
  </si>
  <si>
    <t>Roadway (2022$)</t>
  </si>
  <si>
    <t>Roadway (Discounted 3.1%)</t>
  </si>
  <si>
    <t>Overall Condition Rating 3 (Truck Close Year)</t>
  </si>
  <si>
    <t>Average time for bridge to close (years)</t>
  </si>
  <si>
    <t>Screenshots from BIP BCA Tool</t>
  </si>
  <si>
    <t>Fatal Crashes per 100 million VMT - 2021 (Muskogee County)</t>
  </si>
  <si>
    <t>Total Crashes per 100 million VMT- 2021 (Muskogee County)</t>
  </si>
  <si>
    <t>PDO Crashes per 100 million VMT- 2023 (Muskogee County)</t>
  </si>
  <si>
    <t>Injuries per 100 million VMT- 2021 (Muskogee County)</t>
  </si>
  <si>
    <t>Fatal Crashes per 100 million VMT - 2021 (Sequoyah County)</t>
  </si>
  <si>
    <t>Injuries per 100 million VMT- 2021 (Sequoyah County)</t>
  </si>
  <si>
    <t>Total Crashes per 100 million VMT- 2021 (Sequoyah County)</t>
  </si>
  <si>
    <t>PDO Crashes per 100 million VMT- 2023 (Sequoyah County)</t>
  </si>
  <si>
    <t>https://oklahoma.gov/content/dam/ok/en/highwaysafety/documents/the-work-we-do/crash-data/2021_s1_summarybackground.pdf</t>
  </si>
  <si>
    <t>Calculation</t>
  </si>
  <si>
    <t>Average Fatalities per 100 million VMT for Mukogee and Sequoyah County</t>
  </si>
  <si>
    <t>Average Injuries per 100 million VMT for Mukogee and Sequoyah County</t>
  </si>
  <si>
    <t>Average PDO Crashes per 100 million VMT for Mukogee and Sequoyah County</t>
  </si>
  <si>
    <t>100 million multiplier</t>
  </si>
  <si>
    <t>Fatalities avoided (per 100 million VMT)</t>
  </si>
  <si>
    <t>Injuries avoided (per 100 million VMT)</t>
  </si>
  <si>
    <t>Crashes avoided (per 100 million VMT)</t>
  </si>
  <si>
    <t>Fatalities (per 100 million VMT)</t>
  </si>
  <si>
    <t>Injuries (per 100 million VMT)</t>
  </si>
  <si>
    <t>Crashes (per 100 million VMT)</t>
  </si>
  <si>
    <t>Webbers Falls to Sequoyah Hospital (miles)</t>
  </si>
  <si>
    <t>Webbers Falls to Saint Francis (miles)</t>
  </si>
  <si>
    <t>Webbers Falls Population (2020 Dicennial)</t>
  </si>
  <si>
    <t>https://data.census.gov/table/DECENNIALDHC2020.P1?q=Webbers%20Falls%20town,%20Oklahoma</t>
  </si>
  <si>
    <t>Before closure</t>
  </si>
  <si>
    <t>After closure</t>
  </si>
  <si>
    <t>Response time (before bridge closure)</t>
  </si>
  <si>
    <t>Response time (after bridge closure)</t>
  </si>
  <si>
    <t>AADT</t>
  </si>
  <si>
    <t>Annual Traffic</t>
  </si>
  <si>
    <t>VMT Avoided from Detour (build)</t>
  </si>
  <si>
    <t xml:space="preserve">Truck VMT on Bridge </t>
  </si>
  <si>
    <t>Truck VMT - Construction</t>
  </si>
  <si>
    <t>Accident Data - center median (no construction)</t>
  </si>
  <si>
    <t>Accident Data - no center median (construction)</t>
  </si>
  <si>
    <t>Validation and Application of Highway Safety Manual (Part D) in Florida, Abdel-Aty et al., 2014, https://rosap.ntl.bts.gov/view/dot/27272</t>
  </si>
  <si>
    <t xml:space="preserve">Under the build condition, the Project will replace the existing I-40 bridge with a new bridge that will meet the ODOT design standards. The Project will eliminate the likelihood of posted limits or lane closures over the analysis period. </t>
  </si>
  <si>
    <t>Baseline Problem to be Addressed</t>
  </si>
  <si>
    <t>Change in Baseline</t>
  </si>
  <si>
    <t>Fatal Crashes per 100 million VMT</t>
  </si>
  <si>
    <t>Injuries per 100 million VMT</t>
  </si>
  <si>
    <t>PDO Crashes per 100 million VMT</t>
  </si>
  <si>
    <t>Muskogee County</t>
  </si>
  <si>
    <t>Sequoyah County</t>
  </si>
  <si>
    <t>Average</t>
  </si>
  <si>
    <t>Accident Severity</t>
  </si>
  <si>
    <t>https://www.inchcalculator.com/convert/minute-to-hour/</t>
  </si>
  <si>
    <t>https://www.omnicalculator.com/conversion/number-to-million</t>
  </si>
  <si>
    <t>NBI and NSTM Inspection (2024$)</t>
  </si>
  <si>
    <t>Silane Bridge Deck (2024$)</t>
  </si>
  <si>
    <t>Travel Time Disbenefits (2022$)</t>
  </si>
  <si>
    <t>Safety and Mobility</t>
  </si>
  <si>
    <t>Climate Change, Sustainability, Resiliency, and the Environment</t>
  </si>
  <si>
    <t>I-40 Freeflow Speed Limit (miles/hour)</t>
  </si>
  <si>
    <t>https://okdot.maps.arcgis.com/apps/webappviewer/index.html?id=6555de44b6314ab2a71bb0620e52ea78</t>
  </si>
  <si>
    <t>Annual Passenger Vehicle Traffic</t>
  </si>
  <si>
    <t>Passenger Vehicle</t>
  </si>
  <si>
    <t>Passenger Vehicle VMT Avoided</t>
  </si>
  <si>
    <t>Passenger Vehicle VMT on Bridge</t>
  </si>
  <si>
    <t>Passenger Vehicle VMT - Construction</t>
  </si>
  <si>
    <t>Annual VMT Avoided - Passenger Vehicle</t>
  </si>
  <si>
    <t>Total Travel Time Savings- Passenger Vehicle (hours)</t>
  </si>
  <si>
    <t>Annual VMT on I-40 Bridge- Truck</t>
  </si>
  <si>
    <t>Annual VMT on I-40 Bridge - Passenger Vehicle</t>
  </si>
  <si>
    <t>Time to travel across bridge at 70 mph (hour)</t>
  </si>
  <si>
    <t>Quarter Year Benefits</t>
  </si>
  <si>
    <t>Emergency Response Savings</t>
  </si>
  <si>
    <t>https://nepis.epa.gov/Exe/ZyPURL.cgi?Dockey=P100EVXP.txt</t>
  </si>
  <si>
    <t>Warm Asphalt mix</t>
  </si>
  <si>
    <t>3D Digital Project Plans</t>
  </si>
  <si>
    <t>Accelerated Bridge Construction</t>
  </si>
  <si>
    <t>Project End Year</t>
  </si>
  <si>
    <t>Partial Year Benefits for Benefits Period</t>
  </si>
  <si>
    <t>Construction Start Year</t>
  </si>
  <si>
    <t>Construction End Year</t>
  </si>
  <si>
    <t>Partial Year Benefits for Construction Period</t>
  </si>
  <si>
    <t>VMT</t>
  </si>
  <si>
    <t>VMT (millions)</t>
  </si>
  <si>
    <t>Total VMT Avoided</t>
  </si>
  <si>
    <t>Vehicle Type</t>
  </si>
  <si>
    <t>Truck Percent</t>
  </si>
  <si>
    <t>Truck percent</t>
  </si>
  <si>
    <t>Increase in travel distance for detoured traffic (travel distance increases from 4 to 8 miles through project area for detoured traffic)</t>
  </si>
  <si>
    <t>Increase in travel time for detoured traffic through Project area (travel time increases from 3.4 to 11 minutes for detoured traffic)</t>
  </si>
  <si>
    <t>Annual Traffic Diverted during Benefits Period</t>
  </si>
  <si>
    <t>Congestion Factor</t>
  </si>
  <si>
    <t>Backcheck complete on 10/23</t>
  </si>
  <si>
    <t>Construction Impacts - Increased Fatalities and Crashes (Passenger Vehicles)</t>
  </si>
  <si>
    <t>Construction Impacts - Increased Fatalities and Crashes (Trucks)</t>
  </si>
  <si>
    <t>Reduced Roadway Fatalities and Crashes (Passenger Vehicles)</t>
  </si>
  <si>
    <t>Reduced Roadway Fatalities and Crashes (Trucks)</t>
  </si>
  <si>
    <t>Shoulder Widening (Passenger Vehicles)</t>
  </si>
  <si>
    <t>Shoulder Widening (Trucks)</t>
  </si>
  <si>
    <t>Travel Time Savings (Passenger Vehicles)</t>
  </si>
  <si>
    <t>Travel Time Savings (Trucks)</t>
  </si>
  <si>
    <t>Vehicle Operating Cost Avoided from Detours (Passenger Vehicles)</t>
  </si>
  <si>
    <t>Vehicle Operating Cost Avoided from Detours (Trucks)</t>
  </si>
  <si>
    <t>Congestion Reduction (Passenger Vehicles)</t>
  </si>
  <si>
    <t>Congestion Reduction (Trucks)</t>
  </si>
  <si>
    <t>Reliability from Detours (Passenger Vehicles)</t>
  </si>
  <si>
    <t>Reliability from Detours (Trucks)</t>
  </si>
  <si>
    <t>Emissions Avoided* (Passenger Vehicles)</t>
  </si>
  <si>
    <t>Emissions Avoided* (Trucks)</t>
  </si>
  <si>
    <t>Noise Avoided (Passenger Vehicles)</t>
  </si>
  <si>
    <t>Noise Avoided (Trucks)</t>
  </si>
  <si>
    <t>Pavement Cost Avoided (Trucks)</t>
  </si>
  <si>
    <t>Construction Impacts - Additional Travel Time (Trucks)</t>
  </si>
  <si>
    <t>Q3 2029 to Q2 2058</t>
  </si>
  <si>
    <t>Google Maps</t>
  </si>
  <si>
    <t>https://publications.iowa.gov/27272/1/Final%20Report_work_zone_activity_traffic_flow_impacts_w_cvr.pdf</t>
  </si>
  <si>
    <t>Annual VMT on Bridge- Passenger Vehicle</t>
  </si>
  <si>
    <t>Annual VMT on Bridge - Truck</t>
  </si>
  <si>
    <t>Fatalities increased from CMF</t>
  </si>
  <si>
    <t>Injuries increased from CMF</t>
  </si>
  <si>
    <t>Crashes increased  from CMF</t>
  </si>
  <si>
    <t>Fatalities increased from CMF (2022$)</t>
  </si>
  <si>
    <t>Injuries increased from CMF (2022$)</t>
  </si>
  <si>
    <t>Crashes increased  from CMF (2022$)</t>
  </si>
  <si>
    <t>Replacement of the I-40 Bridge over the Arkansas River at Webbers Falls</t>
  </si>
  <si>
    <t>Construction Year</t>
  </si>
  <si>
    <t>Construction year</t>
  </si>
  <si>
    <t>New construction speed limit with congestion factor</t>
  </si>
  <si>
    <t>Time to travel across bridge at 43 mph (hour)</t>
  </si>
  <si>
    <t>Contingency</t>
  </si>
  <si>
    <t>9/4/2024 and Updated 10/23/2024 with contingencies</t>
  </si>
  <si>
    <t>KG to Metric Tons</t>
  </si>
  <si>
    <t>https://www.inchcalculator.com/convert/kilogram-to-metric-ton/</t>
  </si>
  <si>
    <t>VOC per mile - Heavy-Duty Trucks, g/mile</t>
  </si>
  <si>
    <t>Vlookup</t>
  </si>
  <si>
    <t>yearID</t>
  </si>
  <si>
    <t>vehicleClass</t>
  </si>
  <si>
    <t>pollutant</t>
  </si>
  <si>
    <t>emissionRate</t>
  </si>
  <si>
    <t>units</t>
  </si>
  <si>
    <t>linkDescription</t>
  </si>
  <si>
    <t>MPH</t>
  </si>
  <si>
    <t>Passenger</t>
  </si>
  <si>
    <t>NOX</t>
  </si>
  <si>
    <t>kg/mi</t>
  </si>
  <si>
    <t>Rural Restricted</t>
  </si>
  <si>
    <t>Trucks</t>
  </si>
  <si>
    <t>SOX</t>
  </si>
  <si>
    <t>CO2</t>
  </si>
  <si>
    <t>PM2.5</t>
  </si>
  <si>
    <t>Source: BIP BCA Tool v1.0.1</t>
  </si>
  <si>
    <t>Table A-15. MOVES Emission Factors</t>
  </si>
  <si>
    <t>2020PassengerNOXRural Restricted60</t>
  </si>
  <si>
    <t>2020PassengerSOXRural Restricted60</t>
  </si>
  <si>
    <t>2020PassengerCO2Rural Restricted60</t>
  </si>
  <si>
    <t>2020PassengerPM2.5Rural Restricted60</t>
  </si>
  <si>
    <t>2030PassengerNOXRural Restricted60</t>
  </si>
  <si>
    <t>2030PassengerSOXRural Restricted60</t>
  </si>
  <si>
    <t>2030PassengerCO2Rural Restricted60</t>
  </si>
  <si>
    <t>2030PassengerPM2.5Rural Restricted60</t>
  </si>
  <si>
    <t>2040PassengerNOXRural Restricted60</t>
  </si>
  <si>
    <t>2040PassengerSOXRural Restricted60</t>
  </si>
  <si>
    <t>2040PassengerCO2Rural Restricted60</t>
  </si>
  <si>
    <t>2040PassengerPM2.5Rural Restricted60</t>
  </si>
  <si>
    <t>2050PassengerNOXRural Restricted60</t>
  </si>
  <si>
    <t>2050PassengerSOXRural Restricted60</t>
  </si>
  <si>
    <t>2050PassengerCO2Rural Restricted60</t>
  </si>
  <si>
    <t>2050PassengerPM2.5Rural Restricted60</t>
  </si>
  <si>
    <t>2020TrucksNOXRural Restricted60</t>
  </si>
  <si>
    <t>2020TrucksSOXRural Restricted60</t>
  </si>
  <si>
    <t>2020TrucksCO2Rural Restricted60</t>
  </si>
  <si>
    <t>2020TrucksPM2.5Rural Restricted60</t>
  </si>
  <si>
    <t>2030TrucksNOXRural Restricted60</t>
  </si>
  <si>
    <t>2030TrucksSOXRural Restricted60</t>
  </si>
  <si>
    <t>2030TrucksCO2Rural Restricted60</t>
  </si>
  <si>
    <t>2030TrucksPM2.5Rural Restricted60</t>
  </si>
  <si>
    <t>2040TrucksNOXRural Restricted60</t>
  </si>
  <si>
    <t>2040TrucksSOXRural Restricted60</t>
  </si>
  <si>
    <t>2040TrucksCO2Rural Restricted60</t>
  </si>
  <si>
    <t>2040TrucksPM2.5Rural Restricted60</t>
  </si>
  <si>
    <t>2050TrucksNOXRural Restricted60</t>
  </si>
  <si>
    <t>2050TrucksSOXRural Restricted60</t>
  </si>
  <si>
    <t>2050TrucksCO2Rural Restricted60</t>
  </si>
  <si>
    <t>2050TrucksPM2.5Rural Restricted60</t>
  </si>
  <si>
    <t>NBI Code</t>
  </si>
  <si>
    <t>Roadway Types</t>
  </si>
  <si>
    <t>Average Speed (FHWA VHT)</t>
  </si>
  <si>
    <t>MOVES Roadway Type</t>
  </si>
  <si>
    <t>02</t>
  </si>
  <si>
    <t>Rural - Principal Arterial - Other</t>
  </si>
  <si>
    <t>06</t>
  </si>
  <si>
    <t>Rural - Minor Arterial</t>
  </si>
  <si>
    <t>Rural Unrestricted</t>
  </si>
  <si>
    <t>07</t>
  </si>
  <si>
    <t>Rural - Major Collector</t>
  </si>
  <si>
    <t>08</t>
  </si>
  <si>
    <t>Rural - Minor Collector</t>
  </si>
  <si>
    <t>09</t>
  </si>
  <si>
    <t xml:space="preserve">Rural - Local </t>
  </si>
  <si>
    <t>11</t>
  </si>
  <si>
    <t>Urban - Principal Arterial - Interstate</t>
  </si>
  <si>
    <t>Urban Restricted</t>
  </si>
  <si>
    <t>12</t>
  </si>
  <si>
    <t>Urban - Principal Arterial - Other Freeways or Expressways</t>
  </si>
  <si>
    <t>14</t>
  </si>
  <si>
    <t>Urban - Other Principal Arterial</t>
  </si>
  <si>
    <t>Urban Unrestricted</t>
  </si>
  <si>
    <t>16</t>
  </si>
  <si>
    <t>Urban - Minor Arterial</t>
  </si>
  <si>
    <t>17</t>
  </si>
  <si>
    <t>Urban - Collector</t>
  </si>
  <si>
    <t>19</t>
  </si>
  <si>
    <t>Urban - Local</t>
  </si>
  <si>
    <t>VOC (g/mile)</t>
  </si>
  <si>
    <t>Emissions Factors</t>
  </si>
  <si>
    <r>
      <t>Trucks- NO</t>
    </r>
    <r>
      <rPr>
        <b/>
        <vertAlign val="subscript"/>
        <sz val="10"/>
        <rFont val="Aptos Narrow"/>
        <family val="2"/>
        <scheme val="minor"/>
      </rPr>
      <t>X</t>
    </r>
    <r>
      <rPr>
        <b/>
        <sz val="10"/>
        <rFont val="Aptos Narrow"/>
        <family val="2"/>
        <scheme val="minor"/>
      </rPr>
      <t xml:space="preserve"> (kg/mile)</t>
    </r>
  </si>
  <si>
    <r>
      <t>Trucks- SO</t>
    </r>
    <r>
      <rPr>
        <b/>
        <vertAlign val="subscript"/>
        <sz val="10"/>
        <rFont val="Aptos Narrow"/>
        <family val="2"/>
        <scheme val="minor"/>
      </rPr>
      <t>X</t>
    </r>
    <r>
      <rPr>
        <b/>
        <sz val="10"/>
        <rFont val="Aptos Narrow"/>
        <family val="2"/>
        <scheme val="minor"/>
      </rPr>
      <t xml:space="preserve"> (kg/mile)</t>
    </r>
  </si>
  <si>
    <r>
      <t>Trucks- PM</t>
    </r>
    <r>
      <rPr>
        <b/>
        <vertAlign val="subscript"/>
        <sz val="10"/>
        <rFont val="Aptos Narrow"/>
        <family val="2"/>
        <scheme val="minor"/>
      </rPr>
      <t>2.5</t>
    </r>
    <r>
      <rPr>
        <b/>
        <sz val="10"/>
        <rFont val="Aptos Narrow"/>
        <family val="2"/>
        <scheme val="minor"/>
      </rPr>
      <t>** (kg/mile)</t>
    </r>
  </si>
  <si>
    <r>
      <t>Trucks- CO</t>
    </r>
    <r>
      <rPr>
        <b/>
        <vertAlign val="subscript"/>
        <sz val="10"/>
        <rFont val="Aptos Narrow"/>
        <family val="2"/>
        <scheme val="minor"/>
      </rPr>
      <t>2</t>
    </r>
    <r>
      <rPr>
        <b/>
        <sz val="10"/>
        <rFont val="Aptos Narrow"/>
        <family val="2"/>
        <scheme val="minor"/>
      </rPr>
      <t xml:space="preserve"> (kg/mile)</t>
    </r>
  </si>
  <si>
    <r>
      <t>Passenger Vehicles- NO</t>
    </r>
    <r>
      <rPr>
        <b/>
        <vertAlign val="subscript"/>
        <sz val="10"/>
        <rFont val="Aptos Narrow"/>
        <family val="2"/>
        <scheme val="minor"/>
      </rPr>
      <t>X</t>
    </r>
    <r>
      <rPr>
        <b/>
        <sz val="10"/>
        <rFont val="Aptos Narrow"/>
        <family val="2"/>
        <scheme val="minor"/>
      </rPr>
      <t xml:space="preserve"> (kg/mile)</t>
    </r>
  </si>
  <si>
    <r>
      <t>Passenger Vehicles- SO</t>
    </r>
    <r>
      <rPr>
        <b/>
        <vertAlign val="subscript"/>
        <sz val="10"/>
        <rFont val="Aptos Narrow"/>
        <family val="2"/>
        <scheme val="minor"/>
      </rPr>
      <t>X</t>
    </r>
    <r>
      <rPr>
        <b/>
        <sz val="10"/>
        <rFont val="Aptos Narrow"/>
        <family val="2"/>
        <scheme val="minor"/>
      </rPr>
      <t xml:space="preserve"> (kg/mile)</t>
    </r>
  </si>
  <si>
    <r>
      <t>Passenger Vehicles- PM</t>
    </r>
    <r>
      <rPr>
        <b/>
        <vertAlign val="subscript"/>
        <sz val="10"/>
        <rFont val="Aptos Narrow"/>
        <family val="2"/>
        <scheme val="minor"/>
      </rPr>
      <t>2.5</t>
    </r>
    <r>
      <rPr>
        <b/>
        <sz val="10"/>
        <rFont val="Aptos Narrow"/>
        <family val="2"/>
        <scheme val="minor"/>
      </rPr>
      <t>** (kg/mile)</t>
    </r>
  </si>
  <si>
    <r>
      <t>Passenger Vehicles- CO</t>
    </r>
    <r>
      <rPr>
        <b/>
        <vertAlign val="subscript"/>
        <sz val="10"/>
        <rFont val="Aptos Narrow"/>
        <family val="2"/>
        <scheme val="minor"/>
      </rPr>
      <t>2</t>
    </r>
    <r>
      <rPr>
        <b/>
        <sz val="10"/>
        <rFont val="Aptos Narrow"/>
        <family val="2"/>
        <scheme val="minor"/>
      </rPr>
      <t xml:space="preserve"> (kg/mile)</t>
    </r>
  </si>
  <si>
    <t>Cost Type</t>
  </si>
  <si>
    <t>Analysis Period: Q3 2029 to Q2 2058</t>
  </si>
  <si>
    <t>Construction Impacts - Increased Fatalities and Crashes</t>
  </si>
  <si>
    <t>Reduced Roadway Fatalities and Crashes</t>
  </si>
  <si>
    <t>Shoulder Widening</t>
  </si>
  <si>
    <t>Construction Impacts</t>
  </si>
  <si>
    <t>Vehicle Operating Cost Avoided from Detours</t>
  </si>
  <si>
    <t>Emissions Avoided*</t>
  </si>
  <si>
    <t>Noise Avoided</t>
  </si>
  <si>
    <t>Congestion Reduction</t>
  </si>
  <si>
    <t>Reliability from Detours</t>
  </si>
  <si>
    <t>Travel Time Savings</t>
  </si>
  <si>
    <t>Pavement Cost Avoided</t>
  </si>
  <si>
    <t>Trucks + Passenger Vehicles Total</t>
  </si>
  <si>
    <t>2024$</t>
  </si>
  <si>
    <t>Construction Impacts - Additional Travel Time (Passenger Vehicles)</t>
  </si>
  <si>
    <t>Partial Year Benefits for Construction</t>
  </si>
  <si>
    <t>Factor</t>
  </si>
  <si>
    <t>Population Growth (assumes to be same as traffic CAGR)</t>
  </si>
  <si>
    <t>Total (Passenger Vehicle and Trucks) Summary</t>
  </si>
  <si>
    <r>
      <t>NO</t>
    </r>
    <r>
      <rPr>
        <b/>
        <vertAlign val="subscript"/>
        <sz val="12"/>
        <color rgb="FF000000"/>
        <rFont val="Arial"/>
        <family val="2"/>
      </rPr>
      <t>X</t>
    </r>
  </si>
  <si>
    <r>
      <t>SO</t>
    </r>
    <r>
      <rPr>
        <b/>
        <vertAlign val="subscript"/>
        <sz val="12"/>
        <color rgb="FF000000"/>
        <rFont val="Arial"/>
        <family val="2"/>
      </rPr>
      <t>X</t>
    </r>
  </si>
  <si>
    <r>
      <t>CO</t>
    </r>
    <r>
      <rPr>
        <b/>
        <vertAlign val="subscript"/>
        <sz val="12"/>
        <color rgb="FF000000"/>
        <rFont val="Arial"/>
        <family val="2"/>
      </rPr>
      <t>2</t>
    </r>
  </si>
  <si>
    <t>Model Run Year</t>
  </si>
  <si>
    <r>
      <t>PM</t>
    </r>
    <r>
      <rPr>
        <b/>
        <vertAlign val="subscript"/>
        <sz val="12"/>
        <color rgb="FF000000"/>
        <rFont val="Arial"/>
        <family val="2"/>
      </rPr>
      <t>2.5</t>
    </r>
  </si>
  <si>
    <r>
      <t>NO</t>
    </r>
    <r>
      <rPr>
        <b/>
        <vertAlign val="subscript"/>
        <sz val="12"/>
        <color rgb="FF000000"/>
        <rFont val="Arial"/>
        <family val="2"/>
      </rPr>
      <t>X</t>
    </r>
    <r>
      <rPr>
        <b/>
        <sz val="12"/>
        <color rgb="FF000000"/>
        <rFont val="Arial"/>
        <family val="2"/>
      </rPr>
      <t xml:space="preserve"> (kg/mi)</t>
    </r>
  </si>
  <si>
    <r>
      <t>SO</t>
    </r>
    <r>
      <rPr>
        <b/>
        <vertAlign val="subscript"/>
        <sz val="12"/>
        <color rgb="FF000000"/>
        <rFont val="Arial"/>
        <family val="2"/>
      </rPr>
      <t>X</t>
    </r>
    <r>
      <rPr>
        <b/>
        <sz val="12"/>
        <color rgb="FF000000"/>
        <rFont val="Arial"/>
        <family val="2"/>
      </rPr>
      <t xml:space="preserve"> (kg/mi)</t>
    </r>
  </si>
  <si>
    <r>
      <t>PM</t>
    </r>
    <r>
      <rPr>
        <b/>
        <vertAlign val="subscript"/>
        <sz val="12"/>
        <color rgb="FF000000"/>
        <rFont val="Arial"/>
        <family val="2"/>
      </rPr>
      <t>2.5</t>
    </r>
    <r>
      <rPr>
        <b/>
        <sz val="12"/>
        <color rgb="FF000000"/>
        <rFont val="Arial"/>
        <family val="2"/>
      </rPr>
      <t xml:space="preserve"> (kg/mi)</t>
    </r>
  </si>
  <si>
    <r>
      <t>CO</t>
    </r>
    <r>
      <rPr>
        <b/>
        <vertAlign val="subscript"/>
        <sz val="12"/>
        <color rgb="FF000000"/>
        <rFont val="Arial"/>
        <family val="2"/>
      </rPr>
      <t>2</t>
    </r>
    <r>
      <rPr>
        <b/>
        <sz val="12"/>
        <color rgb="FF000000"/>
        <rFont val="Arial"/>
        <family val="2"/>
      </rPr>
      <t xml:space="preserve"> (kg/mi)</t>
    </r>
  </si>
  <si>
    <t>Affected Population</t>
  </si>
  <si>
    <t>Roadway Users</t>
  </si>
  <si>
    <t>ODOT, Roadway Users</t>
  </si>
  <si>
    <t>Taxpayers, ODOT</t>
  </si>
  <si>
    <t>Roadway Users, Neighboring Communities</t>
  </si>
  <si>
    <t>Taxpayers, ODOT, Roadway Users</t>
  </si>
  <si>
    <t>Screenshot from BIP BCA Tool v1.01, tab 'Defaults', cells A380: H1728</t>
  </si>
  <si>
    <t>I-40 Bridge Replacement over the Arkansas River at Webbers Falls</t>
  </si>
  <si>
    <t>Annual Escalation</t>
  </si>
  <si>
    <t>Cost (2024$) (escalated)</t>
  </si>
  <si>
    <t>Total (2024$)</t>
  </si>
  <si>
    <t>Roadway (2024$)</t>
  </si>
  <si>
    <t>Utility (2024$)</t>
  </si>
  <si>
    <t>Construction (2024$)</t>
  </si>
  <si>
    <t>2024$ with escalation</t>
  </si>
  <si>
    <t>2024$ without escalation</t>
  </si>
  <si>
    <t>Escalation year</t>
  </si>
  <si>
    <t>2022$ without escalation</t>
  </si>
  <si>
    <t>Residual</t>
  </si>
  <si>
    <t>The baseline will not be constructed, and the I-40 bridge will continue operating with increasing likelihood of becoming structurally deficient. Absent the Project, ODOT anticipates that bridge conditions will warrant the need to post load limits that restrict truck access by 2038, at which time, freight truck traffic will have to detour. Under the load limits, westbound truck traffic would take Exit 291 and detour north on Carlisle Road (Oklahoma State Highway 10) before traveling northwest on US Highway 64 to Main Street in the town of Gore, where US Highway 64 merges with Oklahoma State Highway 100. Detoured trucks would continue on US Highway 64 southwest, continuing south on Oklahoma State Highway 100 at the fork until Oklahoma State Highway 100 at Exit 287. 
Absent the Project, ODOT anticipates the need to close the bridge to all traffic by 2052. At this time, I-40 will be closed to all traffic between Exit 287 and Exit 291, resulting in all traffic detouring on Oklahoma State Highway 10, US Highway 64, and Oklahoma State Highway 100.
This 8-mile, 11-minute detour will add approximately 4 miles and nearly 8 minutes of travel time for detoured trucks and passenger vehicles.</t>
  </si>
  <si>
    <t>Assumption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</si>
</sst>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
    <numFmt numFmtId="166" formatCode="\$0"/>
    <numFmt numFmtId="167" formatCode="_(* #,##0.0_);_(* \(#,##0.0\);_(* &quot;-&quot;??_);_(@_)"/>
    <numFmt numFmtId="168" formatCode="_(* #,##0_);_(* \(#,##0\);_(* &quot;-&quot;??_);_(@_)"/>
    <numFmt numFmtId="169" formatCode="&quot;$&quot;#,##0"/>
    <numFmt numFmtId="170" formatCode="##,##0.0"/>
    <numFmt numFmtId="171" formatCode="##,##0.0000"/>
    <numFmt numFmtId="172" formatCode="&quot;$&quot;#,##0.00"/>
    <numFmt numFmtId="173" formatCode="0.000"/>
    <numFmt numFmtId="174" formatCode="_(* #,##0.0_);_(* \(#,##0.0\);_(* &quot;-&quot;?_);_(@_)"/>
    <numFmt numFmtId="175" formatCode="&quot;$&quot;#,##0.000"/>
    <numFmt numFmtId="176" formatCode="_(&quot;$&quot;* #,##0_);_(&quot;$&quot;* \(#,##0\);_(&quot;$&quot;* &quot;-&quot;??_);_(@_)"/>
    <numFmt numFmtId="177" formatCode="0.0"/>
    <numFmt numFmtId="178" formatCode="0.0000"/>
    <numFmt numFmtId="179" formatCode="0.00000"/>
    <numFmt numFmtId="180" formatCode="_(* #,##0.000000_);_(* \(#,##0.000000\);_(* &quot;-&quot;??_);_(@_)"/>
    <numFmt numFmtId="181" formatCode="&quot;$&quot;#,##0.0"/>
  </numFmts>
  <fonts count="48"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E31837"/>
      <name val="Aptos Narrow"/>
      <family val="2"/>
      <scheme val="minor"/>
    </font>
    <font>
      <b/>
      <sz val="10"/>
      <color theme="1"/>
      <name val="Aptos Narrow"/>
      <family val="2"/>
      <scheme val="minor"/>
    </font>
    <font>
      <sz val="10"/>
      <color theme="1"/>
      <name val="Aptos Narrow"/>
      <family val="2"/>
      <scheme val="minor"/>
    </font>
    <font>
      <b/>
      <sz val="10"/>
      <name val="Aptos Narrow"/>
      <family val="2"/>
      <scheme val="minor"/>
    </font>
    <font>
      <b/>
      <vertAlign val="subscript"/>
      <sz val="10"/>
      <name val="Aptos Narrow"/>
      <family val="2"/>
      <scheme val="minor"/>
    </font>
    <font>
      <sz val="10"/>
      <name val="Aptos Narrow"/>
      <family val="2"/>
      <scheme val="minor"/>
    </font>
    <font>
      <sz val="8"/>
      <name val="Aptos Narrow"/>
      <family val="2"/>
      <scheme val="minor"/>
    </font>
    <font>
      <b/>
      <sz val="10"/>
      <color indexed="8"/>
      <name val="Times New Roman"/>
      <family val="1"/>
    </font>
    <font>
      <sz val="10"/>
      <color indexed="8"/>
      <name val="Times New Roman"/>
      <family val="1"/>
    </font>
    <font>
      <u/>
      <sz val="11"/>
      <color theme="10"/>
      <name val="Aptos Narrow"/>
      <family val="2"/>
      <scheme val="minor"/>
    </font>
    <font>
      <sz val="10"/>
      <color rgb="FFFF0000"/>
      <name val="Aptos Narrow"/>
      <family val="2"/>
      <scheme val="minor"/>
    </font>
    <font>
      <sz val="11"/>
      <name val="Aptos Narrow"/>
      <family val="2"/>
      <scheme val="minor"/>
    </font>
    <font>
      <b/>
      <sz val="14"/>
      <color theme="1"/>
      <name val="Aptos Narrow"/>
      <family val="2"/>
      <scheme val="minor"/>
    </font>
    <font>
      <b/>
      <sz val="11"/>
      <color rgb="FF000000"/>
      <name val="Aptos Narrow"/>
      <family val="2"/>
      <scheme val="minor"/>
    </font>
    <font>
      <i/>
      <sz val="11"/>
      <color theme="1"/>
      <name val="Aptos Narrow"/>
      <family val="2"/>
      <scheme val="minor"/>
    </font>
    <font>
      <sz val="9"/>
      <color theme="1"/>
      <name val="Aptos Narrow"/>
      <family val="2"/>
      <scheme val="minor"/>
    </font>
    <font>
      <b/>
      <sz val="9"/>
      <color theme="1"/>
      <name val="Aptos Narrow"/>
      <family val="2"/>
      <scheme val="minor"/>
    </font>
    <font>
      <b/>
      <sz val="10"/>
      <color rgb="FF000000"/>
      <name val="Aptos Narrow"/>
      <family val="2"/>
      <scheme val="minor"/>
    </font>
    <font>
      <b/>
      <sz val="11"/>
      <color theme="3"/>
      <name val="Aptos Narrow"/>
      <family val="2"/>
      <scheme val="minor"/>
    </font>
    <font>
      <sz val="11"/>
      <color rgb="FF3F3F76"/>
      <name val="Aptos Narrow"/>
      <family val="2"/>
      <scheme val="minor"/>
    </font>
    <font>
      <b/>
      <sz val="11"/>
      <color rgb="FF3F3F3F"/>
      <name val="Aptos Narrow"/>
      <family val="2"/>
      <scheme val="minor"/>
    </font>
    <font>
      <b/>
      <sz val="12"/>
      <color theme="1"/>
      <name val="Aptos Narrow"/>
      <family val="2"/>
      <scheme val="minor"/>
    </font>
    <font>
      <i/>
      <u/>
      <sz val="11"/>
      <color theme="1"/>
      <name val="Aptos Narrow"/>
      <family val="2"/>
      <scheme val="minor"/>
    </font>
    <font>
      <b/>
      <sz val="11"/>
      <color theme="0"/>
      <name val="Aptos Narrow"/>
      <family val="2"/>
      <scheme val="minor"/>
    </font>
    <font>
      <sz val="11"/>
      <color theme="1"/>
      <name val="Arial"/>
      <family val="2"/>
    </font>
    <font>
      <b/>
      <sz val="14"/>
      <color theme="1"/>
      <name val="Arial"/>
      <family val="2"/>
    </font>
    <font>
      <b/>
      <sz val="11"/>
      <color theme="1"/>
      <name val="Arial"/>
      <family val="2"/>
    </font>
    <font>
      <b/>
      <sz val="11"/>
      <color rgb="FF000000"/>
      <name val="Arial"/>
      <family val="2"/>
    </font>
    <font>
      <sz val="11"/>
      <color rgb="FF000000"/>
      <name val="Arial"/>
      <family val="2"/>
    </font>
    <font>
      <sz val="11"/>
      <name val="Arial"/>
      <family val="2"/>
    </font>
    <font>
      <i/>
      <sz val="11"/>
      <color theme="1"/>
      <name val="Arial"/>
      <family val="2"/>
    </font>
    <font>
      <b/>
      <i/>
      <sz val="11"/>
      <name val="Arial"/>
      <family val="2"/>
    </font>
    <font>
      <b/>
      <sz val="11"/>
      <name val="Arial"/>
      <family val="2"/>
    </font>
    <font>
      <sz val="11"/>
      <color rgb="FFFF0000"/>
      <name val="Arial"/>
      <family val="2"/>
    </font>
    <font>
      <i/>
      <sz val="11"/>
      <name val="Arial"/>
      <family val="2"/>
    </font>
    <font>
      <i/>
      <sz val="9"/>
      <color theme="1"/>
      <name val="Arial"/>
      <family val="2"/>
    </font>
    <font>
      <sz val="12"/>
      <color theme="1"/>
      <name val="Arial"/>
      <family val="2"/>
    </font>
    <font>
      <b/>
      <sz val="12"/>
      <color rgb="FF000000"/>
      <name val="Arial"/>
      <family val="2"/>
    </font>
    <font>
      <b/>
      <vertAlign val="subscript"/>
      <sz val="12"/>
      <color rgb="FF000000"/>
      <name val="Arial"/>
      <family val="2"/>
    </font>
    <font>
      <b/>
      <sz val="10"/>
      <color theme="1"/>
      <name val="Arial"/>
      <family val="2"/>
    </font>
    <font>
      <sz val="10"/>
      <color theme="1"/>
      <name val="Arial"/>
      <family val="2"/>
    </font>
    <font>
      <u/>
      <sz val="10"/>
      <color theme="10"/>
      <name val="Arial"/>
      <family val="2"/>
    </font>
    <font>
      <sz val="10"/>
      <name val="Arial"/>
      <family val="2"/>
    </font>
    <font>
      <sz val="10"/>
      <color rgb="FF000000"/>
      <name val="Arial"/>
      <family val="2"/>
    </font>
    <font>
      <u/>
      <sz val="11"/>
      <color theme="10"/>
      <name val="Arial"/>
      <family val="2"/>
    </font>
  </fonts>
  <fills count="1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1F1F1"/>
      </patternFill>
    </fill>
    <fill>
      <patternFill patternType="solid">
        <fgColor rgb="FFFFFF00"/>
        <bgColor indexed="64"/>
      </patternFill>
    </fill>
    <fill>
      <patternFill patternType="solid">
        <fgColor theme="2" tint="-9.9978637043366805E-2"/>
        <bgColor indexed="64"/>
      </patternFill>
    </fill>
    <fill>
      <patternFill patternType="solid">
        <fgColor rgb="FFFFCC99"/>
      </patternFill>
    </fill>
    <fill>
      <patternFill patternType="solid">
        <fgColor rgb="FFF2F2F2"/>
      </patternFill>
    </fill>
    <fill>
      <patternFill patternType="solid">
        <fgColor theme="8" tint="0.3999450666829432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theme="4"/>
        <bgColor theme="4"/>
      </patternFill>
    </fill>
    <fill>
      <patternFill patternType="solid">
        <fgColor theme="3" tint="0.89999084444715716"/>
        <bgColor indexed="64"/>
      </patternFill>
    </fill>
    <fill>
      <patternFill patternType="solid">
        <fgColor rgb="FFF1F1F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7" borderId="29" applyNumberFormat="0" applyAlignment="0" applyProtection="0"/>
    <xf numFmtId="0" fontId="23" fillId="8" borderId="30" applyNumberFormat="0" applyAlignment="0" applyProtection="0"/>
    <xf numFmtId="0" fontId="1" fillId="0" borderId="0">
      <alignment vertical="center"/>
    </xf>
    <xf numFmtId="0" fontId="25" fillId="9" borderId="29" applyNumberFormat="0" applyProtection="0">
      <alignment horizontal="center" vertical="center"/>
    </xf>
  </cellStyleXfs>
  <cellXfs count="371">
    <xf numFmtId="0" fontId="0" fillId="0" borderId="0" xfId="0"/>
    <xf numFmtId="0" fontId="3" fillId="0" borderId="0" xfId="0" applyFont="1" applyAlignment="1">
      <alignment horizontal="right" vertical="center"/>
    </xf>
    <xf numFmtId="0" fontId="5" fillId="0" borderId="1" xfId="0" applyFont="1" applyBorder="1"/>
    <xf numFmtId="0" fontId="6" fillId="4" borderId="5" xfId="0" applyFont="1" applyFill="1" applyBorder="1" applyAlignment="1">
      <alignment vertical="top" wrapText="1"/>
    </xf>
    <xf numFmtId="0" fontId="6" fillId="4" borderId="5" xfId="0" applyFont="1" applyFill="1" applyBorder="1" applyAlignment="1">
      <alignment horizontal="center" vertical="center" wrapText="1"/>
    </xf>
    <xf numFmtId="0" fontId="5" fillId="0" borderId="0" xfId="0" applyFont="1"/>
    <xf numFmtId="1" fontId="8" fillId="0" borderId="5" xfId="0" applyNumberFormat="1" applyFont="1" applyBorder="1" applyAlignment="1">
      <alignment horizontal="left" vertical="top" shrinkToFit="1"/>
    </xf>
    <xf numFmtId="165" fontId="8" fillId="0" borderId="5" xfId="0" applyNumberFormat="1" applyFont="1" applyBorder="1" applyAlignment="1">
      <alignment horizontal="right" vertical="top" shrinkToFit="1"/>
    </xf>
    <xf numFmtId="165" fontId="8" fillId="0" borderId="5" xfId="0" applyNumberFormat="1" applyFont="1" applyBorder="1" applyAlignment="1">
      <alignment horizontal="center" vertical="top" shrinkToFit="1"/>
    </xf>
    <xf numFmtId="166" fontId="8" fillId="0" borderId="5" xfId="0" applyNumberFormat="1" applyFont="1" applyBorder="1" applyAlignment="1">
      <alignment horizontal="right" vertical="top" shrinkToFit="1"/>
    </xf>
    <xf numFmtId="165" fontId="8" fillId="0" borderId="5" xfId="0" applyNumberFormat="1" applyFont="1" applyBorder="1" applyAlignment="1">
      <alignment vertical="top" shrinkToFit="1"/>
    </xf>
    <xf numFmtId="166" fontId="8" fillId="0" borderId="5" xfId="0" applyNumberFormat="1" applyFont="1" applyBorder="1" applyAlignment="1">
      <alignment vertical="top" shrinkToFit="1"/>
    </xf>
    <xf numFmtId="165" fontId="8" fillId="0" borderId="6" xfId="0" applyNumberFormat="1" applyFont="1" applyBorder="1" applyAlignment="1">
      <alignment vertical="top" shrinkToFit="1"/>
    </xf>
    <xf numFmtId="166" fontId="8" fillId="0" borderId="6" xfId="0" applyNumberFormat="1" applyFont="1" applyBorder="1" applyAlignment="1">
      <alignment vertical="top" shrinkToFit="1"/>
    </xf>
    <xf numFmtId="1" fontId="8" fillId="0" borderId="7" xfId="0" applyNumberFormat="1" applyFont="1" applyBorder="1" applyAlignment="1">
      <alignment horizontal="left" vertical="top" shrinkToFit="1"/>
    </xf>
    <xf numFmtId="165" fontId="8" fillId="0" borderId="1" xfId="0" applyNumberFormat="1" applyFont="1" applyBorder="1" applyAlignment="1">
      <alignment vertical="top" shrinkToFit="1"/>
    </xf>
    <xf numFmtId="0" fontId="8" fillId="0" borderId="0" xfId="0" applyFont="1" applyAlignment="1">
      <alignment horizontal="left" vertical="top"/>
    </xf>
    <xf numFmtId="169" fontId="0" fillId="0" borderId="0" xfId="0" applyNumberFormat="1"/>
    <xf numFmtId="0" fontId="11" fillId="0" borderId="0" xfId="0" applyFont="1" applyAlignment="1">
      <alignment horizontal="left" vertical="top" wrapText="1"/>
    </xf>
    <xf numFmtId="170" fontId="11" fillId="0" borderId="14" xfId="0" applyNumberFormat="1" applyFont="1" applyBorder="1" applyAlignment="1">
      <alignment horizontal="right" vertical="top" wrapText="1"/>
    </xf>
    <xf numFmtId="171" fontId="11" fillId="0" borderId="14" xfId="0" applyNumberFormat="1" applyFont="1" applyBorder="1" applyAlignment="1">
      <alignment horizontal="right" vertical="top" wrapText="1"/>
    </xf>
    <xf numFmtId="171" fontId="11" fillId="0" borderId="0" xfId="0" applyNumberFormat="1" applyFont="1" applyAlignment="1">
      <alignment horizontal="right" vertical="top" wrapText="1"/>
    </xf>
    <xf numFmtId="171" fontId="11" fillId="0" borderId="15" xfId="0" applyNumberFormat="1" applyFont="1" applyBorder="1" applyAlignment="1">
      <alignment horizontal="right" vertical="top" wrapText="1"/>
    </xf>
    <xf numFmtId="0" fontId="2" fillId="0" borderId="0" xfId="0" applyFont="1"/>
    <xf numFmtId="0" fontId="2" fillId="0" borderId="1" xfId="0" applyFont="1" applyBorder="1"/>
    <xf numFmtId="0" fontId="0" fillId="0" borderId="1" xfId="0" applyBorder="1"/>
    <xf numFmtId="43" fontId="0" fillId="0" borderId="0" xfId="0" applyNumberFormat="1"/>
    <xf numFmtId="0" fontId="13" fillId="0" borderId="0" xfId="0" applyFont="1"/>
    <xf numFmtId="168" fontId="5" fillId="0" borderId="0" xfId="1" applyNumberFormat="1" applyFont="1"/>
    <xf numFmtId="9" fontId="5" fillId="0" borderId="0" xfId="4" applyFont="1"/>
    <xf numFmtId="0" fontId="0" fillId="0" borderId="1" xfId="0" applyBorder="1" applyAlignment="1">
      <alignment horizontal="center"/>
    </xf>
    <xf numFmtId="169" fontId="5" fillId="0" borderId="1" xfId="0" applyNumberFormat="1" applyFont="1" applyBorder="1"/>
    <xf numFmtId="169" fontId="4" fillId="3" borderId="1" xfId="0" applyNumberFormat="1" applyFont="1" applyFill="1" applyBorder="1" applyAlignment="1">
      <alignment wrapText="1"/>
    </xf>
    <xf numFmtId="0" fontId="15" fillId="0" borderId="0" xfId="0" applyFont="1"/>
    <xf numFmtId="0" fontId="16" fillId="6" borderId="1" xfId="0" applyFont="1" applyFill="1" applyBorder="1" applyAlignment="1">
      <alignment vertical="center"/>
    </xf>
    <xf numFmtId="0" fontId="17" fillId="0" borderId="0" xfId="0" applyFont="1"/>
    <xf numFmtId="0" fontId="2" fillId="0" borderId="21" xfId="0" applyFont="1" applyBorder="1"/>
    <xf numFmtId="0" fontId="2" fillId="0" borderId="22" xfId="0" applyFont="1" applyBorder="1"/>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2" fillId="0" borderId="26" xfId="0" applyFont="1" applyBorder="1"/>
    <xf numFmtId="0" fontId="2" fillId="0" borderId="27" xfId="0" applyFont="1" applyBorder="1"/>
    <xf numFmtId="0" fontId="0" fillId="0" borderId="27" xfId="0" applyBorder="1"/>
    <xf numFmtId="0" fontId="0" fillId="0" borderId="28" xfId="0" applyBorder="1"/>
    <xf numFmtId="0" fontId="4" fillId="0" borderId="0" xfId="0" applyFont="1"/>
    <xf numFmtId="164" fontId="5" fillId="0" borderId="0" xfId="4" applyNumberFormat="1" applyFont="1"/>
    <xf numFmtId="0" fontId="4" fillId="3" borderId="1" xfId="0" applyFont="1" applyFill="1" applyBorder="1" applyAlignment="1">
      <alignment wrapText="1"/>
    </xf>
    <xf numFmtId="168" fontId="5" fillId="0" borderId="1" xfId="0" applyNumberFormat="1" applyFont="1" applyBorder="1"/>
    <xf numFmtId="167" fontId="5" fillId="0" borderId="1" xfId="0" applyNumberFormat="1" applyFont="1" applyBorder="1"/>
    <xf numFmtId="172" fontId="5" fillId="0" borderId="0" xfId="0" applyNumberFormat="1" applyFont="1"/>
    <xf numFmtId="169" fontId="5" fillId="0" borderId="2" xfId="0" applyNumberFormat="1" applyFont="1" applyBorder="1"/>
    <xf numFmtId="168" fontId="5" fillId="0" borderId="0" xfId="0" applyNumberFormat="1" applyFont="1"/>
    <xf numFmtId="167" fontId="5" fillId="0" borderId="0" xfId="0" applyNumberFormat="1" applyFont="1"/>
    <xf numFmtId="167" fontId="4" fillId="0" borderId="1" xfId="0" applyNumberFormat="1" applyFont="1" applyBorder="1"/>
    <xf numFmtId="169" fontId="4" fillId="0" borderId="1" xfId="0" applyNumberFormat="1" applyFont="1" applyBorder="1"/>
    <xf numFmtId="169" fontId="5" fillId="0" borderId="0" xfId="0" applyNumberFormat="1" applyFont="1"/>
    <xf numFmtId="174" fontId="5" fillId="0" borderId="1" xfId="0" applyNumberFormat="1" applyFont="1" applyBorder="1"/>
    <xf numFmtId="173" fontId="5" fillId="0" borderId="0" xfId="0" applyNumberFormat="1" applyFont="1"/>
    <xf numFmtId="43" fontId="5" fillId="0" borderId="0" xfId="0" applyNumberFormat="1" applyFont="1"/>
    <xf numFmtId="2" fontId="4" fillId="0" borderId="1" xfId="0" applyNumberFormat="1" applyFont="1" applyBorder="1"/>
    <xf numFmtId="168" fontId="4" fillId="0" borderId="1" xfId="1" applyNumberFormat="1" applyFont="1" applyBorder="1"/>
    <xf numFmtId="0" fontId="4" fillId="0" borderId="1" xfId="0" applyFont="1" applyBorder="1"/>
    <xf numFmtId="0" fontId="18" fillId="0" borderId="0" xfId="0" applyFont="1"/>
    <xf numFmtId="14" fontId="18" fillId="0" borderId="0" xfId="0" applyNumberFormat="1" applyFont="1"/>
    <xf numFmtId="0" fontId="19" fillId="3" borderId="0" xfId="0" applyFont="1" applyFill="1" applyAlignment="1">
      <alignment horizontal="center" vertical="center"/>
    </xf>
    <xf numFmtId="0" fontId="19" fillId="3" borderId="0" xfId="0" applyFont="1" applyFill="1" applyAlignment="1">
      <alignment horizontal="center" vertical="center" wrapText="1"/>
    </xf>
    <xf numFmtId="169" fontId="18" fillId="0" borderId="0" xfId="0" applyNumberFormat="1" applyFont="1"/>
    <xf numFmtId="0" fontId="18" fillId="0" borderId="0" xfId="0" applyFont="1" applyAlignment="1">
      <alignment horizontal="right"/>
    </xf>
    <xf numFmtId="0" fontId="18" fillId="0" borderId="0" xfId="0" applyFont="1" applyAlignment="1">
      <alignment horizontal="left"/>
    </xf>
    <xf numFmtId="9" fontId="18" fillId="0" borderId="0" xfId="0" applyNumberFormat="1" applyFont="1"/>
    <xf numFmtId="44" fontId="18" fillId="0" borderId="0" xfId="2" applyFont="1"/>
    <xf numFmtId="172" fontId="18" fillId="0" borderId="0" xfId="0" applyNumberFormat="1" applyFont="1"/>
    <xf numFmtId="0" fontId="20" fillId="3" borderId="1" xfId="0" applyFont="1" applyFill="1" applyBorder="1"/>
    <xf numFmtId="0" fontId="4" fillId="3" borderId="1" xfId="0" applyFont="1" applyFill="1" applyBorder="1"/>
    <xf numFmtId="2" fontId="5" fillId="0" borderId="0" xfId="0" applyNumberFormat="1" applyFont="1"/>
    <xf numFmtId="178" fontId="5" fillId="0" borderId="0" xfId="0" applyNumberFormat="1" applyFont="1"/>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179" fontId="5" fillId="0" borderId="1" xfId="0" applyNumberFormat="1" applyFont="1" applyBorder="1"/>
    <xf numFmtId="1" fontId="0" fillId="0" borderId="0" xfId="0" applyNumberFormat="1"/>
    <xf numFmtId="0" fontId="24" fillId="0" borderId="0" xfId="0" applyFont="1"/>
    <xf numFmtId="1" fontId="5" fillId="0" borderId="0" xfId="0" applyNumberFormat="1" applyFont="1"/>
    <xf numFmtId="177" fontId="5" fillId="0" borderId="0" xfId="0" applyNumberFormat="1" applyFont="1"/>
    <xf numFmtId="0" fontId="0" fillId="0" borderId="0" xfId="0" applyAlignment="1">
      <alignment wrapText="1"/>
    </xf>
    <xf numFmtId="0" fontId="21" fillId="0" borderId="1" xfId="5" applyBorder="1" applyProtection="1"/>
    <xf numFmtId="0" fontId="1" fillId="0" borderId="1" xfId="8" applyBorder="1" applyAlignment="1">
      <alignment vertical="center" wrapText="1"/>
    </xf>
    <xf numFmtId="0" fontId="23" fillId="8" borderId="1" xfId="7" applyBorder="1" applyAlignment="1" applyProtection="1">
      <alignment horizontal="center" vertical="center"/>
    </xf>
    <xf numFmtId="0" fontId="1" fillId="0" borderId="1" xfId="8" applyBorder="1">
      <alignment vertical="center"/>
    </xf>
    <xf numFmtId="0" fontId="23" fillId="8" borderId="1" xfId="7" applyBorder="1" applyAlignment="1" applyProtection="1">
      <alignment horizontal="center" vertical="center" wrapText="1"/>
    </xf>
    <xf numFmtId="0" fontId="23" fillId="8" borderId="1" xfId="7" applyBorder="1" applyAlignment="1" applyProtection="1">
      <alignment horizontal="center" wrapText="1"/>
    </xf>
    <xf numFmtId="177" fontId="23" fillId="8" borderId="1" xfId="7" applyNumberFormat="1" applyBorder="1" applyAlignment="1" applyProtection="1">
      <alignment horizontal="center" wrapText="1"/>
    </xf>
    <xf numFmtId="0" fontId="21" fillId="0" borderId="1" xfId="5" applyBorder="1" applyAlignment="1" applyProtection="1"/>
    <xf numFmtId="0" fontId="0" fillId="0" borderId="1" xfId="0" applyBorder="1" applyAlignment="1">
      <alignment horizontal="center" vertical="center"/>
    </xf>
    <xf numFmtId="0" fontId="0" fillId="0" borderId="1" xfId="0" applyBorder="1" applyAlignment="1">
      <alignment horizontal="center" vertical="center" wrapText="1"/>
    </xf>
    <xf numFmtId="1" fontId="23" fillId="8" borderId="1" xfId="7" applyNumberFormat="1" applyBorder="1" applyAlignment="1" applyProtection="1">
      <alignment horizontal="center" vertical="center" wrapText="1"/>
    </xf>
    <xf numFmtId="0" fontId="1" fillId="0" borderId="0" xfId="8">
      <alignment vertical="center"/>
    </xf>
    <xf numFmtId="0" fontId="17" fillId="0" borderId="1" xfId="0" applyFont="1" applyBorder="1"/>
    <xf numFmtId="0" fontId="0" fillId="0" borderId="1" xfId="0" applyBorder="1" applyAlignment="1">
      <alignment horizontal="left"/>
    </xf>
    <xf numFmtId="0" fontId="0" fillId="0" borderId="1" xfId="0" applyBorder="1" applyAlignment="1">
      <alignment horizontal="left" vertical="center"/>
    </xf>
    <xf numFmtId="0" fontId="0" fillId="0" borderId="1" xfId="0" applyBorder="1" applyAlignment="1">
      <alignment horizontal="left" wrapText="1"/>
    </xf>
    <xf numFmtId="9" fontId="23" fillId="8" borderId="1" xfId="7" applyNumberFormat="1" applyBorder="1" applyAlignment="1" applyProtection="1">
      <alignment horizontal="center" vertical="center" wrapText="1"/>
    </xf>
    <xf numFmtId="167" fontId="4" fillId="0" borderId="0" xfId="0" applyNumberFormat="1" applyFont="1" applyBorder="1"/>
    <xf numFmtId="169" fontId="4" fillId="0" borderId="0" xfId="0" applyNumberFormat="1" applyFont="1" applyBorder="1"/>
    <xf numFmtId="0" fontId="5" fillId="0" borderId="1" xfId="0" applyFont="1" applyFill="1" applyBorder="1"/>
    <xf numFmtId="168" fontId="5" fillId="0" borderId="0" xfId="0" applyNumberFormat="1" applyFont="1" applyFill="1" applyBorder="1"/>
    <xf numFmtId="167" fontId="4" fillId="0" borderId="0" xfId="0" applyNumberFormat="1" applyFont="1"/>
    <xf numFmtId="169" fontId="4" fillId="0" borderId="0" xfId="0" applyNumberFormat="1" applyFont="1"/>
    <xf numFmtId="43" fontId="5" fillId="0" borderId="1" xfId="0" applyNumberFormat="1" applyFont="1" applyBorder="1"/>
    <xf numFmtId="0" fontId="5" fillId="0" borderId="0" xfId="0" applyFont="1" applyBorder="1"/>
    <xf numFmtId="2" fontId="5" fillId="0" borderId="0" xfId="0" applyNumberFormat="1" applyFont="1" applyBorder="1"/>
    <xf numFmtId="0" fontId="5" fillId="0" borderId="0" xfId="0" applyFont="1" applyFill="1"/>
    <xf numFmtId="0" fontId="5" fillId="0" borderId="0" xfId="0" applyFont="1" applyAlignment="1">
      <alignment wrapText="1"/>
    </xf>
    <xf numFmtId="179" fontId="0" fillId="0" borderId="0" xfId="0" applyNumberFormat="1"/>
    <xf numFmtId="168" fontId="5" fillId="5" borderId="1" xfId="0" applyNumberFormat="1" applyFont="1" applyFill="1" applyBorder="1"/>
    <xf numFmtId="169" fontId="5" fillId="0" borderId="1" xfId="0" applyNumberFormat="1" applyFont="1" applyFill="1" applyBorder="1"/>
    <xf numFmtId="169" fontId="5" fillId="0" borderId="2" xfId="0" applyNumberFormat="1" applyFont="1" applyFill="1" applyBorder="1"/>
    <xf numFmtId="0" fontId="4" fillId="3" borderId="1" xfId="0" applyFont="1" applyFill="1" applyBorder="1" applyAlignment="1">
      <alignment horizontal="left" wrapText="1"/>
    </xf>
    <xf numFmtId="167" fontId="5" fillId="0" borderId="0" xfId="1" applyNumberFormat="1" applyFont="1"/>
    <xf numFmtId="0" fontId="0" fillId="0" borderId="0" xfId="0" applyFont="1"/>
    <xf numFmtId="43" fontId="5" fillId="0" borderId="0" xfId="0" applyNumberFormat="1" applyFont="1" applyFill="1"/>
    <xf numFmtId="49" fontId="14" fillId="7" borderId="1" xfId="6" applyNumberFormat="1" applyFont="1" applyBorder="1" applyAlignment="1" applyProtection="1">
      <alignment horizontal="left"/>
    </xf>
    <xf numFmtId="0" fontId="14" fillId="8" borderId="1" xfId="7" applyFont="1" applyBorder="1" applyAlignment="1" applyProtection="1">
      <alignment horizontal="left" vertical="center" shrinkToFit="1"/>
    </xf>
    <xf numFmtId="0" fontId="14" fillId="8" borderId="1" xfId="7" applyFont="1" applyBorder="1" applyAlignment="1" applyProtection="1">
      <alignment horizontal="left" vertical="center"/>
    </xf>
    <xf numFmtId="2" fontId="14" fillId="8" borderId="1" xfId="7" applyNumberFormat="1" applyFont="1" applyBorder="1" applyAlignment="1" applyProtection="1">
      <alignment horizontal="left" vertical="center"/>
    </xf>
    <xf numFmtId="0" fontId="14" fillId="8" borderId="1" xfId="7" applyFont="1" applyBorder="1" applyAlignment="1" applyProtection="1">
      <alignment horizontal="left"/>
    </xf>
    <xf numFmtId="0" fontId="0" fillId="3" borderId="1" xfId="0" applyFont="1" applyFill="1" applyBorder="1" applyAlignment="1">
      <alignment horizontal="left"/>
    </xf>
    <xf numFmtId="168" fontId="5" fillId="0" borderId="1" xfId="0" applyNumberFormat="1" applyFont="1" applyFill="1" applyBorder="1"/>
    <xf numFmtId="0" fontId="0" fillId="0" borderId="0" xfId="0" applyFill="1"/>
    <xf numFmtId="168" fontId="5" fillId="0" borderId="31" xfId="0" applyNumberFormat="1" applyFont="1" applyBorder="1"/>
    <xf numFmtId="10" fontId="5" fillId="0" borderId="1" xfId="4" applyNumberFormat="1" applyFont="1" applyBorder="1"/>
    <xf numFmtId="0" fontId="0" fillId="10" borderId="21" xfId="0" applyFill="1" applyBorder="1" applyAlignment="1">
      <alignment horizontal="center"/>
    </xf>
    <xf numFmtId="0" fontId="0" fillId="10" borderId="1" xfId="0" applyFill="1" applyBorder="1" applyAlignment="1">
      <alignment horizontal="center"/>
    </xf>
    <xf numFmtId="0" fontId="0" fillId="10" borderId="22" xfId="0" applyFill="1" applyBorder="1" applyAlignment="1">
      <alignment horizontal="center"/>
    </xf>
    <xf numFmtId="0" fontId="0" fillId="10" borderId="24" xfId="0" applyFill="1" applyBorder="1" applyAlignment="1">
      <alignment horizontal="center"/>
    </xf>
    <xf numFmtId="0" fontId="0" fillId="10" borderId="25" xfId="0" applyFill="1" applyBorder="1" applyAlignment="1">
      <alignment horizontal="center"/>
    </xf>
    <xf numFmtId="0" fontId="0" fillId="10" borderId="23" xfId="0" applyFill="1" applyBorder="1" applyAlignment="1">
      <alignment horizontal="center"/>
    </xf>
    <xf numFmtId="0" fontId="5" fillId="0" borderId="0" xfId="0" applyFont="1" applyAlignment="1"/>
    <xf numFmtId="0" fontId="5" fillId="0" borderId="0" xfId="0" applyFont="1" applyAlignment="1">
      <alignment horizontal="center" vertical="center" wrapText="1"/>
    </xf>
    <xf numFmtId="169" fontId="4" fillId="3" borderId="1" xfId="0" applyNumberFormat="1" applyFont="1" applyFill="1" applyBorder="1" applyAlignment="1">
      <alignment horizontal="center" vertical="center" wrapText="1"/>
    </xf>
    <xf numFmtId="177" fontId="4" fillId="0" borderId="1" xfId="0" applyNumberFormat="1" applyFont="1" applyBorder="1"/>
    <xf numFmtId="177" fontId="4" fillId="0" borderId="31" xfId="0" applyNumberFormat="1" applyFont="1" applyBorder="1"/>
    <xf numFmtId="169" fontId="4" fillId="0" borderId="32" xfId="0" applyNumberFormat="1" applyFont="1" applyBorder="1"/>
    <xf numFmtId="2" fontId="4" fillId="0" borderId="0" xfId="0" applyNumberFormat="1" applyFont="1" applyBorder="1"/>
    <xf numFmtId="167" fontId="5" fillId="0" borderId="2" xfId="0" applyNumberFormat="1" applyFont="1" applyBorder="1"/>
    <xf numFmtId="169" fontId="4" fillId="0" borderId="33" xfId="0" applyNumberFormat="1" applyFont="1" applyBorder="1"/>
    <xf numFmtId="177" fontId="5" fillId="0" borderId="1" xfId="0" applyNumberFormat="1" applyFont="1" applyBorder="1"/>
    <xf numFmtId="9" fontId="0" fillId="0" borderId="0" xfId="4" applyFont="1"/>
    <xf numFmtId="174" fontId="5" fillId="0" borderId="0" xfId="0" applyNumberFormat="1" applyFont="1"/>
    <xf numFmtId="174" fontId="13" fillId="0" borderId="0" xfId="0" applyNumberFormat="1" applyFont="1"/>
    <xf numFmtId="43" fontId="13" fillId="0" borderId="0" xfId="0" applyNumberFormat="1" applyFont="1"/>
    <xf numFmtId="0" fontId="13" fillId="0" borderId="0" xfId="0" applyFont="1" applyAlignment="1">
      <alignment horizontal="right"/>
    </xf>
    <xf numFmtId="0" fontId="10" fillId="3" borderId="1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2" xfId="0" applyFont="1" applyFill="1" applyBorder="1" applyAlignment="1">
      <alignment horizontal="center" vertical="center" wrapText="1"/>
    </xf>
    <xf numFmtId="168" fontId="5" fillId="11" borderId="1" xfId="0" applyNumberFormat="1" applyFont="1" applyFill="1" applyBorder="1"/>
    <xf numFmtId="167" fontId="5" fillId="5" borderId="1" xfId="0" applyNumberFormat="1" applyFont="1" applyFill="1" applyBorder="1"/>
    <xf numFmtId="167" fontId="5" fillId="11" borderId="1" xfId="0" applyNumberFormat="1" applyFont="1" applyFill="1" applyBorder="1"/>
    <xf numFmtId="0" fontId="5" fillId="12" borderId="1" xfId="0" applyFont="1" applyFill="1" applyBorder="1"/>
    <xf numFmtId="168" fontId="5" fillId="12" borderId="1" xfId="0" applyNumberFormat="1" applyFont="1" applyFill="1" applyBorder="1"/>
    <xf numFmtId="0" fontId="5" fillId="12" borderId="0" xfId="0" applyFont="1" applyFill="1"/>
    <xf numFmtId="167" fontId="5" fillId="12" borderId="1" xfId="0" applyNumberFormat="1" applyFont="1" applyFill="1" applyBorder="1"/>
    <xf numFmtId="168" fontId="0" fillId="0" borderId="0" xfId="0" applyNumberFormat="1"/>
    <xf numFmtId="0" fontId="2" fillId="3" borderId="1" xfId="0" applyFont="1" applyFill="1" applyBorder="1"/>
    <xf numFmtId="168" fontId="0" fillId="0" borderId="1" xfId="1" applyNumberFormat="1" applyFont="1" applyBorder="1"/>
    <xf numFmtId="177" fontId="0" fillId="0" borderId="1" xfId="0" applyNumberFormat="1" applyBorder="1"/>
    <xf numFmtId="0" fontId="4" fillId="3" borderId="2" xfId="0" applyFont="1" applyFill="1" applyBorder="1" applyAlignment="1">
      <alignment wrapText="1"/>
    </xf>
    <xf numFmtId="9" fontId="5" fillId="0" borderId="1" xfId="4" applyNumberFormat="1" applyFont="1" applyBorder="1"/>
    <xf numFmtId="9" fontId="0" fillId="0" borderId="0" xfId="0" applyNumberFormat="1"/>
    <xf numFmtId="0" fontId="0" fillId="12" borderId="24" xfId="0" applyFill="1" applyBorder="1" applyAlignment="1">
      <alignment horizontal="center"/>
    </xf>
    <xf numFmtId="0" fontId="28" fillId="0" borderId="0" xfId="0" applyFont="1"/>
    <xf numFmtId="0" fontId="27" fillId="0" borderId="0" xfId="0" applyFont="1"/>
    <xf numFmtId="0" fontId="29" fillId="0" borderId="0" xfId="0" applyFont="1"/>
    <xf numFmtId="0" fontId="30" fillId="6" borderId="31" xfId="0" applyFont="1" applyFill="1" applyBorder="1" applyAlignment="1">
      <alignment vertical="center"/>
    </xf>
    <xf numFmtId="169" fontId="30" fillId="6" borderId="33" xfId="0" applyNumberFormat="1" applyFont="1" applyFill="1" applyBorder="1" applyAlignment="1">
      <alignment vertical="center"/>
    </xf>
    <xf numFmtId="169" fontId="30" fillId="6" borderId="32" xfId="0" applyNumberFormat="1" applyFont="1" applyFill="1" applyBorder="1" applyAlignment="1">
      <alignment vertical="center"/>
    </xf>
    <xf numFmtId="0" fontId="31" fillId="0" borderId="4" xfId="0" applyFont="1" applyBorder="1" applyAlignment="1">
      <alignment vertical="center"/>
    </xf>
    <xf numFmtId="169" fontId="31" fillId="0" borderId="4" xfId="0" applyNumberFormat="1" applyFont="1" applyBorder="1" applyAlignment="1">
      <alignment vertical="center"/>
    </xf>
    <xf numFmtId="0" fontId="31" fillId="0" borderId="1" xfId="0" applyFont="1" applyFill="1" applyBorder="1" applyAlignment="1">
      <alignment vertical="center"/>
    </xf>
    <xf numFmtId="0" fontId="30" fillId="0" borderId="1" xfId="0" applyFont="1" applyFill="1" applyBorder="1" applyAlignment="1">
      <alignment vertical="center"/>
    </xf>
    <xf numFmtId="169" fontId="30" fillId="0" borderId="1" xfId="0" applyNumberFormat="1" applyFont="1" applyFill="1" applyBorder="1" applyAlignment="1">
      <alignment vertical="center"/>
    </xf>
    <xf numFmtId="0" fontId="32" fillId="0" borderId="1" xfId="0" applyFont="1" applyFill="1" applyBorder="1" applyAlignment="1">
      <alignment vertical="center"/>
    </xf>
    <xf numFmtId="169" fontId="32" fillId="0" borderId="1" xfId="0" applyNumberFormat="1" applyFont="1" applyFill="1" applyBorder="1" applyAlignment="1">
      <alignment vertical="center"/>
    </xf>
    <xf numFmtId="0" fontId="33" fillId="0" borderId="0" xfId="0" applyFont="1"/>
    <xf numFmtId="9" fontId="27" fillId="0" borderId="0" xfId="4" applyFont="1"/>
    <xf numFmtId="169" fontId="31" fillId="0" borderId="1" xfId="0" applyNumberFormat="1" applyFont="1" applyFill="1" applyBorder="1" applyAlignment="1">
      <alignment wrapText="1"/>
    </xf>
    <xf numFmtId="169" fontId="31" fillId="0" borderId="1" xfId="0" applyNumberFormat="1" applyFont="1" applyBorder="1" applyAlignment="1">
      <alignment wrapText="1"/>
    </xf>
    <xf numFmtId="0" fontId="34" fillId="0" borderId="2" xfId="0" applyFont="1" applyBorder="1" applyAlignment="1">
      <alignment vertical="center"/>
    </xf>
    <xf numFmtId="169" fontId="35" fillId="0" borderId="2" xfId="0" applyNumberFormat="1" applyFont="1" applyBorder="1" applyAlignment="1">
      <alignment vertical="center"/>
    </xf>
    <xf numFmtId="169" fontId="36" fillId="0" borderId="4" xfId="0" applyNumberFormat="1" applyFont="1" applyFill="1" applyBorder="1" applyAlignment="1">
      <alignment vertical="center"/>
    </xf>
    <xf numFmtId="169" fontId="36" fillId="0" borderId="1" xfId="0" applyNumberFormat="1" applyFont="1" applyFill="1" applyBorder="1" applyAlignment="1">
      <alignment vertical="center"/>
    </xf>
    <xf numFmtId="169" fontId="32" fillId="0" borderId="1" xfId="0" applyNumberFormat="1" applyFont="1" applyBorder="1" applyAlignment="1">
      <alignment vertical="center"/>
    </xf>
    <xf numFmtId="0" fontId="32" fillId="0" borderId="1" xfId="0" applyFont="1" applyBorder="1" applyAlignment="1">
      <alignment vertical="center"/>
    </xf>
    <xf numFmtId="169" fontId="37" fillId="0" borderId="1" xfId="0" applyNumberFormat="1" applyFont="1" applyBorder="1" applyAlignment="1">
      <alignment vertical="center"/>
    </xf>
    <xf numFmtId="0" fontId="32" fillId="0" borderId="4" xfId="0" applyFont="1" applyBorder="1" applyAlignment="1">
      <alignment vertical="center"/>
    </xf>
    <xf numFmtId="169" fontId="32" fillId="0" borderId="4" xfId="0" applyNumberFormat="1" applyFont="1" applyBorder="1" applyAlignment="1">
      <alignment vertical="center"/>
    </xf>
    <xf numFmtId="169" fontId="37" fillId="0" borderId="4" xfId="0" applyNumberFormat="1" applyFont="1" applyBorder="1" applyAlignment="1">
      <alignment vertical="center"/>
    </xf>
    <xf numFmtId="0" fontId="27" fillId="0" borderId="0" xfId="0" applyFont="1" applyAlignment="1"/>
    <xf numFmtId="0" fontId="34" fillId="0" borderId="1" xfId="0" applyFont="1" applyBorder="1" applyAlignment="1">
      <alignment vertical="center"/>
    </xf>
    <xf numFmtId="169" fontId="35" fillId="0" borderId="1" xfId="0" applyNumberFormat="1" applyFont="1" applyBorder="1" applyAlignment="1">
      <alignment vertical="center"/>
    </xf>
    <xf numFmtId="0" fontId="30" fillId="6" borderId="1" xfId="0" applyFont="1" applyFill="1" applyBorder="1" applyAlignment="1">
      <alignment vertical="center"/>
    </xf>
    <xf numFmtId="169" fontId="30" fillId="6" borderId="1" xfId="0" applyNumberFormat="1" applyFont="1" applyFill="1" applyBorder="1" applyAlignment="1">
      <alignment vertical="center"/>
    </xf>
    <xf numFmtId="169" fontId="27" fillId="0" borderId="0" xfId="0" applyNumberFormat="1" applyFont="1"/>
    <xf numFmtId="2" fontId="30" fillId="6" borderId="1" xfId="0" applyNumberFormat="1" applyFont="1" applyFill="1" applyBorder="1" applyAlignment="1">
      <alignment vertical="center"/>
    </xf>
    <xf numFmtId="0" fontId="38" fillId="0" borderId="0" xfId="0" applyFont="1"/>
    <xf numFmtId="169" fontId="37" fillId="0" borderId="4" xfId="0" applyNumberFormat="1" applyFont="1" applyFill="1" applyBorder="1" applyAlignment="1">
      <alignment vertical="center"/>
    </xf>
    <xf numFmtId="0" fontId="19" fillId="0" borderId="0" xfId="0" applyFont="1" applyFill="1" applyAlignment="1">
      <alignment horizontal="left"/>
    </xf>
    <xf numFmtId="0" fontId="19" fillId="0" borderId="0" xfId="0" applyFont="1" applyFill="1"/>
    <xf numFmtId="169" fontId="19" fillId="0" borderId="0" xfId="0" applyNumberFormat="1" applyFont="1" applyFill="1"/>
    <xf numFmtId="0" fontId="5" fillId="0" borderId="1" xfId="0" applyFont="1" applyBorder="1" applyAlignment="1">
      <alignment horizontal="right"/>
    </xf>
    <xf numFmtId="169" fontId="18" fillId="0" borderId="1" xfId="0" applyNumberFormat="1" applyFont="1" applyBorder="1"/>
    <xf numFmtId="0" fontId="4" fillId="13" borderId="1" xfId="0" applyFont="1" applyFill="1" applyBorder="1"/>
    <xf numFmtId="14" fontId="18" fillId="0" borderId="0" xfId="0" applyNumberFormat="1" applyFont="1" applyAlignment="1"/>
    <xf numFmtId="0" fontId="26" fillId="14" borderId="1" xfId="0" applyFont="1" applyFill="1" applyBorder="1" applyAlignment="1">
      <alignment wrapText="1"/>
    </xf>
    <xf numFmtId="0" fontId="26" fillId="14" borderId="1" xfId="0" applyFont="1" applyFill="1" applyBorder="1"/>
    <xf numFmtId="0" fontId="0" fillId="0" borderId="1" xfId="0" applyBorder="1" applyAlignment="1">
      <alignment wrapText="1"/>
    </xf>
    <xf numFmtId="0" fontId="21" fillId="0" borderId="0" xfId="5" applyFill="1" applyBorder="1" applyAlignment="1">
      <alignment wrapText="1"/>
    </xf>
    <xf numFmtId="0" fontId="0" fillId="0" borderId="0" xfId="0" applyAlignment="1">
      <alignment horizontal="center" vertical="center" wrapText="1"/>
    </xf>
    <xf numFmtId="0" fontId="0" fillId="0" borderId="17" xfId="0" applyBorder="1" applyAlignment="1"/>
    <xf numFmtId="0" fontId="0" fillId="0" borderId="4" xfId="0" applyBorder="1" applyAlignment="1">
      <alignment vertical="center"/>
    </xf>
    <xf numFmtId="0" fontId="0" fillId="0" borderId="4" xfId="0" applyBorder="1" applyAlignment="1">
      <alignment horizontal="center" vertical="center"/>
    </xf>
    <xf numFmtId="0" fontId="0" fillId="0" borderId="34" xfId="0" applyBorder="1" applyAlignment="1"/>
    <xf numFmtId="49" fontId="0" fillId="0" borderId="32" xfId="0" applyNumberFormat="1" applyBorder="1" applyAlignment="1"/>
    <xf numFmtId="0" fontId="0" fillId="0" borderId="1" xfId="0" applyBorder="1" applyAlignment="1">
      <alignment vertical="center"/>
    </xf>
    <xf numFmtId="0" fontId="0" fillId="0" borderId="31" xfId="0" applyBorder="1" applyAlignment="1"/>
    <xf numFmtId="49" fontId="0" fillId="0" borderId="36" xfId="0" applyNumberFormat="1" applyBorder="1" applyAlignment="1"/>
    <xf numFmtId="0" fontId="0" fillId="0" borderId="2" xfId="0" applyBorder="1" applyAlignment="1">
      <alignment vertical="center"/>
    </xf>
    <xf numFmtId="0" fontId="0" fillId="0" borderId="2" xfId="0" applyBorder="1" applyAlignment="1">
      <alignment horizontal="center" vertical="center"/>
    </xf>
    <xf numFmtId="0" fontId="0" fillId="0" borderId="35" xfId="0" applyBorder="1" applyAlignment="1"/>
    <xf numFmtId="180" fontId="5" fillId="0" borderId="1" xfId="0" applyNumberFormat="1" applyFont="1" applyBorder="1"/>
    <xf numFmtId="0" fontId="15" fillId="0" borderId="0" xfId="0" applyFont="1" applyFill="1"/>
    <xf numFmtId="0" fontId="18" fillId="0" borderId="0" xfId="0" applyFont="1" applyFill="1"/>
    <xf numFmtId="169" fontId="18" fillId="0" borderId="0" xfId="0" applyNumberFormat="1" applyFont="1" applyFill="1"/>
    <xf numFmtId="167" fontId="5" fillId="0" borderId="1" xfId="0" applyNumberFormat="1" applyFont="1" applyFill="1" applyBorder="1"/>
    <xf numFmtId="0" fontId="4" fillId="0" borderId="1" xfId="0" applyFont="1" applyFill="1" applyBorder="1" applyAlignment="1">
      <alignment wrapText="1"/>
    </xf>
    <xf numFmtId="0" fontId="31" fillId="0" borderId="1" xfId="0" applyFont="1" applyFill="1" applyBorder="1" applyAlignment="1"/>
    <xf numFmtId="0" fontId="31" fillId="0" borderId="1" xfId="0" applyFont="1" applyBorder="1" applyAlignment="1"/>
    <xf numFmtId="0" fontId="32" fillId="0" borderId="4" xfId="0" applyFont="1" applyFill="1" applyBorder="1" applyAlignment="1">
      <alignment vertical="center"/>
    </xf>
    <xf numFmtId="0" fontId="4" fillId="0" borderId="1" xfId="0" applyFont="1" applyBorder="1" applyAlignment="1">
      <alignment horizontal="right"/>
    </xf>
    <xf numFmtId="169" fontId="37" fillId="0" borderId="4" xfId="0" applyNumberFormat="1" applyFont="1" applyBorder="1" applyAlignment="1">
      <alignment horizontal="right" vertical="center"/>
    </xf>
    <xf numFmtId="169" fontId="37" fillId="0" borderId="4" xfId="0" applyNumberFormat="1" applyFont="1" applyFill="1" applyBorder="1" applyAlignment="1">
      <alignment horizontal="right" vertical="center"/>
    </xf>
    <xf numFmtId="0" fontId="29" fillId="15" borderId="0" xfId="0" applyFont="1" applyFill="1"/>
    <xf numFmtId="0" fontId="27" fillId="15" borderId="0" xfId="0" applyFont="1" applyFill="1"/>
    <xf numFmtId="169" fontId="27" fillId="15" borderId="0" xfId="0" applyNumberFormat="1" applyFont="1" applyFill="1"/>
    <xf numFmtId="169" fontId="31" fillId="0" borderId="1" xfId="0" applyNumberFormat="1" applyFont="1" applyFill="1" applyBorder="1" applyAlignment="1"/>
    <xf numFmtId="9" fontId="27" fillId="0" borderId="0" xfId="4" applyFont="1" applyAlignment="1"/>
    <xf numFmtId="169" fontId="31" fillId="0" borderId="1" xfId="0" applyNumberFormat="1" applyFont="1" applyBorder="1" applyAlignment="1"/>
    <xf numFmtId="0" fontId="33" fillId="0" borderId="0" xfId="0" applyFont="1" applyAlignment="1"/>
    <xf numFmtId="0" fontId="36" fillId="0" borderId="0" xfId="0" applyFont="1"/>
    <xf numFmtId="3" fontId="5" fillId="0" borderId="0" xfId="0" applyNumberFormat="1" applyFont="1" applyFill="1"/>
    <xf numFmtId="10" fontId="5" fillId="0" borderId="0" xfId="4" applyNumberFormat="1" applyFont="1" applyFill="1"/>
    <xf numFmtId="176" fontId="5" fillId="0" borderId="0" xfId="2" applyNumberFormat="1" applyFont="1" applyFill="1"/>
    <xf numFmtId="173" fontId="5" fillId="0" borderId="0" xfId="0" applyNumberFormat="1" applyFont="1" applyFill="1"/>
    <xf numFmtId="1" fontId="5" fillId="0" borderId="1" xfId="0" applyNumberFormat="1" applyFont="1" applyFill="1" applyBorder="1"/>
    <xf numFmtId="0" fontId="40" fillId="16" borderId="1" xfId="0" applyFont="1" applyFill="1" applyBorder="1" applyAlignment="1">
      <alignment horizontal="center" vertical="center" wrapText="1"/>
    </xf>
    <xf numFmtId="0" fontId="39" fillId="0" borderId="1" xfId="0" applyFont="1" applyBorder="1" applyAlignment="1">
      <alignment horizontal="right" vertical="center"/>
    </xf>
    <xf numFmtId="0" fontId="39" fillId="0" borderId="1" xfId="0" applyFont="1" applyBorder="1" applyAlignment="1">
      <alignment horizontal="center" vertical="center"/>
    </xf>
    <xf numFmtId="0" fontId="39" fillId="0" borderId="1" xfId="0" applyFont="1" applyBorder="1" applyAlignment="1">
      <alignment horizontal="left" vertical="center"/>
    </xf>
    <xf numFmtId="0" fontId="39" fillId="0" borderId="1" xfId="0" applyNumberFormat="1" applyFont="1" applyBorder="1" applyAlignment="1">
      <alignment horizontal="right" vertical="center"/>
    </xf>
    <xf numFmtId="0" fontId="30" fillId="6" borderId="33" xfId="0" applyFont="1" applyFill="1" applyBorder="1" applyAlignment="1">
      <alignment vertical="center"/>
    </xf>
    <xf numFmtId="0" fontId="31" fillId="0" borderId="31" xfId="0" applyFont="1" applyFill="1" applyBorder="1" applyAlignment="1"/>
    <xf numFmtId="0" fontId="31" fillId="0" borderId="31" xfId="0" applyFont="1" applyBorder="1" applyAlignment="1"/>
    <xf numFmtId="0" fontId="34" fillId="0" borderId="35" xfId="0" applyFont="1" applyBorder="1" applyAlignment="1">
      <alignment vertical="center"/>
    </xf>
    <xf numFmtId="0" fontId="32" fillId="0" borderId="34" xfId="0" applyFont="1" applyFill="1" applyBorder="1" applyAlignment="1">
      <alignment vertical="center"/>
    </xf>
    <xf numFmtId="0" fontId="32" fillId="0" borderId="34" xfId="0" applyFont="1" applyBorder="1" applyAlignment="1">
      <alignment vertical="center"/>
    </xf>
    <xf numFmtId="0" fontId="34" fillId="0" borderId="31" xfId="0" applyFont="1" applyBorder="1" applyAlignment="1">
      <alignment vertical="center"/>
    </xf>
    <xf numFmtId="169" fontId="37" fillId="0" borderId="1" xfId="0" applyNumberFormat="1" applyFont="1" applyFill="1" applyBorder="1" applyAlignment="1">
      <alignment horizontal="right" vertical="center"/>
    </xf>
    <xf numFmtId="169" fontId="37" fillId="0" borderId="1" xfId="0" applyNumberFormat="1" applyFont="1" applyBorder="1" applyAlignment="1">
      <alignment horizontal="right" vertical="center"/>
    </xf>
    <xf numFmtId="0" fontId="27" fillId="0" borderId="1" xfId="0" applyFont="1" applyBorder="1"/>
    <xf numFmtId="0" fontId="0" fillId="12" borderId="0" xfId="0" applyFill="1"/>
    <xf numFmtId="0" fontId="4" fillId="3" borderId="1" xfId="0" applyFont="1" applyFill="1" applyBorder="1" applyAlignment="1">
      <alignment horizontal="center" vertical="center"/>
    </xf>
    <xf numFmtId="0" fontId="4" fillId="0" borderId="0" xfId="0" applyFont="1" applyFill="1" applyBorder="1" applyAlignment="1">
      <alignment horizontal="center" vertical="center" wrapText="1"/>
    </xf>
    <xf numFmtId="169" fontId="13" fillId="0" borderId="0" xfId="0" applyNumberFormat="1" applyFont="1"/>
    <xf numFmtId="169" fontId="5" fillId="0" borderId="0" xfId="0" applyNumberFormat="1" applyFont="1" applyBorder="1"/>
    <xf numFmtId="0" fontId="4" fillId="5" borderId="0" xfId="0" applyFont="1" applyFill="1"/>
    <xf numFmtId="9" fontId="5" fillId="0" borderId="0" xfId="0" applyNumberFormat="1" applyFont="1"/>
    <xf numFmtId="181" fontId="32" fillId="0" borderId="1" xfId="0" applyNumberFormat="1" applyFont="1" applyFill="1" applyBorder="1" applyAlignment="1">
      <alignment vertical="center"/>
    </xf>
    <xf numFmtId="181" fontId="31" fillId="0" borderId="1" xfId="0" applyNumberFormat="1" applyFont="1" applyFill="1" applyBorder="1" applyAlignment="1">
      <alignment wrapText="1"/>
    </xf>
    <xf numFmtId="181" fontId="31" fillId="0" borderId="1" xfId="0" applyNumberFormat="1" applyFont="1" applyBorder="1" applyAlignment="1">
      <alignment wrapText="1"/>
    </xf>
    <xf numFmtId="181" fontId="35" fillId="0" borderId="1" xfId="0" applyNumberFormat="1" applyFont="1" applyBorder="1" applyAlignment="1">
      <alignment vertical="center"/>
    </xf>
    <xf numFmtId="181" fontId="36" fillId="0" borderId="1" xfId="0" applyNumberFormat="1" applyFont="1" applyFill="1" applyBorder="1" applyAlignment="1">
      <alignment vertical="center"/>
    </xf>
    <xf numFmtId="181" fontId="32" fillId="0" borderId="1" xfId="0" applyNumberFormat="1" applyFont="1" applyBorder="1" applyAlignment="1">
      <alignment vertical="center"/>
    </xf>
    <xf numFmtId="181" fontId="37" fillId="0" borderId="1" xfId="0" applyNumberFormat="1" applyFont="1" applyBorder="1" applyAlignment="1">
      <alignment vertical="center"/>
    </xf>
    <xf numFmtId="181" fontId="30" fillId="6" borderId="1" xfId="0" applyNumberFormat="1" applyFont="1" applyFill="1" applyBorder="1" applyAlignment="1">
      <alignment vertical="center"/>
    </xf>
    <xf numFmtId="181" fontId="31" fillId="0" borderId="4" xfId="0" applyNumberFormat="1" applyFont="1" applyBorder="1" applyAlignment="1">
      <alignment vertical="center"/>
    </xf>
    <xf numFmtId="181" fontId="31" fillId="0" borderId="1" xfId="0" applyNumberFormat="1" applyFont="1" applyFill="1" applyBorder="1" applyAlignment="1">
      <alignment vertical="center"/>
    </xf>
    <xf numFmtId="181" fontId="30" fillId="0" borderId="1" xfId="0" applyNumberFormat="1" applyFont="1" applyFill="1" applyBorder="1" applyAlignment="1">
      <alignment vertical="center"/>
    </xf>
    <xf numFmtId="181" fontId="31" fillId="0" borderId="1" xfId="0" applyNumberFormat="1" applyFont="1" applyBorder="1" applyAlignment="1">
      <alignment vertical="center"/>
    </xf>
    <xf numFmtId="181" fontId="30" fillId="0" borderId="2" xfId="0" applyNumberFormat="1" applyFont="1" applyBorder="1" applyAlignment="1">
      <alignment vertical="center"/>
    </xf>
    <xf numFmtId="181" fontId="36" fillId="0" borderId="4" xfId="0" applyNumberFormat="1" applyFont="1" applyBorder="1" applyAlignment="1">
      <alignment vertical="center"/>
    </xf>
    <xf numFmtId="181" fontId="36" fillId="0" borderId="1" xfId="0" applyNumberFormat="1" applyFont="1" applyBorder="1" applyAlignment="1">
      <alignment vertical="center"/>
    </xf>
    <xf numFmtId="0" fontId="42" fillId="2" borderId="1" xfId="0" applyFont="1" applyFill="1" applyBorder="1"/>
    <xf numFmtId="0" fontId="42" fillId="2" borderId="1" xfId="0" applyFont="1" applyFill="1" applyBorder="1" applyAlignment="1">
      <alignment horizontal="left" wrapText="1"/>
    </xf>
    <xf numFmtId="0" fontId="43" fillId="0" borderId="0" xfId="0" applyFont="1"/>
    <xf numFmtId="0" fontId="43" fillId="0" borderId="1" xfId="0" applyFont="1" applyBorder="1" applyAlignment="1">
      <alignment wrapText="1"/>
    </xf>
    <xf numFmtId="164" fontId="43" fillId="0" borderId="1" xfId="0" applyNumberFormat="1" applyFont="1" applyBorder="1"/>
    <xf numFmtId="9" fontId="43" fillId="0" borderId="1" xfId="0" applyNumberFormat="1" applyFont="1" applyBorder="1"/>
    <xf numFmtId="0" fontId="43" fillId="0" borderId="1" xfId="0" applyFont="1" applyBorder="1"/>
    <xf numFmtId="0" fontId="43" fillId="0" borderId="1" xfId="0" applyFont="1" applyFill="1" applyBorder="1"/>
    <xf numFmtId="0" fontId="43" fillId="0" borderId="2" xfId="0" applyFont="1" applyBorder="1" applyAlignment="1">
      <alignment wrapText="1"/>
    </xf>
    <xf numFmtId="0" fontId="43" fillId="0" borderId="2" xfId="0" applyFont="1" applyBorder="1"/>
    <xf numFmtId="0" fontId="43" fillId="0" borderId="2" xfId="0" applyFont="1" applyFill="1" applyBorder="1" applyAlignment="1">
      <alignment wrapText="1"/>
    </xf>
    <xf numFmtId="0" fontId="43" fillId="0" borderId="2" xfId="0" applyFont="1" applyFill="1" applyBorder="1"/>
    <xf numFmtId="0" fontId="43" fillId="0" borderId="1" xfId="0" applyFont="1" applyBorder="1" applyAlignment="1">
      <alignment horizontal="left" wrapText="1"/>
    </xf>
    <xf numFmtId="9" fontId="43" fillId="0" borderId="2" xfId="0" applyNumberFormat="1" applyFont="1" applyBorder="1"/>
    <xf numFmtId="0" fontId="43" fillId="0" borderId="2" xfId="0" applyFont="1" applyBorder="1" applyAlignment="1">
      <alignment horizontal="right" vertical="top"/>
    </xf>
    <xf numFmtId="0" fontId="43" fillId="0" borderId="1" xfId="0" applyFont="1" applyFill="1" applyBorder="1" applyAlignment="1">
      <alignment horizontal="left" wrapText="1"/>
    </xf>
    <xf numFmtId="168" fontId="43" fillId="0" borderId="2" xfId="1" applyNumberFormat="1" applyFont="1" applyFill="1" applyBorder="1" applyAlignment="1">
      <alignment horizontal="left" vertical="top"/>
    </xf>
    <xf numFmtId="43" fontId="43" fillId="0" borderId="1" xfId="1" applyNumberFormat="1" applyFont="1" applyFill="1" applyBorder="1"/>
    <xf numFmtId="168" fontId="43" fillId="0" borderId="1" xfId="1" applyNumberFormat="1" applyFont="1" applyFill="1" applyBorder="1"/>
    <xf numFmtId="2" fontId="43" fillId="0" borderId="1" xfId="0" applyNumberFormat="1" applyFont="1" applyBorder="1"/>
    <xf numFmtId="167" fontId="43" fillId="0" borderId="1" xfId="1" applyNumberFormat="1" applyFont="1" applyFill="1" applyBorder="1"/>
    <xf numFmtId="0" fontId="43" fillId="0" borderId="0" xfId="0" applyFont="1" applyFill="1" applyAlignment="1">
      <alignment horizontal="left" wrapText="1"/>
    </xf>
    <xf numFmtId="177" fontId="43" fillId="0" borderId="1" xfId="0" applyNumberFormat="1" applyFont="1" applyBorder="1"/>
    <xf numFmtId="8" fontId="43" fillId="0" borderId="1" xfId="0" applyNumberFormat="1" applyFont="1" applyBorder="1"/>
    <xf numFmtId="6" fontId="43" fillId="0" borderId="1" xfId="0" applyNumberFormat="1" applyFont="1" applyBorder="1"/>
    <xf numFmtId="175" fontId="45" fillId="0" borderId="1" xfId="2" applyNumberFormat="1" applyFont="1" applyBorder="1"/>
    <xf numFmtId="0" fontId="46" fillId="0" borderId="1" xfId="0" applyFont="1" applyBorder="1" applyAlignment="1">
      <alignment horizontal="left" vertical="top" wrapText="1"/>
    </xf>
    <xf numFmtId="172" fontId="45" fillId="0" borderId="1" xfId="2" applyNumberFormat="1" applyFont="1" applyBorder="1"/>
    <xf numFmtId="169" fontId="43" fillId="0" borderId="1" xfId="0" applyNumberFormat="1" applyFont="1" applyBorder="1"/>
    <xf numFmtId="173" fontId="45" fillId="12" borderId="1" xfId="0" applyNumberFormat="1" applyFont="1" applyFill="1" applyBorder="1"/>
    <xf numFmtId="0" fontId="45" fillId="0" borderId="2" xfId="0" applyFont="1" applyBorder="1" applyAlignment="1">
      <alignment horizontal="left" vertical="top" wrapText="1"/>
    </xf>
    <xf numFmtId="0" fontId="44" fillId="0" borderId="1" xfId="3" applyFont="1" applyBorder="1" applyAlignment="1">
      <alignment horizontal="left" wrapText="1"/>
    </xf>
    <xf numFmtId="0" fontId="47" fillId="0" borderId="1" xfId="3" applyFont="1" applyBorder="1" applyAlignment="1">
      <alignment horizontal="left" wrapText="1"/>
    </xf>
    <xf numFmtId="0" fontId="45" fillId="0" borderId="1" xfId="0" applyFont="1" applyBorder="1" applyAlignment="1">
      <alignment horizontal="left" vertical="top" wrapText="1"/>
    </xf>
    <xf numFmtId="0" fontId="45" fillId="0" borderId="1" xfId="0" applyFont="1" applyBorder="1" applyAlignment="1">
      <alignment vertical="top"/>
    </xf>
    <xf numFmtId="0" fontId="46" fillId="0" borderId="2" xfId="0" applyFont="1" applyBorder="1" applyAlignment="1">
      <alignment horizontal="left" vertical="top" wrapText="1"/>
    </xf>
    <xf numFmtId="169" fontId="43" fillId="0" borderId="1" xfId="0" applyNumberFormat="1" applyFont="1" applyFill="1" applyBorder="1"/>
    <xf numFmtId="169" fontId="43" fillId="0" borderId="2" xfId="0" applyNumberFormat="1" applyFont="1" applyFill="1" applyBorder="1"/>
    <xf numFmtId="0" fontId="43" fillId="0" borderId="2" xfId="0" applyFont="1" applyBorder="1" applyAlignment="1">
      <alignment horizontal="left" wrapText="1"/>
    </xf>
    <xf numFmtId="0" fontId="44" fillId="0" borderId="1" xfId="3" applyFont="1" applyFill="1" applyBorder="1" applyAlignment="1">
      <alignment horizontal="left" wrapText="1"/>
    </xf>
    <xf numFmtId="0" fontId="43" fillId="0" borderId="0" xfId="0" applyFont="1" applyAlignment="1">
      <alignment horizontal="left" wrapText="1"/>
    </xf>
    <xf numFmtId="0" fontId="42" fillId="2" borderId="1" xfId="0" applyFont="1" applyFill="1" applyBorder="1" applyAlignment="1">
      <alignment wrapText="1"/>
    </xf>
    <xf numFmtId="0" fontId="43" fillId="0" borderId="2" xfId="0" applyFont="1" applyBorder="1" applyAlignment="1">
      <alignment horizontal="left" vertical="top" wrapText="1"/>
    </xf>
    <xf numFmtId="0" fontId="45" fillId="0" borderId="1" xfId="0" applyFont="1" applyBorder="1" applyAlignment="1">
      <alignment wrapText="1"/>
    </xf>
    <xf numFmtId="0" fontId="45" fillId="0" borderId="1" xfId="0" applyFont="1" applyBorder="1" applyAlignment="1">
      <alignment horizontal="left" wrapText="1"/>
    </xf>
    <xf numFmtId="0" fontId="43" fillId="0" borderId="1" xfId="0" applyFont="1" applyFill="1" applyBorder="1" applyAlignment="1">
      <alignment wrapText="1"/>
    </xf>
    <xf numFmtId="0" fontId="43" fillId="0" borderId="0" xfId="0" applyFont="1" applyAlignment="1">
      <alignment wrapText="1"/>
    </xf>
    <xf numFmtId="169" fontId="8" fillId="0" borderId="0" xfId="0" applyNumberFormat="1" applyFont="1"/>
    <xf numFmtId="172" fontId="8" fillId="0" borderId="0" xfId="0" applyNumberFormat="1" applyFont="1"/>
    <xf numFmtId="0" fontId="8" fillId="0" borderId="0" xfId="0" applyFont="1"/>
    <xf numFmtId="168" fontId="4" fillId="0" borderId="1" xfId="0" applyNumberFormat="1" applyFont="1" applyBorder="1"/>
    <xf numFmtId="169" fontId="5" fillId="0" borderId="0" xfId="1" applyNumberFormat="1" applyFont="1"/>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43" fillId="0" borderId="1" xfId="0" applyFont="1" applyBorder="1" applyAlignment="1">
      <alignment horizontal="left" vertical="center" wrapText="1"/>
    </xf>
    <xf numFmtId="0" fontId="42" fillId="3" borderId="2" xfId="0" applyFont="1" applyFill="1" applyBorder="1" applyAlignment="1">
      <alignment horizontal="left" vertical="top"/>
    </xf>
    <xf numFmtId="0" fontId="43" fillId="0" borderId="1" xfId="0" applyFont="1" applyFill="1" applyBorder="1" applyAlignment="1">
      <alignment horizontal="left" wrapText="1"/>
    </xf>
    <xf numFmtId="0" fontId="43" fillId="0" borderId="2" xfId="0" applyFont="1" applyFill="1" applyBorder="1" applyAlignment="1">
      <alignment horizontal="left" vertical="center" wrapText="1"/>
    </xf>
    <xf numFmtId="0" fontId="43" fillId="0" borderId="3" xfId="0" applyFont="1" applyFill="1" applyBorder="1" applyAlignment="1">
      <alignment horizontal="left" vertical="center" wrapText="1"/>
    </xf>
    <xf numFmtId="0" fontId="43" fillId="0" borderId="4" xfId="0" applyFont="1" applyFill="1" applyBorder="1" applyAlignment="1">
      <alignment horizontal="left" vertical="center"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4" fillId="0" borderId="1" xfId="3" applyFont="1" applyFill="1" applyBorder="1" applyAlignment="1">
      <alignment horizontal="left"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4" fillId="3" borderId="31" xfId="0" applyFont="1" applyFill="1" applyBorder="1" applyAlignment="1">
      <alignment horizontal="center" wrapText="1"/>
    </xf>
    <xf numFmtId="0" fontId="4" fillId="3" borderId="32" xfId="0" applyFont="1" applyFill="1" applyBorder="1" applyAlignment="1">
      <alignment horizontal="center" wrapText="1"/>
    </xf>
    <xf numFmtId="0" fontId="11" fillId="0" borderId="16" xfId="0" applyFont="1" applyBorder="1" applyAlignment="1">
      <alignment horizontal="left" vertical="top"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top"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cellXfs>
  <cellStyles count="10">
    <cellStyle name="Comma" xfId="1" builtinId="3"/>
    <cellStyle name="Currency" xfId="2" builtinId="4"/>
    <cellStyle name="Heading 4" xfId="5" builtinId="19"/>
    <cellStyle name="Hyperlink" xfId="3" builtinId="8"/>
    <cellStyle name="Input" xfId="6" builtinId="20"/>
    <cellStyle name="Input 2" xfId="9" xr:uid="{1240FD1D-1B87-4564-BA10-C5B13903CE8B}"/>
    <cellStyle name="Left Table Header" xfId="8" xr:uid="{6DA3E058-E4D8-4820-950A-D56444455F46}"/>
    <cellStyle name="Normal" xfId="0" builtinId="0"/>
    <cellStyle name="Output" xfId="7" builtinId="21"/>
    <cellStyle name="Percent" xfId="4" builtinId="5"/>
  </cellStyles>
  <dxfs count="9">
    <dxf>
      <alignment horizontal="general"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0" indent="0" justifyLastLine="0" shrinkToFit="0" readingOrder="0"/>
    </dxf>
    <dxf>
      <border outline="0">
        <bottom style="thin">
          <color indexed="64"/>
        </bottom>
      </border>
    </dxf>
    <dxf>
      <alignment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457201</xdr:colOff>
      <xdr:row>1</xdr:row>
      <xdr:rowOff>142875</xdr:rowOff>
    </xdr:from>
    <xdr:to>
      <xdr:col>9</xdr:col>
      <xdr:colOff>180975</xdr:colOff>
      <xdr:row>21</xdr:row>
      <xdr:rowOff>85091</xdr:rowOff>
    </xdr:to>
    <xdr:pic>
      <xdr:nvPicPr>
        <xdr:cNvPr id="2" name="Picture 1">
          <a:extLst>
            <a:ext uri="{FF2B5EF4-FFF2-40B4-BE49-F238E27FC236}">
              <a16:creationId xmlns:a16="http://schemas.microsoft.com/office/drawing/2014/main" id="{C6BCEA48-EE1B-48B9-916D-7207B51D2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1" y="333375"/>
          <a:ext cx="6724649" cy="3752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485236</xdr:colOff>
      <xdr:row>51</xdr:row>
      <xdr:rowOff>19382</xdr:rowOff>
    </xdr:from>
    <xdr:to>
      <xdr:col>13</xdr:col>
      <xdr:colOff>206466</xdr:colOff>
      <xdr:row>56</xdr:row>
      <xdr:rowOff>516559</xdr:rowOff>
    </xdr:to>
    <xdr:pic>
      <xdr:nvPicPr>
        <xdr:cNvPr id="2" name="Picture 1">
          <a:extLst>
            <a:ext uri="{FF2B5EF4-FFF2-40B4-BE49-F238E27FC236}">
              <a16:creationId xmlns:a16="http://schemas.microsoft.com/office/drawing/2014/main" id="{7198D766-E398-9A29-4537-81CBEB647266}"/>
            </a:ext>
          </a:extLst>
        </xdr:cNvPr>
        <xdr:cNvPicPr>
          <a:picLocks noChangeAspect="1"/>
        </xdr:cNvPicPr>
      </xdr:nvPicPr>
      <xdr:blipFill>
        <a:blip xmlns:r="http://schemas.openxmlformats.org/officeDocument/2006/relationships" r:embed="rId1"/>
        <a:stretch>
          <a:fillRect/>
        </a:stretch>
      </xdr:blipFill>
      <xdr:spPr>
        <a:xfrm>
          <a:off x="10738090" y="11134877"/>
          <a:ext cx="5864376" cy="2168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334736</xdr:colOff>
      <xdr:row>68</xdr:row>
      <xdr:rowOff>185057</xdr:rowOff>
    </xdr:from>
    <xdr:to>
      <xdr:col>12</xdr:col>
      <xdr:colOff>111579</xdr:colOff>
      <xdr:row>1622</xdr:row>
      <xdr:rowOff>89807</xdr:rowOff>
    </xdr:to>
    <xdr:pic>
      <xdr:nvPicPr>
        <xdr:cNvPr id="17" name="Picture 4">
          <a:extLst>
            <a:ext uri="{FF2B5EF4-FFF2-40B4-BE49-F238E27FC236}">
              <a16:creationId xmlns:a16="http://schemas.microsoft.com/office/drawing/2014/main" id="{95AC201A-4F45-FC15-F620-4784C87A8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6236" y="13383986"/>
          <a:ext cx="10054318" cy="2669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21</xdr:row>
      <xdr:rowOff>28575</xdr:rowOff>
    </xdr:from>
    <xdr:to>
      <xdr:col>19</xdr:col>
      <xdr:colOff>220852</xdr:colOff>
      <xdr:row>34</xdr:row>
      <xdr:rowOff>131147</xdr:rowOff>
    </xdr:to>
    <xdr:pic>
      <xdr:nvPicPr>
        <xdr:cNvPr id="3" name="Picture 1">
          <a:extLst>
            <a:ext uri="{FF2B5EF4-FFF2-40B4-BE49-F238E27FC236}">
              <a16:creationId xmlns:a16="http://schemas.microsoft.com/office/drawing/2014/main" id="{C9C17FE0-DEF8-F060-DB09-FCC349132363}"/>
            </a:ext>
          </a:extLst>
        </xdr:cNvPr>
        <xdr:cNvPicPr>
          <a:picLocks noChangeAspect="1"/>
        </xdr:cNvPicPr>
      </xdr:nvPicPr>
      <xdr:blipFill>
        <a:blip xmlns:r="http://schemas.openxmlformats.org/officeDocument/2006/relationships" r:embed="rId1"/>
        <a:stretch>
          <a:fillRect/>
        </a:stretch>
      </xdr:blipFill>
      <xdr:spPr>
        <a:xfrm>
          <a:off x="3857625" y="4048125"/>
          <a:ext cx="6104762" cy="2380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228406</xdr:colOff>
      <xdr:row>24</xdr:row>
      <xdr:rowOff>79372</xdr:rowOff>
    </xdr:from>
    <xdr:to>
      <xdr:col>11</xdr:col>
      <xdr:colOff>158103</xdr:colOff>
      <xdr:row>41</xdr:row>
      <xdr:rowOff>36932</xdr:rowOff>
    </xdr:to>
    <xdr:pic>
      <xdr:nvPicPr>
        <xdr:cNvPr id="2" name="Picture 1">
          <a:extLst>
            <a:ext uri="{FF2B5EF4-FFF2-40B4-BE49-F238E27FC236}">
              <a16:creationId xmlns:a16="http://schemas.microsoft.com/office/drawing/2014/main" id="{A5328CFF-5191-416A-CB6E-CC38314E6DDF}"/>
            </a:ext>
          </a:extLst>
        </xdr:cNvPr>
        <xdr:cNvPicPr>
          <a:picLocks noChangeAspect="1"/>
        </xdr:cNvPicPr>
      </xdr:nvPicPr>
      <xdr:blipFill>
        <a:blip xmlns:r="http://schemas.openxmlformats.org/officeDocument/2006/relationships" r:embed="rId1"/>
        <a:stretch>
          <a:fillRect/>
        </a:stretch>
      </xdr:blipFill>
      <xdr:spPr>
        <a:xfrm>
          <a:off x="5923967" y="4404500"/>
          <a:ext cx="5545559" cy="3223274"/>
        </a:xfrm>
        <a:prstGeom prst="rect">
          <a:avLst/>
        </a:prstGeom>
      </xdr:spPr>
    </xdr:pic>
    <xdr:clientData/>
  </xdr:twoCellAnchor>
  <xdr:twoCellAnchor editAs="oneCell">
    <xdr:from>
      <xdr:col>1</xdr:col>
      <xdr:colOff>16597</xdr:colOff>
      <xdr:row>44</xdr:row>
      <xdr:rowOff>17565</xdr:rowOff>
    </xdr:from>
    <xdr:to>
      <xdr:col>15</xdr:col>
      <xdr:colOff>335495</xdr:colOff>
      <xdr:row>79</xdr:row>
      <xdr:rowOff>172995</xdr:rowOff>
    </xdr:to>
    <xdr:pic>
      <xdr:nvPicPr>
        <xdr:cNvPr id="8" name="Picture 3">
          <a:extLst>
            <a:ext uri="{FF2B5EF4-FFF2-40B4-BE49-F238E27FC236}">
              <a16:creationId xmlns:a16="http://schemas.microsoft.com/office/drawing/2014/main" id="{BDFB54B9-66EF-1BC8-D4E7-99C58A4590A8}"/>
            </a:ext>
          </a:extLst>
        </xdr:cNvPr>
        <xdr:cNvPicPr>
          <a:picLocks noChangeAspect="1"/>
        </xdr:cNvPicPr>
      </xdr:nvPicPr>
      <xdr:blipFill>
        <a:blip xmlns:r="http://schemas.openxmlformats.org/officeDocument/2006/relationships" r:embed="rId2"/>
        <a:stretch>
          <a:fillRect/>
        </a:stretch>
      </xdr:blipFill>
      <xdr:spPr>
        <a:xfrm>
          <a:off x="621563" y="11550538"/>
          <a:ext cx="13493878" cy="6289530"/>
        </a:xfrm>
        <a:prstGeom prst="rect">
          <a:avLst/>
        </a:prstGeom>
      </xdr:spPr>
    </xdr:pic>
    <xdr:clientData/>
  </xdr:twoCellAnchor>
  <xdr:twoCellAnchor editAs="oneCell">
    <xdr:from>
      <xdr:col>0</xdr:col>
      <xdr:colOff>579942</xdr:colOff>
      <xdr:row>77</xdr:row>
      <xdr:rowOff>136918</xdr:rowOff>
    </xdr:from>
    <xdr:to>
      <xdr:col>9</xdr:col>
      <xdr:colOff>590003</xdr:colOff>
      <xdr:row>97</xdr:row>
      <xdr:rowOff>150501</xdr:rowOff>
    </xdr:to>
    <xdr:pic>
      <xdr:nvPicPr>
        <xdr:cNvPr id="7" name="Picture 4">
          <a:extLst>
            <a:ext uri="{FF2B5EF4-FFF2-40B4-BE49-F238E27FC236}">
              <a16:creationId xmlns:a16="http://schemas.microsoft.com/office/drawing/2014/main" id="{94C4C423-4AC4-D22B-C60F-B810993EBE65}"/>
            </a:ext>
          </a:extLst>
        </xdr:cNvPr>
        <xdr:cNvPicPr>
          <a:picLocks noChangeAspect="1"/>
        </xdr:cNvPicPr>
      </xdr:nvPicPr>
      <xdr:blipFill>
        <a:blip xmlns:r="http://schemas.openxmlformats.org/officeDocument/2006/relationships" r:embed="rId3"/>
        <a:stretch>
          <a:fillRect/>
        </a:stretch>
      </xdr:blipFill>
      <xdr:spPr>
        <a:xfrm>
          <a:off x="579942" y="18041344"/>
          <a:ext cx="9832241" cy="3518783"/>
        </a:xfrm>
        <a:prstGeom prst="rect">
          <a:avLst/>
        </a:prstGeom>
      </xdr:spPr>
    </xdr:pic>
    <xdr:clientData/>
  </xdr:twoCellAnchor>
  <xdr:twoCellAnchor editAs="oneCell">
    <xdr:from>
      <xdr:col>0</xdr:col>
      <xdr:colOff>544500</xdr:colOff>
      <xdr:row>96</xdr:row>
      <xdr:rowOff>135242</xdr:rowOff>
    </xdr:from>
    <xdr:to>
      <xdr:col>9</xdr:col>
      <xdr:colOff>454204</xdr:colOff>
      <xdr:row>118</xdr:row>
      <xdr:rowOff>1096</xdr:rowOff>
    </xdr:to>
    <xdr:pic>
      <xdr:nvPicPr>
        <xdr:cNvPr id="3" name="Picture 5">
          <a:extLst>
            <a:ext uri="{FF2B5EF4-FFF2-40B4-BE49-F238E27FC236}">
              <a16:creationId xmlns:a16="http://schemas.microsoft.com/office/drawing/2014/main" id="{0C351DFC-7687-B9EB-0C91-9080F9032037}"/>
            </a:ext>
          </a:extLst>
        </xdr:cNvPr>
        <xdr:cNvPicPr>
          <a:picLocks noChangeAspect="1"/>
        </xdr:cNvPicPr>
      </xdr:nvPicPr>
      <xdr:blipFill>
        <a:blip xmlns:r="http://schemas.openxmlformats.org/officeDocument/2006/relationships" r:embed="rId4"/>
        <a:stretch>
          <a:fillRect/>
        </a:stretch>
      </xdr:blipFill>
      <xdr:spPr>
        <a:xfrm>
          <a:off x="544500" y="21708080"/>
          <a:ext cx="9731884" cy="37215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181017</xdr:colOff>
      <xdr:row>46</xdr:row>
      <xdr:rowOff>38100</xdr:rowOff>
    </xdr:from>
    <xdr:to>
      <xdr:col>5</xdr:col>
      <xdr:colOff>560831</xdr:colOff>
      <xdr:row>70</xdr:row>
      <xdr:rowOff>0</xdr:rowOff>
    </xdr:to>
    <xdr:grpSp>
      <xdr:nvGrpSpPr>
        <xdr:cNvPr id="4" name="Group 3">
          <a:extLst>
            <a:ext uri="{FF2B5EF4-FFF2-40B4-BE49-F238E27FC236}">
              <a16:creationId xmlns:a16="http://schemas.microsoft.com/office/drawing/2014/main" id="{249D77EE-E739-1383-A5A3-E08D91073D68}"/>
            </a:ext>
          </a:extLst>
        </xdr:cNvPr>
        <xdr:cNvGrpSpPr/>
      </xdr:nvGrpSpPr>
      <xdr:grpSpPr>
        <a:xfrm>
          <a:off x="868934" y="9563100"/>
          <a:ext cx="6539314" cy="4279900"/>
          <a:chOff x="790617" y="9124950"/>
          <a:chExt cx="5770964" cy="4533900"/>
        </a:xfrm>
      </xdr:grpSpPr>
      <xdr:pic>
        <xdr:nvPicPr>
          <xdr:cNvPr id="2" name="Picture 1">
            <a:extLst>
              <a:ext uri="{FF2B5EF4-FFF2-40B4-BE49-F238E27FC236}">
                <a16:creationId xmlns:a16="http://schemas.microsoft.com/office/drawing/2014/main" id="{EF7C0B0B-AE3D-9820-4E27-3BED3713C406}"/>
              </a:ext>
            </a:extLst>
          </xdr:cNvPr>
          <xdr:cNvPicPr>
            <a:picLocks noChangeAspect="1"/>
          </xdr:cNvPicPr>
        </xdr:nvPicPr>
        <xdr:blipFill>
          <a:blip xmlns:r="http://schemas.openxmlformats.org/officeDocument/2006/relationships" r:embed="rId1"/>
          <a:stretch>
            <a:fillRect/>
          </a:stretch>
        </xdr:blipFill>
        <xdr:spPr>
          <a:xfrm>
            <a:off x="790617" y="9124950"/>
            <a:ext cx="5770964" cy="4533900"/>
          </a:xfrm>
          <a:prstGeom prst="rect">
            <a:avLst/>
          </a:prstGeom>
        </xdr:spPr>
      </xdr:pic>
      <xdr:sp macro="" textlink="">
        <xdr:nvSpPr>
          <xdr:cNvPr id="3" name="Star: 5 Points 2">
            <a:extLst>
              <a:ext uri="{FF2B5EF4-FFF2-40B4-BE49-F238E27FC236}">
                <a16:creationId xmlns:a16="http://schemas.microsoft.com/office/drawing/2014/main" id="{EB0242FD-3C68-2C36-FF0F-938B86C14995}"/>
              </a:ext>
            </a:extLst>
          </xdr:cNvPr>
          <xdr:cNvSpPr/>
        </xdr:nvSpPr>
        <xdr:spPr>
          <a:xfrm>
            <a:off x="3114675" y="11353800"/>
            <a:ext cx="180975"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309562</xdr:colOff>
      <xdr:row>1</xdr:row>
      <xdr:rowOff>14287</xdr:rowOff>
    </xdr:from>
    <xdr:to>
      <xdr:col>6</xdr:col>
      <xdr:colOff>1160762</xdr:colOff>
      <xdr:row>24</xdr:row>
      <xdr:rowOff>59531</xdr:rowOff>
    </xdr:to>
    <xdr:pic>
      <xdr:nvPicPr>
        <xdr:cNvPr id="2" name="Picture 1">
          <a:extLst>
            <a:ext uri="{FF2B5EF4-FFF2-40B4-BE49-F238E27FC236}">
              <a16:creationId xmlns:a16="http://schemas.microsoft.com/office/drawing/2014/main" id="{7777346E-C7D8-5E29-D3F0-9A83F4F37C51}"/>
            </a:ext>
          </a:extLst>
        </xdr:cNvPr>
        <xdr:cNvPicPr>
          <a:picLocks noChangeAspect="1"/>
        </xdr:cNvPicPr>
      </xdr:nvPicPr>
      <xdr:blipFill>
        <a:blip xmlns:r="http://schemas.openxmlformats.org/officeDocument/2006/relationships" r:embed="rId1"/>
        <a:stretch>
          <a:fillRect/>
        </a:stretch>
      </xdr:blipFill>
      <xdr:spPr>
        <a:xfrm>
          <a:off x="678656" y="192881"/>
          <a:ext cx="7016256" cy="4152900"/>
        </a:xfrm>
        <a:prstGeom prst="rect">
          <a:avLst/>
        </a:prstGeom>
      </xdr:spPr>
    </xdr:pic>
    <xdr:clientData/>
  </xdr:twoCellAnchor>
  <xdr:twoCellAnchor editAs="oneCell">
    <xdr:from>
      <xdr:col>7</xdr:col>
      <xdr:colOff>100351</xdr:colOff>
      <xdr:row>0</xdr:row>
      <xdr:rowOff>123825</xdr:rowOff>
    </xdr:from>
    <xdr:to>
      <xdr:col>14</xdr:col>
      <xdr:colOff>323627</xdr:colOff>
      <xdr:row>25</xdr:row>
      <xdr:rowOff>102896</xdr:rowOff>
    </xdr:to>
    <xdr:pic>
      <xdr:nvPicPr>
        <xdr:cNvPr id="15" name="Picture 2">
          <a:extLst>
            <a:ext uri="{FF2B5EF4-FFF2-40B4-BE49-F238E27FC236}">
              <a16:creationId xmlns:a16="http://schemas.microsoft.com/office/drawing/2014/main" id="{A07D1079-BB4B-9509-3FE9-46847D7ED65B}"/>
            </a:ext>
          </a:extLst>
        </xdr:cNvPr>
        <xdr:cNvPicPr>
          <a:picLocks noChangeAspect="1"/>
        </xdr:cNvPicPr>
      </xdr:nvPicPr>
      <xdr:blipFill>
        <a:blip xmlns:r="http://schemas.openxmlformats.org/officeDocument/2006/relationships" r:embed="rId2"/>
        <a:stretch>
          <a:fillRect/>
        </a:stretch>
      </xdr:blipFill>
      <xdr:spPr>
        <a:xfrm>
          <a:off x="7843616" y="123825"/>
          <a:ext cx="7149856" cy="43605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0C64BB-CDC4-4005-899F-E0B445B3F70F}" name="NBI_Road_Type_Code" displayName="NBI_Road_Type_Code" ref="B4:E16" totalsRowShown="0" headerRowDxfId="8" dataDxfId="6" headerRowBorderDxfId="7" tableBorderDxfId="5" totalsRowBorderDxfId="4">
  <tableColumns count="4">
    <tableColumn id="1" xr3:uid="{50718240-3C6A-40F3-BFEB-645E19C239CC}" name="NBI Code" dataDxfId="3"/>
    <tableColumn id="2" xr3:uid="{08A8F23D-0498-499D-9A42-CC13C4BFF335}" name="Roadway Types" dataDxfId="2"/>
    <tableColumn id="3" xr3:uid="{FE795170-20EC-4056-92EC-13F05F06A3B1}" name="Average Speed (FHWA VHT)" dataDxfId="1"/>
    <tableColumn id="4" xr3:uid="{AF1A93AA-A813-4308-AB8D-E1237AFFC1B8}" name="MOVES Roadway Type" dataDxfId="0"/>
  </tableColumns>
  <tableStyleInfo name="TableStyleLight9"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3" Type="http://schemas.openxmlformats.org/officeDocument/2006/relationships/hyperlink" Target="https://oklahoma.gov/content/dam/ok/en/highwaysafety/documents/the-work-we-do/crash-data/2021_s1_summarybackground.pdf" TargetMode="External"/><Relationship Id="rId7" Type="http://schemas.openxmlformats.org/officeDocument/2006/relationships/drawing" Target="../drawings/drawing2.xml"/><Relationship Id="rId2" Type="http://schemas.openxmlformats.org/officeDocument/2006/relationships/hyperlink" Target="https://publications.iowa.gov/27272/1/Final%20Report_work_zone_activity_traffic_flow_impacts_w_cvr.pdf" TargetMode="External"/><Relationship Id="rId1" Type="http://schemas.openxmlformats.org/officeDocument/2006/relationships/hyperlink" Target="https://www.virginiadot.org/vtrc/main/online_reports/pdf/18-r1.pdf" TargetMode="External"/><Relationship Id="rId6" Type="http://schemas.openxmlformats.org/officeDocument/2006/relationships/printerSettings" Target="../printerSettings/printerSettings2.bin"/><Relationship Id="rId5" Type="http://schemas.openxmlformats.org/officeDocument/2006/relationships/hyperlink" Target="https://cmfclearinghouse.fhwa.dot.gov/detail.php?facid=11" TargetMode="External"/><Relationship Id="rId4" Type="http://schemas.openxmlformats.org/officeDocument/2006/relationships/hyperlink" Target="https://okdot.maps.arcgis.com/apps/webappviewer/index.html?id=6555de44b6314ab2a71bb0620e52ea78"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4:C25"/>
  <sheetViews>
    <sheetView showGridLines="0" workbookViewId="0">
      <selection activeCell="C24" sqref="C24"/>
    </sheetView>
  </sheetViews>
  <sheetFormatPr defaultRowHeight="14.25" x14ac:dyDescent="0.2"/>
  <cols>
    <col min="2" max="2" width="31.875" customWidth="1"/>
  </cols>
  <sheetData>
    <row r="24" spans="2:3" ht="18.75" x14ac:dyDescent="0.3">
      <c r="B24" s="1" t="s">
        <v>0</v>
      </c>
      <c r="C24" s="33" t="s">
        <v>691</v>
      </c>
    </row>
    <row r="25" spans="2:3" ht="18.75" x14ac:dyDescent="0.3">
      <c r="B25" s="1" t="s">
        <v>1</v>
      </c>
      <c r="C25" s="33" t="s">
        <v>545</v>
      </c>
    </row>
  </sheetData>
  <sheetProtection algorithmName="SHA-512" hashValue="o7Wx65KZ2M5z0D438qeT0Y8BTNauv8PGUgIxQ6Wb1hvJGiVXR9mqeIWcO7vrafrqATQROXgMKEQ3XUuGIAwytQ==" saltValue="/JmLNGhit7rjmfuUdAJERw=="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8D7F-26B5-49C3-9BF9-D993F40A0A39}">
  <sheetPr>
    <tabColor theme="0"/>
  </sheetPr>
  <dimension ref="B2:F45"/>
  <sheetViews>
    <sheetView zoomScale="74" zoomScaleNormal="85" workbookViewId="0">
      <selection activeCell="D14" sqref="D14"/>
    </sheetView>
  </sheetViews>
  <sheetFormatPr defaultRowHeight="14.25" x14ac:dyDescent="0.2"/>
  <cols>
    <col min="2" max="2" width="35" customWidth="1"/>
    <col min="3" max="3" width="19.375" customWidth="1"/>
    <col min="4" max="4" width="15.625" customWidth="1"/>
    <col min="5" max="5" width="10.75" customWidth="1"/>
    <col min="6" max="6" width="17.375" customWidth="1"/>
  </cols>
  <sheetData>
    <row r="2" spans="2:4" ht="15" x14ac:dyDescent="0.25">
      <c r="B2" s="23" t="s">
        <v>182</v>
      </c>
    </row>
    <row r="4" spans="2:4" ht="15" x14ac:dyDescent="0.25">
      <c r="B4" s="87" t="s">
        <v>183</v>
      </c>
      <c r="C4" s="25"/>
    </row>
    <row r="5" spans="2:4" x14ac:dyDescent="0.2">
      <c r="B5" s="25" t="s">
        <v>184</v>
      </c>
      <c r="C5" s="25" t="s">
        <v>34</v>
      </c>
      <c r="D5" s="86"/>
    </row>
    <row r="6" spans="2:4" ht="28.5" x14ac:dyDescent="0.2">
      <c r="B6" s="88" t="s">
        <v>185</v>
      </c>
      <c r="C6" s="89" t="s">
        <v>186</v>
      </c>
      <c r="D6" s="86"/>
    </row>
    <row r="7" spans="2:4" ht="15" x14ac:dyDescent="0.2">
      <c r="B7" s="90" t="s">
        <v>187</v>
      </c>
      <c r="C7" s="91" t="s">
        <v>188</v>
      </c>
      <c r="D7" s="86"/>
    </row>
    <row r="8" spans="2:4" ht="15" x14ac:dyDescent="0.25">
      <c r="B8" s="90" t="s">
        <v>189</v>
      </c>
      <c r="C8" s="92">
        <v>6</v>
      </c>
    </row>
    <row r="9" spans="2:4" ht="15" x14ac:dyDescent="0.25">
      <c r="B9" s="90" t="s">
        <v>190</v>
      </c>
      <c r="C9" s="93">
        <v>49.6</v>
      </c>
      <c r="D9" s="86"/>
    </row>
    <row r="10" spans="2:4" ht="15" x14ac:dyDescent="0.25">
      <c r="B10" s="35"/>
    </row>
    <row r="11" spans="2:4" ht="15" x14ac:dyDescent="0.25">
      <c r="B11" s="94" t="s">
        <v>191</v>
      </c>
      <c r="C11" s="25"/>
      <c r="D11" s="25"/>
    </row>
    <row r="12" spans="2:4" ht="28.5" x14ac:dyDescent="0.2">
      <c r="B12" s="95" t="s">
        <v>192</v>
      </c>
      <c r="C12" s="96" t="s">
        <v>193</v>
      </c>
      <c r="D12" s="96" t="s">
        <v>194</v>
      </c>
    </row>
    <row r="13" spans="2:4" ht="15" x14ac:dyDescent="0.2">
      <c r="B13" s="90" t="s">
        <v>195</v>
      </c>
      <c r="C13" s="89">
        <v>3</v>
      </c>
      <c r="D13" s="91">
        <f>'3-Inputs'!C15</f>
        <v>2038</v>
      </c>
    </row>
    <row r="14" spans="2:4" ht="15" x14ac:dyDescent="0.2">
      <c r="B14" s="90" t="s">
        <v>196</v>
      </c>
      <c r="C14" s="89">
        <v>2</v>
      </c>
      <c r="D14" s="91">
        <f>'3-Inputs'!C16</f>
        <v>2048</v>
      </c>
    </row>
    <row r="15" spans="2:4" ht="15" x14ac:dyDescent="0.2">
      <c r="B15" s="90" t="s">
        <v>197</v>
      </c>
      <c r="C15" s="89">
        <v>4</v>
      </c>
      <c r="D15" s="97">
        <v>2038</v>
      </c>
    </row>
    <row r="16" spans="2:4" ht="15" x14ac:dyDescent="0.2">
      <c r="B16" s="90" t="s">
        <v>198</v>
      </c>
      <c r="C16" s="89">
        <v>3</v>
      </c>
      <c r="D16" s="97">
        <v>2048</v>
      </c>
    </row>
    <row r="17" spans="2:6" x14ac:dyDescent="0.2">
      <c r="B17" t="s">
        <v>199</v>
      </c>
    </row>
    <row r="18" spans="2:6" x14ac:dyDescent="0.2">
      <c r="B18" t="s">
        <v>200</v>
      </c>
    </row>
    <row r="20" spans="2:6" ht="15" x14ac:dyDescent="0.25">
      <c r="B20" s="94" t="s">
        <v>201</v>
      </c>
      <c r="C20" s="25"/>
      <c r="D20" s="25"/>
      <c r="E20" s="25"/>
      <c r="F20" s="25"/>
    </row>
    <row r="21" spans="2:6" ht="42.75" x14ac:dyDescent="0.2">
      <c r="B21" s="95" t="s">
        <v>202</v>
      </c>
      <c r="C21" s="96" t="s">
        <v>203</v>
      </c>
      <c r="D21" s="96" t="s">
        <v>204</v>
      </c>
      <c r="E21" s="96" t="s">
        <v>205</v>
      </c>
      <c r="F21" s="96" t="s">
        <v>206</v>
      </c>
    </row>
    <row r="22" spans="2:6" ht="75" x14ac:dyDescent="0.2">
      <c r="B22" s="90" t="s">
        <v>207</v>
      </c>
      <c r="C22" s="91" t="s">
        <v>208</v>
      </c>
      <c r="D22" s="91">
        <v>2052</v>
      </c>
      <c r="E22" s="103">
        <v>1</v>
      </c>
      <c r="F22" s="91" t="s">
        <v>209</v>
      </c>
    </row>
    <row r="24" spans="2:6" x14ac:dyDescent="0.2">
      <c r="B24" s="98" t="s">
        <v>210</v>
      </c>
    </row>
    <row r="25" spans="2:6" ht="15" x14ac:dyDescent="0.25">
      <c r="B25" s="87" t="s">
        <v>211</v>
      </c>
      <c r="C25" s="99"/>
    </row>
    <row r="26" spans="2:6" x14ac:dyDescent="0.2">
      <c r="B26" s="25" t="s">
        <v>212</v>
      </c>
      <c r="C26" s="100" t="s">
        <v>213</v>
      </c>
    </row>
    <row r="27" spans="2:6" ht="15" x14ac:dyDescent="0.25">
      <c r="B27" s="100" t="s">
        <v>214</v>
      </c>
      <c r="C27" s="123" t="s">
        <v>215</v>
      </c>
    </row>
    <row r="28" spans="2:6" ht="15" x14ac:dyDescent="0.25">
      <c r="B28" s="100" t="s">
        <v>216</v>
      </c>
      <c r="C28" s="123" t="s">
        <v>217</v>
      </c>
    </row>
    <row r="29" spans="2:6" ht="15" x14ac:dyDescent="0.25">
      <c r="B29" s="100" t="s">
        <v>218</v>
      </c>
      <c r="C29" s="123" t="s">
        <v>219</v>
      </c>
    </row>
    <row r="30" spans="2:6" ht="15" x14ac:dyDescent="0.2">
      <c r="B30" s="101" t="s">
        <v>220</v>
      </c>
      <c r="C30" s="125" t="s">
        <v>221</v>
      </c>
    </row>
    <row r="31" spans="2:6" x14ac:dyDescent="0.2">
      <c r="B31" s="101" t="s">
        <v>222</v>
      </c>
      <c r="C31" s="128" t="s">
        <v>223</v>
      </c>
    </row>
    <row r="32" spans="2:6" ht="15" x14ac:dyDescent="0.2">
      <c r="B32" s="101" t="s">
        <v>224</v>
      </c>
      <c r="C32" s="124" t="s">
        <v>225</v>
      </c>
    </row>
    <row r="33" spans="2:3" ht="15" x14ac:dyDescent="0.2">
      <c r="B33" s="101" t="s">
        <v>226</v>
      </c>
      <c r="C33" s="125" t="s">
        <v>227</v>
      </c>
    </row>
    <row r="34" spans="2:3" ht="15" x14ac:dyDescent="0.2">
      <c r="B34" s="101" t="s">
        <v>228</v>
      </c>
      <c r="C34" s="125" t="s">
        <v>229</v>
      </c>
    </row>
    <row r="35" spans="2:3" ht="15" x14ac:dyDescent="0.2">
      <c r="B35" s="101" t="s">
        <v>230</v>
      </c>
      <c r="C35" s="125">
        <v>0.37675574891236796</v>
      </c>
    </row>
    <row r="36" spans="2:3" ht="15" x14ac:dyDescent="0.2">
      <c r="B36" s="101" t="s">
        <v>231</v>
      </c>
      <c r="C36" s="126">
        <v>4.9709680000000001</v>
      </c>
    </row>
    <row r="37" spans="2:3" ht="15" x14ac:dyDescent="0.2">
      <c r="B37" s="101" t="s">
        <v>232</v>
      </c>
      <c r="C37" s="125" t="s">
        <v>233</v>
      </c>
    </row>
    <row r="38" spans="2:3" ht="15" x14ac:dyDescent="0.2">
      <c r="B38" s="101" t="s">
        <v>234</v>
      </c>
      <c r="C38" s="125" t="s">
        <v>233</v>
      </c>
    </row>
    <row r="39" spans="2:3" ht="15" x14ac:dyDescent="0.25">
      <c r="B39" s="102" t="s">
        <v>235</v>
      </c>
      <c r="C39" s="127" t="s">
        <v>236</v>
      </c>
    </row>
    <row r="40" spans="2:3" ht="15" x14ac:dyDescent="0.2">
      <c r="B40" s="101" t="s">
        <v>237</v>
      </c>
      <c r="C40" s="125">
        <v>1967</v>
      </c>
    </row>
    <row r="41" spans="2:3" ht="15" x14ac:dyDescent="0.2">
      <c r="B41" s="101" t="s">
        <v>238</v>
      </c>
      <c r="C41" s="125">
        <v>1983</v>
      </c>
    </row>
    <row r="42" spans="2:3" ht="15" x14ac:dyDescent="0.2">
      <c r="B42" s="101" t="s">
        <v>239</v>
      </c>
      <c r="C42" s="125">
        <v>4</v>
      </c>
    </row>
    <row r="44" spans="2:3" ht="15" x14ac:dyDescent="0.25">
      <c r="B44" s="23" t="s">
        <v>437</v>
      </c>
    </row>
    <row r="45" spans="2:3" x14ac:dyDescent="0.2">
      <c r="B45" s="121"/>
    </row>
  </sheetData>
  <sheetProtection algorithmName="SHA-512" hashValue="VkwvN8nYh1W/m1OxIgfzPZYey/ld8tLihGxVLr/O/WKqX45t9KkaGBPMZ1DDK4LMudZBJlVib5FSYXY5BSmdJA==" saltValue="R9gosl2dvlyz020WfoaMJA==" spinCount="100000" sheet="1" objects="1" scenarios="1"/>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581C-1F98-4047-B3C3-003D47237F0E}">
  <sheetPr>
    <tabColor theme="0"/>
  </sheetPr>
  <dimension ref="A1:O51"/>
  <sheetViews>
    <sheetView zoomScale="85" zoomScaleNormal="85" workbookViewId="0">
      <selection activeCell="O34" sqref="O34"/>
    </sheetView>
  </sheetViews>
  <sheetFormatPr defaultColWidth="9" defaultRowHeight="13.5" x14ac:dyDescent="0.25"/>
  <cols>
    <col min="1" max="1" width="4.375" style="5" customWidth="1"/>
    <col min="2" max="2" width="37.125" style="5" customWidth="1"/>
    <col min="3" max="3" width="18.625" style="5" customWidth="1"/>
    <col min="4" max="4" width="9" style="5" bestFit="1"/>
    <col min="5" max="5" width="11.375" style="5" customWidth="1"/>
    <col min="6" max="6" width="12.125" style="5" customWidth="1"/>
    <col min="7" max="7" width="3.25" style="5" customWidth="1"/>
    <col min="8" max="8" width="20.625" style="5" customWidth="1"/>
    <col min="9" max="9" width="17.25" style="5" customWidth="1"/>
    <col min="10" max="10" width="21.125" style="5" customWidth="1"/>
    <col min="11" max="11" width="20.125" style="5" customWidth="1"/>
    <col min="12" max="12" width="22.375" style="5" customWidth="1"/>
    <col min="13" max="13" width="22.625" style="5" customWidth="1"/>
    <col min="14" max="14" width="14.875" style="5" customWidth="1"/>
    <col min="15" max="15" width="20.375" style="5" customWidth="1"/>
    <col min="16" max="16384" width="9" style="5"/>
  </cols>
  <sheetData>
    <row r="1" spans="1:15" ht="15" x14ac:dyDescent="0.25">
      <c r="A1"/>
      <c r="B1"/>
    </row>
    <row r="2" spans="1:15" x14ac:dyDescent="0.25">
      <c r="B2" s="47" t="s">
        <v>157</v>
      </c>
      <c r="C2" s="47" t="s">
        <v>34</v>
      </c>
      <c r="E2" s="5" t="s">
        <v>26</v>
      </c>
    </row>
    <row r="3" spans="1:15" ht="39" customHeight="1" x14ac:dyDescent="0.25">
      <c r="B3" s="5" t="str">
        <f>'3-Inputs'!B4</f>
        <v>Discount Rate</v>
      </c>
      <c r="C3" s="48">
        <f>'3-Inputs'!C4</f>
        <v>3.1E-2</v>
      </c>
      <c r="E3" s="49" t="s">
        <v>178</v>
      </c>
      <c r="F3" s="49" t="s">
        <v>174</v>
      </c>
      <c r="H3" s="49" t="s">
        <v>409</v>
      </c>
      <c r="I3" s="49" t="s">
        <v>416</v>
      </c>
      <c r="J3" s="119" t="s">
        <v>424</v>
      </c>
      <c r="K3" s="49" t="s">
        <v>430</v>
      </c>
      <c r="L3" s="49" t="s">
        <v>170</v>
      </c>
      <c r="M3" s="49" t="s">
        <v>391</v>
      </c>
    </row>
    <row r="4" spans="1:15" ht="15" x14ac:dyDescent="0.25">
      <c r="B4" s="5" t="str">
        <f>'3-Inputs'!B6</f>
        <v>Discount Year</v>
      </c>
      <c r="C4" s="5">
        <f>'3-Inputs'!C6</f>
        <v>2022</v>
      </c>
      <c r="E4" s="2">
        <v>1</v>
      </c>
      <c r="F4" s="2">
        <f>$C$5</f>
        <v>2029</v>
      </c>
      <c r="H4" s="31">
        <f>$C$7</f>
        <v>4656.9057687704453</v>
      </c>
      <c r="I4" s="31"/>
      <c r="J4" s="31"/>
      <c r="K4" s="31"/>
      <c r="L4" s="31">
        <f>SUM(H4:K4)*$C$6</f>
        <v>-4656.9057687704453</v>
      </c>
      <c r="M4" s="31">
        <f>L4/((1+$C$3)^($F4-$C$4))</f>
        <v>-3760.8567640770902</v>
      </c>
      <c r="O4" s="17">
        <f>(L4/Deflator!$C$89)*Deflator!$C$91</f>
        <v>-4999.9999999999991</v>
      </c>
    </row>
    <row r="5" spans="1:15" ht="15" x14ac:dyDescent="0.25">
      <c r="B5" s="5" t="str">
        <f>'3-Inputs'!B9</f>
        <v>Project Start Year</v>
      </c>
      <c r="C5" s="5">
        <f>'3-Inputs'!C9</f>
        <v>2029</v>
      </c>
      <c r="E5" s="2">
        <f t="shared" ref="E5:F20" si="0">E4+1</f>
        <v>2</v>
      </c>
      <c r="F5" s="2">
        <f t="shared" si="0"/>
        <v>2030</v>
      </c>
      <c r="H5" s="31">
        <f>IF(H4=$C$7,0,IF(H3=$C$7,$C$7))</f>
        <v>0</v>
      </c>
      <c r="I5" s="31">
        <f>$C$8</f>
        <v>9313.8115375408906</v>
      </c>
      <c r="J5" s="31">
        <f>$C$9</f>
        <v>18627.623075081781</v>
      </c>
      <c r="K5" s="31">
        <f>$C$10</f>
        <v>232845.28843852229</v>
      </c>
      <c r="L5" s="31">
        <f>SUM(H5:K5)*$C$6</f>
        <v>-260786.72305114497</v>
      </c>
      <c r="M5" s="31">
        <f t="shared" ref="M5:M33" si="1">L5/((1+$C$3)^($F5-$C$4))</f>
        <v>-204275.4401438575</v>
      </c>
      <c r="O5" s="17">
        <f>(L5/Deflator!$C$89)*Deflator!$C$91</f>
        <v>-280000</v>
      </c>
    </row>
    <row r="6" spans="1:15" ht="15" x14ac:dyDescent="0.25">
      <c r="B6" s="52" t="str">
        <f>'3-Inputs'!B19</f>
        <v>Disbenefit</v>
      </c>
      <c r="C6" s="77">
        <f>'3-Inputs'!C19</f>
        <v>-1</v>
      </c>
      <c r="E6" s="2">
        <f t="shared" si="0"/>
        <v>3</v>
      </c>
      <c r="F6" s="2">
        <f t="shared" si="0"/>
        <v>2031</v>
      </c>
      <c r="H6" s="31">
        <f t="shared" ref="H6:H33" si="2">IF(H5=$C$7,0,IF(H4=$C$7,$C$7))</f>
        <v>4656.9057687704453</v>
      </c>
      <c r="I6" s="31">
        <f>IF(I5=$C$8,0,IF(I4=$C$8,$C$8))</f>
        <v>0</v>
      </c>
      <c r="J6" s="31"/>
      <c r="K6" s="31"/>
      <c r="L6" s="31">
        <f t="shared" ref="L6:L33" si="3">SUM(H6:K6)*$C$6</f>
        <v>-4656.9057687704453</v>
      </c>
      <c r="M6" s="31">
        <f t="shared" si="1"/>
        <v>-3538.0947787144505</v>
      </c>
      <c r="O6" s="17">
        <f>(L6/Deflator!$C$89)*Deflator!$C$91</f>
        <v>-4999.9999999999991</v>
      </c>
    </row>
    <row r="7" spans="1:15" ht="15" x14ac:dyDescent="0.25">
      <c r="B7" s="52" t="str">
        <f>'3-Inputs'!B102</f>
        <v>Special Inspection- Every 2 Years (2022$)</v>
      </c>
      <c r="C7" s="58">
        <f>'3-Inputs'!C102</f>
        <v>4656.9057687704453</v>
      </c>
      <c r="E7" s="2">
        <f t="shared" si="0"/>
        <v>4</v>
      </c>
      <c r="F7" s="2">
        <f t="shared" si="0"/>
        <v>2032</v>
      </c>
      <c r="H7" s="31">
        <f t="shared" si="2"/>
        <v>0</v>
      </c>
      <c r="I7" s="31">
        <f t="shared" ref="I7:I33" si="4">IF(I6=$C$8,0,IF(I5=$C$8,$C$8))</f>
        <v>9313.8115375408906</v>
      </c>
      <c r="J7" s="31"/>
      <c r="K7" s="31"/>
      <c r="L7" s="31">
        <f t="shared" si="3"/>
        <v>-9313.8115375408906</v>
      </c>
      <c r="M7" s="31">
        <f t="shared" si="1"/>
        <v>-6863.4234310658594</v>
      </c>
      <c r="O7" s="17">
        <f>(L7/Deflator!$C$89)*Deflator!$C$91</f>
        <v>-9999.9999999999982</v>
      </c>
    </row>
    <row r="8" spans="1:15" ht="15" x14ac:dyDescent="0.25">
      <c r="B8" s="52" t="str">
        <f>'3-Inputs'!B103</f>
        <v>NBI and NSTM Inspection- Every 2 Years (2022$)</v>
      </c>
      <c r="C8" s="58">
        <f>'3-Inputs'!C103</f>
        <v>9313.8115375408906</v>
      </c>
      <c r="E8" s="2">
        <f t="shared" si="0"/>
        <v>5</v>
      </c>
      <c r="F8" s="2">
        <f t="shared" si="0"/>
        <v>2033</v>
      </c>
      <c r="H8" s="31">
        <f t="shared" si="2"/>
        <v>4656.9057687704453</v>
      </c>
      <c r="I8" s="31">
        <f t="shared" si="4"/>
        <v>0</v>
      </c>
      <c r="J8" s="31"/>
      <c r="K8" s="31"/>
      <c r="L8" s="31">
        <f t="shared" si="3"/>
        <v>-4656.9057687704453</v>
      </c>
      <c r="M8" s="31">
        <f t="shared" si="1"/>
        <v>-3328.5273671512414</v>
      </c>
      <c r="O8" s="17">
        <f>(L8/Deflator!$C$89)*Deflator!$C$91</f>
        <v>-4999.9999999999991</v>
      </c>
    </row>
    <row r="9" spans="1:15" ht="15" x14ac:dyDescent="0.25">
      <c r="B9" s="52" t="str">
        <f>'3-Inputs'!B104</f>
        <v>Under water inspection- Every 5 Years (2022$)</v>
      </c>
      <c r="C9" s="58">
        <f>'3-Inputs'!C104</f>
        <v>18627.623075081781</v>
      </c>
      <c r="E9" s="2">
        <f t="shared" si="0"/>
        <v>6</v>
      </c>
      <c r="F9" s="2">
        <f t="shared" si="0"/>
        <v>2034</v>
      </c>
      <c r="H9" s="31">
        <f t="shared" si="2"/>
        <v>0</v>
      </c>
      <c r="I9" s="31">
        <f t="shared" si="4"/>
        <v>9313.8115375408906</v>
      </c>
      <c r="J9" s="31"/>
      <c r="K9" s="58"/>
      <c r="L9" s="31">
        <f t="shared" si="3"/>
        <v>-9313.8115375408906</v>
      </c>
      <c r="M9" s="31">
        <f t="shared" si="1"/>
        <v>-6456.8911098957151</v>
      </c>
      <c r="O9" s="17">
        <f>(L9/Deflator!$C$89)*Deflator!$C$91</f>
        <v>-9999.9999999999982</v>
      </c>
    </row>
    <row r="10" spans="1:15" ht="15" x14ac:dyDescent="0.25">
      <c r="B10" s="52" t="str">
        <f>'3-Inputs'!B105</f>
        <v>Silane Bridge Deck (2022$)</v>
      </c>
      <c r="C10" s="58">
        <f>'3-Inputs'!C105</f>
        <v>232845.28843852229</v>
      </c>
      <c r="E10" s="2">
        <f t="shared" si="0"/>
        <v>7</v>
      </c>
      <c r="F10" s="2">
        <f t="shared" si="0"/>
        <v>2035</v>
      </c>
      <c r="H10" s="31">
        <f t="shared" si="2"/>
        <v>4656.9057687704453</v>
      </c>
      <c r="I10" s="31">
        <f t="shared" si="4"/>
        <v>0</v>
      </c>
      <c r="J10" s="31">
        <f>J5</f>
        <v>18627.623075081781</v>
      </c>
      <c r="K10" s="31"/>
      <c r="L10" s="31">
        <f t="shared" si="3"/>
        <v>-23284.528843852226</v>
      </c>
      <c r="M10" s="31">
        <f t="shared" si="1"/>
        <v>-15656.864960949842</v>
      </c>
      <c r="O10" s="17">
        <f>(L10/Deflator!$C$89)*Deflator!$C$91</f>
        <v>-25000</v>
      </c>
    </row>
    <row r="11" spans="1:15" ht="15" x14ac:dyDescent="0.25">
      <c r="B11" s="52"/>
      <c r="C11" s="58"/>
      <c r="E11" s="2">
        <f t="shared" si="0"/>
        <v>8</v>
      </c>
      <c r="F11" s="2">
        <f t="shared" si="0"/>
        <v>2036</v>
      </c>
      <c r="H11" s="31">
        <f t="shared" si="2"/>
        <v>0</v>
      </c>
      <c r="I11" s="31">
        <f t="shared" si="4"/>
        <v>9313.8115375408906</v>
      </c>
      <c r="J11" s="31"/>
      <c r="K11" s="31"/>
      <c r="L11" s="31">
        <f t="shared" si="3"/>
        <v>-9313.8115375408906</v>
      </c>
      <c r="M11" s="31">
        <f t="shared" si="1"/>
        <v>-6074.4383941609485</v>
      </c>
      <c r="O11" s="17">
        <f>(L11/Deflator!$C$89)*Deflator!$C$91</f>
        <v>-9999.9999999999982</v>
      </c>
    </row>
    <row r="12" spans="1:15" ht="15" x14ac:dyDescent="0.25">
      <c r="B12" s="52"/>
      <c r="C12" s="58"/>
      <c r="E12" s="2">
        <f t="shared" si="0"/>
        <v>9</v>
      </c>
      <c r="F12" s="2">
        <f t="shared" si="0"/>
        <v>2037</v>
      </c>
      <c r="H12" s="31">
        <f t="shared" si="2"/>
        <v>4656.9057687704453</v>
      </c>
      <c r="I12" s="31">
        <f t="shared" si="4"/>
        <v>0</v>
      </c>
      <c r="J12" s="31"/>
      <c r="K12" s="31"/>
      <c r="L12" s="31">
        <f t="shared" si="3"/>
        <v>-4656.9057687704453</v>
      </c>
      <c r="M12" s="31">
        <f t="shared" si="1"/>
        <v>-2945.8964084194708</v>
      </c>
      <c r="O12" s="17">
        <f>(L12/Deflator!$C$89)*Deflator!$C$91</f>
        <v>-4999.9999999999991</v>
      </c>
    </row>
    <row r="13" spans="1:15" ht="15" x14ac:dyDescent="0.25">
      <c r="B13" s="52"/>
      <c r="C13" s="58"/>
      <c r="E13" s="2">
        <f t="shared" si="0"/>
        <v>10</v>
      </c>
      <c r="F13" s="2">
        <f t="shared" si="0"/>
        <v>2038</v>
      </c>
      <c r="H13" s="31">
        <f t="shared" si="2"/>
        <v>0</v>
      </c>
      <c r="I13" s="31">
        <f t="shared" si="4"/>
        <v>9313.8115375408906</v>
      </c>
      <c r="J13" s="31"/>
      <c r="K13" s="31"/>
      <c r="L13" s="31">
        <f t="shared" si="3"/>
        <v>-9313.8115375408906</v>
      </c>
      <c r="M13" s="31">
        <f t="shared" si="1"/>
        <v>-5714.6390076032412</v>
      </c>
      <c r="O13" s="17">
        <f>(L13/Deflator!$C$89)*Deflator!$C$91</f>
        <v>-9999.9999999999982</v>
      </c>
    </row>
    <row r="14" spans="1:15" ht="15" x14ac:dyDescent="0.25">
      <c r="B14" s="52"/>
      <c r="C14" s="58"/>
      <c r="E14" s="2">
        <f t="shared" si="0"/>
        <v>11</v>
      </c>
      <c r="F14" s="2">
        <f t="shared" si="0"/>
        <v>2039</v>
      </c>
      <c r="H14" s="31">
        <f t="shared" si="2"/>
        <v>4656.9057687704453</v>
      </c>
      <c r="I14" s="31">
        <f t="shared" si="4"/>
        <v>0</v>
      </c>
      <c r="J14" s="31"/>
      <c r="K14" s="31"/>
      <c r="L14" s="31">
        <f t="shared" si="3"/>
        <v>-4656.9057687704453</v>
      </c>
      <c r="M14" s="31">
        <f t="shared" si="1"/>
        <v>-2771.4059202731532</v>
      </c>
      <c r="O14" s="17">
        <f>(L14/Deflator!$C$89)*Deflator!$C$91</f>
        <v>-4999.9999999999991</v>
      </c>
    </row>
    <row r="15" spans="1:15" ht="15" x14ac:dyDescent="0.25">
      <c r="B15" s="52"/>
      <c r="C15" s="58"/>
      <c r="E15" s="2">
        <f t="shared" si="0"/>
        <v>12</v>
      </c>
      <c r="F15" s="2">
        <f t="shared" si="0"/>
        <v>2040</v>
      </c>
      <c r="H15" s="31">
        <f t="shared" si="2"/>
        <v>0</v>
      </c>
      <c r="I15" s="31">
        <f t="shared" si="4"/>
        <v>9313.8115375408906</v>
      </c>
      <c r="J15" s="31">
        <f>J10</f>
        <v>18627.623075081781</v>
      </c>
      <c r="K15" s="31"/>
      <c r="L15" s="31">
        <f t="shared" si="3"/>
        <v>-27941.434612622674</v>
      </c>
      <c r="M15" s="31">
        <f t="shared" si="1"/>
        <v>-16128.453464247257</v>
      </c>
      <c r="O15" s="17">
        <f>(L15/Deflator!$C$89)*Deflator!$C$91</f>
        <v>-29999.999999999996</v>
      </c>
    </row>
    <row r="16" spans="1:15" ht="15" x14ac:dyDescent="0.25">
      <c r="B16" s="52"/>
      <c r="C16" s="58"/>
      <c r="E16" s="2">
        <f t="shared" si="0"/>
        <v>13</v>
      </c>
      <c r="F16" s="2">
        <f t="shared" si="0"/>
        <v>2041</v>
      </c>
      <c r="H16" s="31">
        <f t="shared" si="2"/>
        <v>4656.9057687704453</v>
      </c>
      <c r="I16" s="31">
        <f t="shared" si="4"/>
        <v>0</v>
      </c>
      <c r="J16" s="31"/>
      <c r="K16" s="31"/>
      <c r="L16" s="31">
        <f t="shared" si="3"/>
        <v>-4656.9057687704453</v>
      </c>
      <c r="M16" s="31">
        <f t="shared" si="1"/>
        <v>-2607.2508024971316</v>
      </c>
      <c r="O16" s="17">
        <f>(L16/Deflator!$C$89)*Deflator!$C$91</f>
        <v>-4999.9999999999991</v>
      </c>
    </row>
    <row r="17" spans="2:15" ht="15" x14ac:dyDescent="0.25">
      <c r="B17" s="52"/>
      <c r="C17" s="58"/>
      <c r="E17" s="2">
        <f t="shared" si="0"/>
        <v>14</v>
      </c>
      <c r="F17" s="2">
        <f t="shared" si="0"/>
        <v>2042</v>
      </c>
      <c r="H17" s="31">
        <f t="shared" si="2"/>
        <v>0</v>
      </c>
      <c r="I17" s="31">
        <f t="shared" si="4"/>
        <v>9313.8115375408906</v>
      </c>
      <c r="J17" s="31"/>
      <c r="K17" s="31"/>
      <c r="L17" s="31">
        <f t="shared" si="3"/>
        <v>-9313.8115375408906</v>
      </c>
      <c r="M17" s="31">
        <f t="shared" si="1"/>
        <v>-5057.7125169682477</v>
      </c>
      <c r="O17" s="17">
        <f>(L17/Deflator!$C$89)*Deflator!$C$91</f>
        <v>-9999.9999999999982</v>
      </c>
    </row>
    <row r="18" spans="2:15" ht="15" x14ac:dyDescent="0.25">
      <c r="B18" s="52"/>
      <c r="C18" s="58"/>
      <c r="E18" s="2">
        <f t="shared" si="0"/>
        <v>15</v>
      </c>
      <c r="F18" s="2">
        <f t="shared" si="0"/>
        <v>2043</v>
      </c>
      <c r="H18" s="31">
        <f t="shared" si="2"/>
        <v>4656.9057687704453</v>
      </c>
      <c r="I18" s="31">
        <f t="shared" si="4"/>
        <v>0</v>
      </c>
      <c r="J18" s="31"/>
      <c r="K18" s="31"/>
      <c r="L18" s="31">
        <f t="shared" si="3"/>
        <v>-4656.9057687704453</v>
      </c>
      <c r="M18" s="31">
        <f t="shared" si="1"/>
        <v>-2452.818873408462</v>
      </c>
      <c r="O18" s="17">
        <f>(L18/Deflator!$C$89)*Deflator!$C$91</f>
        <v>-4999.9999999999991</v>
      </c>
    </row>
    <row r="19" spans="2:15" ht="15" x14ac:dyDescent="0.25">
      <c r="B19" s="52"/>
      <c r="C19" s="58"/>
      <c r="E19" s="2">
        <f t="shared" si="0"/>
        <v>16</v>
      </c>
      <c r="F19" s="2">
        <f t="shared" si="0"/>
        <v>2044</v>
      </c>
      <c r="H19" s="31">
        <f t="shared" si="2"/>
        <v>0</v>
      </c>
      <c r="I19" s="31">
        <f t="shared" si="4"/>
        <v>9313.8115375408906</v>
      </c>
      <c r="J19" s="31"/>
      <c r="K19" s="31"/>
      <c r="L19" s="31">
        <f t="shared" si="3"/>
        <v>-9313.8115375408906</v>
      </c>
      <c r="M19" s="31">
        <f t="shared" si="1"/>
        <v>-4758.135544924271</v>
      </c>
      <c r="O19" s="17">
        <f>(L19/Deflator!$C$89)*Deflator!$C$91</f>
        <v>-9999.9999999999982</v>
      </c>
    </row>
    <row r="20" spans="2:15" ht="15" x14ac:dyDescent="0.25">
      <c r="B20" s="52"/>
      <c r="C20" s="58"/>
      <c r="E20" s="2">
        <f t="shared" si="0"/>
        <v>17</v>
      </c>
      <c r="F20" s="2">
        <f t="shared" si="0"/>
        <v>2045</v>
      </c>
      <c r="H20" s="31">
        <f t="shared" si="2"/>
        <v>4656.9057687704453</v>
      </c>
      <c r="I20" s="31">
        <f t="shared" si="4"/>
        <v>0</v>
      </c>
      <c r="J20" s="31">
        <f>J15</f>
        <v>18627.623075081781</v>
      </c>
      <c r="K20" s="31"/>
      <c r="L20" s="31">
        <f t="shared" si="3"/>
        <v>-23284.528843852226</v>
      </c>
      <c r="M20" s="31">
        <f t="shared" si="1"/>
        <v>-11537.671059467195</v>
      </c>
      <c r="O20" s="17">
        <f>(L20/Deflator!$C$89)*Deflator!$C$91</f>
        <v>-25000</v>
      </c>
    </row>
    <row r="21" spans="2:15" ht="15" x14ac:dyDescent="0.25">
      <c r="B21" s="52"/>
      <c r="C21" s="58"/>
      <c r="E21" s="2">
        <f t="shared" ref="E21:F33" si="5">E20+1</f>
        <v>18</v>
      </c>
      <c r="F21" s="2">
        <f t="shared" si="5"/>
        <v>2046</v>
      </c>
      <c r="H21" s="31">
        <f t="shared" si="2"/>
        <v>0</v>
      </c>
      <c r="I21" s="31">
        <f t="shared" si="4"/>
        <v>9313.8115375408906</v>
      </c>
      <c r="J21" s="31"/>
      <c r="K21" s="31"/>
      <c r="L21" s="31">
        <f t="shared" si="3"/>
        <v>-9313.8115375408906</v>
      </c>
      <c r="M21" s="31">
        <f t="shared" si="1"/>
        <v>-4476.303029861182</v>
      </c>
      <c r="O21" s="17">
        <f>(L21/Deflator!$C$89)*Deflator!$C$91</f>
        <v>-9999.9999999999982</v>
      </c>
    </row>
    <row r="22" spans="2:15" ht="15" x14ac:dyDescent="0.25">
      <c r="B22" s="52"/>
      <c r="C22" s="58"/>
      <c r="E22" s="2">
        <f t="shared" si="5"/>
        <v>19</v>
      </c>
      <c r="F22" s="2">
        <f t="shared" si="5"/>
        <v>2047</v>
      </c>
      <c r="H22" s="31">
        <f t="shared" si="2"/>
        <v>4656.9057687704453</v>
      </c>
      <c r="I22" s="31">
        <f t="shared" si="4"/>
        <v>0</v>
      </c>
      <c r="J22" s="31"/>
      <c r="K22" s="31"/>
      <c r="L22" s="31">
        <f t="shared" si="3"/>
        <v>-4656.9057687704453</v>
      </c>
      <c r="M22" s="31">
        <f t="shared" si="1"/>
        <v>-2170.8550096319991</v>
      </c>
      <c r="O22" s="17">
        <f>(L22/Deflator!$C$89)*Deflator!$C$91</f>
        <v>-4999.9999999999991</v>
      </c>
    </row>
    <row r="23" spans="2:15" ht="15" x14ac:dyDescent="0.25">
      <c r="B23" s="52"/>
      <c r="C23" s="58"/>
      <c r="E23" s="2">
        <f t="shared" si="5"/>
        <v>20</v>
      </c>
      <c r="F23" s="2">
        <f t="shared" si="5"/>
        <v>2048</v>
      </c>
      <c r="H23" s="31">
        <f t="shared" si="2"/>
        <v>0</v>
      </c>
      <c r="I23" s="31">
        <f t="shared" si="4"/>
        <v>9313.8115375408906</v>
      </c>
      <c r="J23" s="31"/>
      <c r="K23" s="31"/>
      <c r="L23" s="31">
        <f t="shared" si="3"/>
        <v>-9313.8115375408906</v>
      </c>
      <c r="M23" s="31">
        <f t="shared" si="1"/>
        <v>-4211.1639372104746</v>
      </c>
      <c r="O23" s="17">
        <f>(L23/Deflator!$C$89)*Deflator!$C$91</f>
        <v>-9999.9999999999982</v>
      </c>
    </row>
    <row r="24" spans="2:15" ht="15" x14ac:dyDescent="0.25">
      <c r="B24" s="52"/>
      <c r="C24" s="58"/>
      <c r="E24" s="2">
        <f t="shared" si="5"/>
        <v>21</v>
      </c>
      <c r="F24" s="2">
        <f t="shared" si="5"/>
        <v>2049</v>
      </c>
      <c r="H24" s="31">
        <f t="shared" si="2"/>
        <v>4656.9057687704453</v>
      </c>
      <c r="I24" s="31">
        <f t="shared" si="4"/>
        <v>0</v>
      </c>
      <c r="J24" s="31"/>
      <c r="K24" s="31"/>
      <c r="L24" s="31">
        <f t="shared" si="3"/>
        <v>-4656.9057687704453</v>
      </c>
      <c r="M24" s="31">
        <f t="shared" si="1"/>
        <v>-2042.2715505385422</v>
      </c>
      <c r="O24" s="17">
        <f>(L24/Deflator!$C$89)*Deflator!$C$91</f>
        <v>-4999.9999999999991</v>
      </c>
    </row>
    <row r="25" spans="2:15" ht="15" x14ac:dyDescent="0.25">
      <c r="B25" s="52"/>
      <c r="C25" s="58"/>
      <c r="E25" s="2">
        <f t="shared" si="5"/>
        <v>22</v>
      </c>
      <c r="F25" s="2">
        <f t="shared" si="5"/>
        <v>2050</v>
      </c>
      <c r="H25" s="31">
        <f t="shared" si="2"/>
        <v>0</v>
      </c>
      <c r="I25" s="31">
        <f t="shared" si="4"/>
        <v>9313.8115375408906</v>
      </c>
      <c r="J25" s="31">
        <f>J20</f>
        <v>18627.623075081781</v>
      </c>
      <c r="K25" s="31"/>
      <c r="L25" s="31">
        <f t="shared" si="3"/>
        <v>-27941.434612622674</v>
      </c>
      <c r="M25" s="31">
        <f t="shared" si="1"/>
        <v>-11885.18846094205</v>
      </c>
      <c r="O25" s="17">
        <f>(L25/Deflator!$C$89)*Deflator!$C$91</f>
        <v>-29999.999999999996</v>
      </c>
    </row>
    <row r="26" spans="2:15" ht="15" x14ac:dyDescent="0.25">
      <c r="B26" s="52"/>
      <c r="C26" s="58"/>
      <c r="E26" s="2">
        <f t="shared" si="5"/>
        <v>23</v>
      </c>
      <c r="F26" s="2">
        <f t="shared" si="5"/>
        <v>2051</v>
      </c>
      <c r="H26" s="31">
        <f t="shared" si="2"/>
        <v>4656.9057687704453</v>
      </c>
      <c r="I26" s="31">
        <f t="shared" si="4"/>
        <v>0</v>
      </c>
      <c r="J26" s="31"/>
      <c r="K26" s="31"/>
      <c r="L26" s="31">
        <f t="shared" si="3"/>
        <v>-4656.9057687704453</v>
      </c>
      <c r="M26" s="31">
        <f t="shared" si="1"/>
        <v>-1921.3043098839396</v>
      </c>
      <c r="N26"/>
      <c r="O26" s="17">
        <f>(L26/Deflator!$C$89)*Deflator!$C$91</f>
        <v>-4999.9999999999991</v>
      </c>
    </row>
    <row r="27" spans="2:15" ht="15" x14ac:dyDescent="0.25">
      <c r="B27" s="52"/>
      <c r="C27" s="58"/>
      <c r="E27" s="2">
        <f t="shared" si="5"/>
        <v>24</v>
      </c>
      <c r="F27" s="2">
        <f t="shared" si="5"/>
        <v>2052</v>
      </c>
      <c r="H27" s="31">
        <f t="shared" si="2"/>
        <v>0</v>
      </c>
      <c r="I27" s="31">
        <f t="shared" si="4"/>
        <v>9313.8115375408906</v>
      </c>
      <c r="J27" s="31"/>
      <c r="K27" s="31"/>
      <c r="L27" s="31">
        <f t="shared" si="3"/>
        <v>-9313.8115375408906</v>
      </c>
      <c r="M27" s="31">
        <f t="shared" si="1"/>
        <v>-3727.0694663122017</v>
      </c>
      <c r="N27"/>
      <c r="O27" s="17">
        <f>(L27/Deflator!$C$89)*Deflator!$C$91</f>
        <v>-9999.9999999999982</v>
      </c>
    </row>
    <row r="28" spans="2:15" ht="15" x14ac:dyDescent="0.25">
      <c r="B28" s="52"/>
      <c r="C28" s="58"/>
      <c r="E28" s="2">
        <f t="shared" si="5"/>
        <v>25</v>
      </c>
      <c r="F28" s="2">
        <f t="shared" si="5"/>
        <v>2053</v>
      </c>
      <c r="H28" s="31">
        <f t="shared" si="2"/>
        <v>4656.9057687704453</v>
      </c>
      <c r="I28" s="31">
        <f t="shared" si="4"/>
        <v>0</v>
      </c>
      <c r="J28" s="31"/>
      <c r="K28" s="31"/>
      <c r="L28" s="31">
        <f t="shared" si="3"/>
        <v>-4656.9057687704453</v>
      </c>
      <c r="M28" s="31">
        <f t="shared" si="1"/>
        <v>-1807.5021660097971</v>
      </c>
      <c r="N28"/>
      <c r="O28" s="17">
        <f>(L28/Deflator!$C$89)*Deflator!$C$91</f>
        <v>-4999.9999999999991</v>
      </c>
    </row>
    <row r="29" spans="2:15" ht="15" x14ac:dyDescent="0.25">
      <c r="B29" s="52"/>
      <c r="C29" s="58"/>
      <c r="E29" s="2">
        <f t="shared" si="5"/>
        <v>26</v>
      </c>
      <c r="F29" s="2">
        <f t="shared" si="5"/>
        <v>2054</v>
      </c>
      <c r="H29" s="31">
        <f t="shared" si="2"/>
        <v>0</v>
      </c>
      <c r="I29" s="31">
        <f t="shared" si="4"/>
        <v>9313.8115375408906</v>
      </c>
      <c r="J29" s="31"/>
      <c r="K29" s="31"/>
      <c r="L29" s="31">
        <f t="shared" si="3"/>
        <v>-9313.8115375408906</v>
      </c>
      <c r="M29" s="31">
        <f t="shared" si="1"/>
        <v>-3506.3087604457751</v>
      </c>
      <c r="N29"/>
      <c r="O29" s="17">
        <f>(L29/Deflator!$C$89)*Deflator!$C$91</f>
        <v>-9999.9999999999982</v>
      </c>
    </row>
    <row r="30" spans="2:15" ht="15" x14ac:dyDescent="0.25">
      <c r="B30" s="52"/>
      <c r="C30" s="58"/>
      <c r="E30" s="2">
        <f t="shared" si="5"/>
        <v>27</v>
      </c>
      <c r="F30" s="2">
        <f t="shared" si="5"/>
        <v>2055</v>
      </c>
      <c r="H30" s="31">
        <f t="shared" si="2"/>
        <v>4656.9057687704453</v>
      </c>
      <c r="I30" s="31">
        <f t="shared" si="4"/>
        <v>0</v>
      </c>
      <c r="J30" s="31">
        <f>J25</f>
        <v>18627.623075081781</v>
      </c>
      <c r="K30" s="31"/>
      <c r="L30" s="31">
        <f t="shared" si="3"/>
        <v>-23284.528843852226</v>
      </c>
      <c r="M30" s="31">
        <f t="shared" si="1"/>
        <v>-8502.2035898297181</v>
      </c>
      <c r="N30"/>
      <c r="O30" s="17">
        <f>(L30/Deflator!$C$89)*Deflator!$C$91</f>
        <v>-25000</v>
      </c>
    </row>
    <row r="31" spans="2:15" ht="15" x14ac:dyDescent="0.25">
      <c r="B31" s="52"/>
      <c r="C31" s="58"/>
      <c r="E31" s="2">
        <f t="shared" si="5"/>
        <v>28</v>
      </c>
      <c r="F31" s="2">
        <f t="shared" si="5"/>
        <v>2056</v>
      </c>
      <c r="H31" s="31">
        <f t="shared" si="2"/>
        <v>0</v>
      </c>
      <c r="I31" s="31">
        <f t="shared" si="4"/>
        <v>9313.8115375408906</v>
      </c>
      <c r="J31" s="31"/>
      <c r="K31" s="31"/>
      <c r="L31" s="31">
        <f t="shared" si="3"/>
        <v>-9313.8115375408906</v>
      </c>
      <c r="M31" s="31">
        <f t="shared" si="1"/>
        <v>-3298.6240891676889</v>
      </c>
      <c r="N31"/>
      <c r="O31" s="17">
        <f>(L31/Deflator!$C$89)*Deflator!$C$91</f>
        <v>-9999.9999999999982</v>
      </c>
    </row>
    <row r="32" spans="2:15" ht="15" x14ac:dyDescent="0.25">
      <c r="E32" s="2">
        <f t="shared" si="5"/>
        <v>29</v>
      </c>
      <c r="F32" s="2">
        <f t="shared" si="5"/>
        <v>2057</v>
      </c>
      <c r="H32" s="31">
        <f t="shared" si="2"/>
        <v>4656.9057687704453</v>
      </c>
      <c r="I32" s="31">
        <f t="shared" si="4"/>
        <v>0</v>
      </c>
      <c r="J32" s="31"/>
      <c r="K32" s="31"/>
      <c r="L32" s="31">
        <f t="shared" si="3"/>
        <v>-4656.9057687704453</v>
      </c>
      <c r="M32" s="31">
        <f t="shared" si="1"/>
        <v>-1599.7207027971333</v>
      </c>
      <c r="N32"/>
      <c r="O32" s="17">
        <f>(L32/Deflator!$C$89)*Deflator!$C$91</f>
        <v>-4999.9999999999991</v>
      </c>
    </row>
    <row r="33" spans="5:15" ht="15" x14ac:dyDescent="0.25">
      <c r="E33" s="2">
        <f t="shared" si="5"/>
        <v>30</v>
      </c>
      <c r="F33" s="2">
        <f t="shared" si="5"/>
        <v>2058</v>
      </c>
      <c r="H33" s="31">
        <f t="shared" si="2"/>
        <v>0</v>
      </c>
      <c r="I33" s="31">
        <f t="shared" si="4"/>
        <v>9313.8115375408906</v>
      </c>
      <c r="J33" s="31"/>
      <c r="K33" s="31"/>
      <c r="L33" s="31">
        <f t="shared" si="3"/>
        <v>-9313.8115375408906</v>
      </c>
      <c r="M33" s="31">
        <f t="shared" si="1"/>
        <v>-3103.2409365608796</v>
      </c>
      <c r="N33"/>
      <c r="O33" s="17">
        <f>(L33/Deflator!$C$89)*Deflator!$C$91</f>
        <v>-9999.9999999999982</v>
      </c>
    </row>
    <row r="34" spans="5:15" ht="15" x14ac:dyDescent="0.25">
      <c r="E34"/>
      <c r="F34" s="56" t="s">
        <v>156</v>
      </c>
      <c r="H34" s="57">
        <f>SUM(H4:H33)</f>
        <v>69853.586531556692</v>
      </c>
      <c r="I34" s="57">
        <f t="shared" ref="I34:L34" si="6">SUM(I4:I33)</f>
        <v>139707.17306311338</v>
      </c>
      <c r="J34" s="57">
        <f t="shared" si="6"/>
        <v>111765.73845049068</v>
      </c>
      <c r="K34" s="57">
        <f t="shared" si="6"/>
        <v>232845.28843852229</v>
      </c>
      <c r="L34" s="57">
        <f t="shared" si="6"/>
        <v>-554171.78648368269</v>
      </c>
      <c r="M34" s="57">
        <f>SUM(M4:M33)</f>
        <v>-356180.27655687259</v>
      </c>
      <c r="N34"/>
      <c r="O34" s="57">
        <f t="shared" ref="O34" si="7">SUM(O4:O33)</f>
        <v>-595000</v>
      </c>
    </row>
    <row r="35" spans="5:15" ht="15" x14ac:dyDescent="0.25">
      <c r="E35"/>
      <c r="F35"/>
      <c r="G35"/>
      <c r="H35"/>
      <c r="I35"/>
      <c r="J35"/>
      <c r="O35"/>
    </row>
    <row r="36" spans="5:15" ht="15" x14ac:dyDescent="0.25">
      <c r="E36"/>
      <c r="F36"/>
      <c r="G36"/>
      <c r="H36"/>
      <c r="I36"/>
      <c r="J36"/>
    </row>
    <row r="37" spans="5:15" ht="15" x14ac:dyDescent="0.25">
      <c r="E37"/>
      <c r="F37"/>
      <c r="G37"/>
      <c r="H37"/>
      <c r="I37"/>
      <c r="J37"/>
    </row>
    <row r="38" spans="5:15" ht="15" x14ac:dyDescent="0.25">
      <c r="E38"/>
      <c r="F38"/>
      <c r="G38"/>
      <c r="H38"/>
      <c r="I38"/>
      <c r="J38"/>
    </row>
    <row r="39" spans="5:15" ht="15" x14ac:dyDescent="0.25">
      <c r="E39"/>
      <c r="F39"/>
      <c r="G39"/>
      <c r="H39"/>
      <c r="I39"/>
      <c r="J39"/>
    </row>
    <row r="40" spans="5:15" ht="15" x14ac:dyDescent="0.25">
      <c r="E40"/>
      <c r="F40"/>
      <c r="G40"/>
      <c r="H40"/>
      <c r="I40"/>
      <c r="J40"/>
    </row>
    <row r="41" spans="5:15" ht="15" x14ac:dyDescent="0.25">
      <c r="E41"/>
      <c r="F41"/>
      <c r="G41"/>
      <c r="H41"/>
      <c r="I41"/>
      <c r="J41"/>
    </row>
    <row r="42" spans="5:15" ht="15" x14ac:dyDescent="0.25">
      <c r="E42"/>
      <c r="F42"/>
      <c r="G42"/>
      <c r="H42"/>
      <c r="I42"/>
      <c r="J42"/>
    </row>
    <row r="43" spans="5:15" ht="15" x14ac:dyDescent="0.25">
      <c r="E43"/>
      <c r="F43"/>
      <c r="G43"/>
      <c r="H43"/>
      <c r="I43"/>
      <c r="J43"/>
    </row>
    <row r="44" spans="5:15" ht="15" x14ac:dyDescent="0.25">
      <c r="E44"/>
      <c r="F44"/>
      <c r="G44"/>
      <c r="H44"/>
      <c r="I44"/>
      <c r="J44"/>
    </row>
    <row r="45" spans="5:15" ht="15" x14ac:dyDescent="0.25">
      <c r="E45"/>
      <c r="F45"/>
      <c r="G45"/>
      <c r="H45"/>
      <c r="I45"/>
      <c r="J45"/>
    </row>
    <row r="46" spans="5:15" ht="15" x14ac:dyDescent="0.25">
      <c r="E46"/>
      <c r="F46"/>
      <c r="G46"/>
      <c r="H46"/>
      <c r="I46"/>
      <c r="J46"/>
    </row>
    <row r="47" spans="5:15" ht="15" x14ac:dyDescent="0.25">
      <c r="E47"/>
      <c r="F47"/>
      <c r="G47"/>
      <c r="H47"/>
      <c r="I47"/>
      <c r="J47"/>
    </row>
    <row r="48" spans="5:15" ht="15" x14ac:dyDescent="0.25">
      <c r="E48"/>
      <c r="F48"/>
      <c r="G48"/>
      <c r="H48"/>
      <c r="I48"/>
      <c r="J48"/>
    </row>
    <row r="49" spans="5:10" ht="15" x14ac:dyDescent="0.25">
      <c r="E49"/>
      <c r="F49"/>
      <c r="G49"/>
      <c r="H49"/>
      <c r="I49"/>
      <c r="J49"/>
    </row>
    <row r="50" spans="5:10" ht="15" x14ac:dyDescent="0.25">
      <c r="E50"/>
      <c r="F50"/>
      <c r="G50"/>
      <c r="H50"/>
      <c r="I50"/>
      <c r="J50"/>
    </row>
    <row r="51" spans="5:10" ht="15" x14ac:dyDescent="0.25">
      <c r="E51"/>
      <c r="F51"/>
      <c r="G51"/>
      <c r="H51"/>
      <c r="I51"/>
      <c r="J51"/>
    </row>
  </sheetData>
  <sheetProtection algorithmName="SHA-512" hashValue="XDNOl2xs82ZLbTsKmlnl8pTbljGQKyfwLsgF9vFmcT8V9Hzx6EdO6kNIRQvLG7e+PPdS+dC8LwfOKyyuhDmjIg==" saltValue="BY94LIi6quej7Am9OugqAA=="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7B75-382E-47BB-A39B-485E42737BC2}">
  <sheetPr>
    <tabColor theme="3" tint="0.89999084444715716"/>
  </sheetPr>
  <dimension ref="A1:K70"/>
  <sheetViews>
    <sheetView topLeftCell="A25" zoomScale="70" zoomScaleNormal="70" workbookViewId="0">
      <selection activeCell="I70" sqref="I70"/>
    </sheetView>
  </sheetViews>
  <sheetFormatPr defaultColWidth="9" defaultRowHeight="13.5" x14ac:dyDescent="0.25"/>
  <cols>
    <col min="1" max="1" width="4.375" style="5" customWidth="1"/>
    <col min="2" max="2" width="29" style="5" customWidth="1"/>
    <col min="3" max="3" width="9.375" style="5" bestFit="1" customWidth="1"/>
    <col min="4" max="6" width="9" style="5"/>
    <col min="7" max="9" width="14.375" style="5" customWidth="1"/>
    <col min="10" max="11" width="15.875" style="5" customWidth="1"/>
    <col min="12" max="12" width="9.375" style="5" customWidth="1"/>
    <col min="13" max="16384" width="9" style="5"/>
  </cols>
  <sheetData>
    <row r="1" spans="1:11" ht="15" x14ac:dyDescent="0.25">
      <c r="A1"/>
    </row>
    <row r="2" spans="1:11" x14ac:dyDescent="0.25">
      <c r="B2" s="47" t="s">
        <v>157</v>
      </c>
      <c r="C2" s="47" t="s">
        <v>34</v>
      </c>
      <c r="E2" s="5" t="s">
        <v>179</v>
      </c>
    </row>
    <row r="3" spans="1:11" ht="40.5" x14ac:dyDescent="0.25">
      <c r="B3" s="5" t="str">
        <f>'3-Inputs'!B4</f>
        <v>Discount Rate</v>
      </c>
      <c r="C3" s="48">
        <f>'3-Inputs'!C4</f>
        <v>3.1E-2</v>
      </c>
      <c r="E3" s="49" t="s">
        <v>178</v>
      </c>
      <c r="F3" s="49" t="s">
        <v>174</v>
      </c>
      <c r="G3" s="49" t="s">
        <v>240</v>
      </c>
      <c r="H3" s="49" t="s">
        <v>241</v>
      </c>
      <c r="I3" s="49" t="s">
        <v>242</v>
      </c>
      <c r="J3" s="49" t="s">
        <v>243</v>
      </c>
      <c r="K3" s="49" t="s">
        <v>244</v>
      </c>
    </row>
    <row r="4" spans="1:11" x14ac:dyDescent="0.25">
      <c r="B4" s="5" t="str">
        <f>'3-Inputs'!B6</f>
        <v>Discount Year</v>
      </c>
      <c r="C4" s="5">
        <f>'3-Inputs'!C6</f>
        <v>2022</v>
      </c>
      <c r="E4" s="2">
        <v>1</v>
      </c>
      <c r="F4" s="2">
        <f>C5</f>
        <v>2029</v>
      </c>
      <c r="G4" s="50">
        <f>_xlfn.XLOOKUP($F4,'6-Traffic Data'!$F$9:$F$48,'6-Traffic Data'!$N$9:$N$48)</f>
        <v>0</v>
      </c>
      <c r="H4" s="51">
        <f>$C$15/$C$13</f>
        <v>0.12619047619047619</v>
      </c>
      <c r="I4" s="50">
        <f>IF(F4&gt;=$C$6,H4*G4,0)</f>
        <v>0</v>
      </c>
      <c r="J4" s="31">
        <f>I4*$C$9</f>
        <v>0</v>
      </c>
      <c r="K4" s="31">
        <f t="shared" ref="K4:K33" si="0">J4/((1+$C$3)^($F4-$C$4))</f>
        <v>0</v>
      </c>
    </row>
    <row r="5" spans="1:11" x14ac:dyDescent="0.25">
      <c r="B5" s="5" t="str">
        <f>'3-Inputs'!B9</f>
        <v>Project Start Year</v>
      </c>
      <c r="C5" s="5">
        <f>'3-Inputs'!C9</f>
        <v>2029</v>
      </c>
      <c r="E5" s="2">
        <v>2</v>
      </c>
      <c r="F5" s="2">
        <f>F4+1</f>
        <v>2030</v>
      </c>
      <c r="G5" s="50">
        <f>_xlfn.XLOOKUP($F5,'6-Traffic Data'!$F$9:$F$48,'6-Traffic Data'!$N$9:$N$48)</f>
        <v>0</v>
      </c>
      <c r="H5" s="51">
        <f t="shared" ref="H5:H33" si="1">$C$15/$C$13</f>
        <v>0.12619047619047619</v>
      </c>
      <c r="I5" s="50">
        <f t="shared" ref="I5:I33" si="2">IF(F5&gt;=$C$6,H5*G5,0)</f>
        <v>0</v>
      </c>
      <c r="J5" s="31">
        <f t="shared" ref="J5:J33" si="3">I5*$C$9</f>
        <v>0</v>
      </c>
      <c r="K5" s="31">
        <f t="shared" si="0"/>
        <v>0</v>
      </c>
    </row>
    <row r="6" spans="1:11" x14ac:dyDescent="0.25">
      <c r="B6" s="5" t="str">
        <f>'3-Inputs'!B15</f>
        <v>Overall Condition Rating 3 (Truck Close Year)</v>
      </c>
      <c r="C6" s="5">
        <f>'3-Inputs'!C15</f>
        <v>2038</v>
      </c>
      <c r="E6" s="2">
        <v>3</v>
      </c>
      <c r="F6" s="2">
        <f t="shared" ref="F6:F33" si="4">F5+1</f>
        <v>2031</v>
      </c>
      <c r="G6" s="50">
        <f>_xlfn.XLOOKUP($F6,'6-Traffic Data'!$F$9:$F$48,'6-Traffic Data'!$N$9:$N$48)</f>
        <v>0</v>
      </c>
      <c r="H6" s="51">
        <f t="shared" si="1"/>
        <v>0.12619047619047619</v>
      </c>
      <c r="I6" s="50">
        <f t="shared" si="2"/>
        <v>0</v>
      </c>
      <c r="J6" s="31">
        <f t="shared" si="3"/>
        <v>0</v>
      </c>
      <c r="K6" s="31">
        <f t="shared" si="0"/>
        <v>0</v>
      </c>
    </row>
    <row r="7" spans="1:11" x14ac:dyDescent="0.25">
      <c r="B7" s="5" t="str">
        <f>'3-Inputs'!B18</f>
        <v>Bridge Close Year -- Passenger Vehicles</v>
      </c>
      <c r="C7" s="5">
        <f>'3-Inputs'!C18</f>
        <v>2052</v>
      </c>
      <c r="E7" s="2">
        <v>4</v>
      </c>
      <c r="F7" s="2">
        <f t="shared" si="4"/>
        <v>2032</v>
      </c>
      <c r="G7" s="50">
        <f>_xlfn.XLOOKUP($F7,'6-Traffic Data'!$F$9:$F$48,'6-Traffic Data'!$N$9:$N$48)</f>
        <v>0</v>
      </c>
      <c r="H7" s="51">
        <f t="shared" si="1"/>
        <v>0.12619047619047619</v>
      </c>
      <c r="I7" s="50">
        <f t="shared" si="2"/>
        <v>0</v>
      </c>
      <c r="J7" s="31">
        <f t="shared" si="3"/>
        <v>0</v>
      </c>
      <c r="K7" s="31">
        <f t="shared" si="0"/>
        <v>0</v>
      </c>
    </row>
    <row r="8" spans="1:11" x14ac:dyDescent="0.25">
      <c r="B8" s="5" t="str">
        <f>'3-Inputs'!B48</f>
        <v>Travel Time- All Purposes</v>
      </c>
      <c r="C8" s="52">
        <f>'3-Inputs'!C48</f>
        <v>19.600000000000001</v>
      </c>
      <c r="E8" s="2">
        <v>5</v>
      </c>
      <c r="F8" s="2">
        <f t="shared" si="4"/>
        <v>2033</v>
      </c>
      <c r="G8" s="50">
        <f>_xlfn.XLOOKUP($F8,'6-Traffic Data'!$F$9:$F$48,'6-Traffic Data'!$N$9:$N$48)</f>
        <v>0</v>
      </c>
      <c r="H8" s="51">
        <f t="shared" si="1"/>
        <v>0.12619047619047619</v>
      </c>
      <c r="I8" s="50">
        <f t="shared" si="2"/>
        <v>0</v>
      </c>
      <c r="J8" s="31">
        <f t="shared" si="3"/>
        <v>0</v>
      </c>
      <c r="K8" s="31">
        <f t="shared" si="0"/>
        <v>0</v>
      </c>
    </row>
    <row r="9" spans="1:11" x14ac:dyDescent="0.25">
      <c r="B9" s="5" t="str">
        <f>'3-Inputs'!B49</f>
        <v>Travel Time- Truck Drivers</v>
      </c>
      <c r="C9" s="52">
        <f>'3-Inputs'!C49</f>
        <v>33.5</v>
      </c>
      <c r="E9" s="2">
        <v>6</v>
      </c>
      <c r="F9" s="2">
        <f t="shared" si="4"/>
        <v>2034</v>
      </c>
      <c r="G9" s="50">
        <f>_xlfn.XLOOKUP($F9,'6-Traffic Data'!$F$9:$F$48,'6-Traffic Data'!$N$9:$N$48)</f>
        <v>0</v>
      </c>
      <c r="H9" s="51">
        <f t="shared" si="1"/>
        <v>0.12619047619047619</v>
      </c>
      <c r="I9" s="50">
        <f t="shared" si="2"/>
        <v>0</v>
      </c>
      <c r="J9" s="31">
        <f t="shared" si="3"/>
        <v>0</v>
      </c>
      <c r="K9" s="31">
        <f t="shared" si="0"/>
        <v>0</v>
      </c>
    </row>
    <row r="10" spans="1:11" x14ac:dyDescent="0.25">
      <c r="E10" s="2">
        <v>7</v>
      </c>
      <c r="F10" s="2">
        <f t="shared" si="4"/>
        <v>2035</v>
      </c>
      <c r="G10" s="50">
        <f>_xlfn.XLOOKUP($F10,'6-Traffic Data'!$F$9:$F$48,'6-Traffic Data'!$N$9:$N$48)</f>
        <v>0</v>
      </c>
      <c r="H10" s="51">
        <f t="shared" si="1"/>
        <v>0.12619047619047619</v>
      </c>
      <c r="I10" s="50">
        <f t="shared" si="2"/>
        <v>0</v>
      </c>
      <c r="J10" s="31">
        <f t="shared" si="3"/>
        <v>0</v>
      </c>
      <c r="K10" s="31">
        <f t="shared" si="0"/>
        <v>0</v>
      </c>
    </row>
    <row r="11" spans="1:11" x14ac:dyDescent="0.25">
      <c r="B11" s="5" t="str">
        <f>'3-Inputs'!B45</f>
        <v>Travel time (minutes)</v>
      </c>
      <c r="C11" s="85">
        <f>'3-Inputs'!C45</f>
        <v>3.4285714285714284</v>
      </c>
      <c r="E11" s="2">
        <v>8</v>
      </c>
      <c r="F11" s="2">
        <f t="shared" si="4"/>
        <v>2036</v>
      </c>
      <c r="G11" s="50">
        <f>_xlfn.XLOOKUP($F11,'6-Traffic Data'!$F$9:$F$48,'6-Traffic Data'!$N$9:$N$48)</f>
        <v>0</v>
      </c>
      <c r="H11" s="51">
        <f t="shared" si="1"/>
        <v>0.12619047619047619</v>
      </c>
      <c r="I11" s="50">
        <f t="shared" si="2"/>
        <v>0</v>
      </c>
      <c r="J11" s="31">
        <f t="shared" si="3"/>
        <v>0</v>
      </c>
      <c r="K11" s="31">
        <f t="shared" si="0"/>
        <v>0</v>
      </c>
    </row>
    <row r="12" spans="1:11" x14ac:dyDescent="0.25">
      <c r="B12" s="5" t="str">
        <f>'3-Inputs'!B47</f>
        <v>Travel time - detour (minutes)</v>
      </c>
      <c r="C12" s="84">
        <f>'3-Inputs'!C47</f>
        <v>11</v>
      </c>
      <c r="E12" s="2">
        <v>9</v>
      </c>
      <c r="F12" s="2">
        <f t="shared" si="4"/>
        <v>2037</v>
      </c>
      <c r="G12" s="50">
        <f>_xlfn.XLOOKUP($F12,'6-Traffic Data'!$F$9:$F$48,'6-Traffic Data'!$N$9:$N$48)</f>
        <v>0</v>
      </c>
      <c r="H12" s="51">
        <f>$C$15/$C$13</f>
        <v>0.12619047619047619</v>
      </c>
      <c r="I12" s="50">
        <f>IF(F12&gt;=$C$6,H12*G12,0)</f>
        <v>0</v>
      </c>
      <c r="J12" s="31">
        <f>I12*$C$9</f>
        <v>0</v>
      </c>
      <c r="K12" s="31">
        <f>J12/((1+$C$3)^($F12-$C$4))</f>
        <v>0</v>
      </c>
    </row>
    <row r="13" spans="1:11" x14ac:dyDescent="0.25">
      <c r="B13" s="5" t="str">
        <f>'3-Inputs'!B23</f>
        <v>Minutes to hours</v>
      </c>
      <c r="C13" s="5">
        <f>'3-Inputs'!C23</f>
        <v>60</v>
      </c>
      <c r="E13" s="2">
        <v>10</v>
      </c>
      <c r="F13" s="2">
        <f t="shared" si="4"/>
        <v>2038</v>
      </c>
      <c r="G13" s="50">
        <f>_xlfn.XLOOKUP($F13,'6-Traffic Data'!$F$9:$F$48,'6-Traffic Data'!$N$9:$N$48)</f>
        <v>3189212.0932619767</v>
      </c>
      <c r="H13" s="51">
        <f t="shared" si="1"/>
        <v>0.12619047619047619</v>
      </c>
      <c r="I13" s="50">
        <f t="shared" si="2"/>
        <v>402448.19272115419</v>
      </c>
      <c r="J13" s="31">
        <f t="shared" si="3"/>
        <v>13482014.456158666</v>
      </c>
      <c r="K13" s="31">
        <f>J13/((1+$C$3)^($F13-$C$4))</f>
        <v>8272107.0102924937</v>
      </c>
    </row>
    <row r="14" spans="1:11" x14ac:dyDescent="0.25">
      <c r="B14" s="47" t="s">
        <v>245</v>
      </c>
      <c r="E14" s="2">
        <v>11</v>
      </c>
      <c r="F14" s="2">
        <f t="shared" si="4"/>
        <v>2039</v>
      </c>
      <c r="G14" s="50">
        <f>_xlfn.XLOOKUP($F14,'6-Traffic Data'!$F$9:$F$48,'6-Traffic Data'!$N$9:$N$48)</f>
        <v>3265039.5997267771</v>
      </c>
      <c r="H14" s="51">
        <f t="shared" si="1"/>
        <v>0.12619047619047619</v>
      </c>
      <c r="I14" s="50">
        <f t="shared" si="2"/>
        <v>412016.90187028376</v>
      </c>
      <c r="J14" s="31">
        <f t="shared" si="3"/>
        <v>13802566.212654507</v>
      </c>
      <c r="K14" s="31">
        <f t="shared" si="0"/>
        <v>8214148.1095101992</v>
      </c>
    </row>
    <row r="15" spans="1:11" x14ac:dyDescent="0.25">
      <c r="B15" s="5" t="s">
        <v>246</v>
      </c>
      <c r="C15" s="85">
        <f>C12-C11</f>
        <v>7.5714285714285712</v>
      </c>
      <c r="E15" s="2">
        <v>12</v>
      </c>
      <c r="F15" s="2">
        <f t="shared" si="4"/>
        <v>2040</v>
      </c>
      <c r="G15" s="50">
        <f>_xlfn.XLOOKUP($F15,'6-Traffic Data'!$F$9:$F$48,'6-Traffic Data'!$N$9:$N$48)</f>
        <v>3342669.9999999939</v>
      </c>
      <c r="H15" s="51">
        <f t="shared" si="1"/>
        <v>0.12619047619047619</v>
      </c>
      <c r="I15" s="50">
        <f t="shared" si="2"/>
        <v>421813.1190476183</v>
      </c>
      <c r="J15" s="31">
        <f t="shared" si="3"/>
        <v>14130739.488095213</v>
      </c>
      <c r="K15" s="31">
        <f t="shared" si="0"/>
        <v>8156595.3004498454</v>
      </c>
    </row>
    <row r="16" spans="1:11" x14ac:dyDescent="0.25">
      <c r="E16" s="2">
        <v>13</v>
      </c>
      <c r="F16" s="2">
        <f t="shared" si="4"/>
        <v>2041</v>
      </c>
      <c r="G16" s="50">
        <f>_xlfn.XLOOKUP($F16,'6-Traffic Data'!$F$9:$F$48,'6-Traffic Data'!$N$9:$N$48)</f>
        <v>3422146.1601369148</v>
      </c>
      <c r="H16" s="51">
        <f t="shared" si="1"/>
        <v>0.12619047619047619</v>
      </c>
      <c r="I16" s="50">
        <f t="shared" si="2"/>
        <v>431842.25354108686</v>
      </c>
      <c r="J16" s="31">
        <f t="shared" si="3"/>
        <v>14466715.49362641</v>
      </c>
      <c r="K16" s="31">
        <f t="shared" si="0"/>
        <v>8099445.7378109796</v>
      </c>
    </row>
    <row r="17" spans="5:11" x14ac:dyDescent="0.25">
      <c r="E17" s="2">
        <v>14</v>
      </c>
      <c r="F17" s="2">
        <f t="shared" si="4"/>
        <v>2042</v>
      </c>
      <c r="G17" s="50">
        <f>_xlfn.XLOOKUP($F17,'6-Traffic Data'!$F$9:$F$48,'6-Traffic Data'!$N$9:$N$48)</f>
        <v>3503511.9653869062</v>
      </c>
      <c r="H17" s="51">
        <f t="shared" si="1"/>
        <v>0.12619047619047619</v>
      </c>
      <c r="I17" s="50">
        <f t="shared" si="2"/>
        <v>442109.84325120482</v>
      </c>
      <c r="J17" s="31">
        <f t="shared" si="3"/>
        <v>14810679.748915361</v>
      </c>
      <c r="K17" s="31">
        <f t="shared" si="0"/>
        <v>8042696.5962288771</v>
      </c>
    </row>
    <row r="18" spans="5:11" x14ac:dyDescent="0.25">
      <c r="E18" s="2">
        <v>15</v>
      </c>
      <c r="F18" s="2">
        <f t="shared" si="4"/>
        <v>2043</v>
      </c>
      <c r="G18" s="50">
        <f>_xlfn.XLOOKUP($F18,'6-Traffic Data'!$F$9:$F$48,'6-Traffic Data'!$N$9:$N$48)</f>
        <v>3586812.3444260303</v>
      </c>
      <c r="H18" s="51">
        <f t="shared" si="1"/>
        <v>0.12619047619047619</v>
      </c>
      <c r="I18" s="50">
        <f t="shared" si="2"/>
        <v>452621.55774899904</v>
      </c>
      <c r="J18" s="31">
        <f t="shared" si="3"/>
        <v>15162822.184591468</v>
      </c>
      <c r="K18" s="31">
        <f t="shared" si="0"/>
        <v>7986345.0701348688</v>
      </c>
    </row>
    <row r="19" spans="5:11" x14ac:dyDescent="0.25">
      <c r="E19" s="2">
        <v>16</v>
      </c>
      <c r="F19" s="2">
        <f t="shared" si="4"/>
        <v>2044</v>
      </c>
      <c r="G19" s="50">
        <f>_xlfn.XLOOKUP($F19,'6-Traffic Data'!$F$9:$F$48,'6-Traffic Data'!$N$9:$N$48)</f>
        <v>3672093.2941658157</v>
      </c>
      <c r="H19" s="51">
        <f t="shared" si="1"/>
        <v>0.12619047619047619</v>
      </c>
      <c r="I19" s="50">
        <f t="shared" si="2"/>
        <v>463383.2014066386</v>
      </c>
      <c r="J19" s="31">
        <f t="shared" si="3"/>
        <v>15523337.247122394</v>
      </c>
      <c r="K19" s="31">
        <f t="shared" si="0"/>
        <v>7930388.3736176221</v>
      </c>
    </row>
    <row r="20" spans="5:11" x14ac:dyDescent="0.25">
      <c r="E20" s="2">
        <v>17</v>
      </c>
      <c r="F20" s="2">
        <f t="shared" si="4"/>
        <v>2045</v>
      </c>
      <c r="G20" s="50">
        <f>_xlfn.XLOOKUP($F20,'6-Traffic Data'!$F$9:$F$48,'6-Traffic Data'!$N$9:$N$48)</f>
        <v>3759401.9051518939</v>
      </c>
      <c r="H20" s="51">
        <f t="shared" si="1"/>
        <v>0.12619047619047619</v>
      </c>
      <c r="I20" s="50">
        <f t="shared" si="2"/>
        <v>474400.71660250088</v>
      </c>
      <c r="J20" s="31">
        <f t="shared" si="3"/>
        <v>15892424.006183779</v>
      </c>
      <c r="K20" s="31">
        <f t="shared" si="0"/>
        <v>7874823.7402854264</v>
      </c>
    </row>
    <row r="21" spans="5:11" x14ac:dyDescent="0.25">
      <c r="E21" s="2">
        <v>18</v>
      </c>
      <c r="F21" s="2">
        <f t="shared" si="4"/>
        <v>2046</v>
      </c>
      <c r="G21" s="50">
        <f>_xlfn.XLOOKUP($F21,'6-Traffic Data'!$F$9:$F$48,'6-Traffic Data'!$N$9:$N$48)</f>
        <v>3848786.3875665199</v>
      </c>
      <c r="H21" s="51">
        <f t="shared" si="1"/>
        <v>0.12619047619047619</v>
      </c>
      <c r="I21" s="50">
        <f t="shared" si="2"/>
        <v>485680.18700244179</v>
      </c>
      <c r="J21" s="31">
        <f t="shared" si="3"/>
        <v>16270286.2645818</v>
      </c>
      <c r="K21" s="31">
        <f t="shared" si="0"/>
        <v>7819648.4231294263</v>
      </c>
    </row>
    <row r="22" spans="5:11" x14ac:dyDescent="0.25">
      <c r="E22" s="2">
        <v>19</v>
      </c>
      <c r="F22" s="2">
        <f t="shared" si="4"/>
        <v>2047</v>
      </c>
      <c r="G22" s="50">
        <f>_xlfn.XLOOKUP($F22,'6-Traffic Data'!$F$9:$F$48,'6-Traffic Data'!$N$9:$N$48)</f>
        <v>3940296.0978493295</v>
      </c>
      <c r="H22" s="51">
        <f t="shared" si="1"/>
        <v>0.12619047619047619</v>
      </c>
      <c r="I22" s="50">
        <f t="shared" si="2"/>
        <v>497227.84091908205</v>
      </c>
      <c r="J22" s="31">
        <f t="shared" si="3"/>
        <v>16657132.670789249</v>
      </c>
      <c r="K22" s="31">
        <f t="shared" si="0"/>
        <v>7764859.6943878047</v>
      </c>
    </row>
    <row r="23" spans="5:11" x14ac:dyDescent="0.25">
      <c r="E23" s="2">
        <v>20</v>
      </c>
      <c r="F23" s="2">
        <f t="shared" si="4"/>
        <v>2048</v>
      </c>
      <c r="G23" s="50">
        <f>_xlfn.XLOOKUP($F23,'6-Traffic Data'!$F$9:$F$48,'6-Traffic Data'!$N$9:$N$48)</f>
        <v>4033981.5659510437</v>
      </c>
      <c r="H23" s="51">
        <f t="shared" si="1"/>
        <v>0.12619047619047619</v>
      </c>
      <c r="I23" s="50">
        <f t="shared" si="2"/>
        <v>509050.05475096504</v>
      </c>
      <c r="J23" s="31">
        <f t="shared" si="3"/>
        <v>17053176.834157329</v>
      </c>
      <c r="K23" s="31">
        <f t="shared" si="0"/>
        <v>7710454.8454109346</v>
      </c>
    </row>
    <row r="24" spans="5:11" x14ac:dyDescent="0.25">
      <c r="E24" s="2">
        <v>21</v>
      </c>
      <c r="F24" s="2">
        <f t="shared" si="4"/>
        <v>2049</v>
      </c>
      <c r="G24" s="50">
        <f>_xlfn.XLOOKUP($F24,'6-Traffic Data'!$F$9:$F$48,'6-Traffic Data'!$N$9:$N$48)</f>
        <v>4129894.5232351646</v>
      </c>
      <c r="H24" s="51">
        <f t="shared" si="1"/>
        <v>0.12619047619047619</v>
      </c>
      <c r="I24" s="50">
        <f t="shared" si="2"/>
        <v>521153.35650348506</v>
      </c>
      <c r="J24" s="31">
        <f t="shared" si="3"/>
        <v>17458637.44286675</v>
      </c>
      <c r="K24" s="31">
        <f t="shared" si="0"/>
        <v>7656431.1865274711</v>
      </c>
    </row>
    <row r="25" spans="5:11" x14ac:dyDescent="0.25">
      <c r="E25" s="2">
        <v>22</v>
      </c>
      <c r="F25" s="2">
        <f t="shared" si="4"/>
        <v>2050</v>
      </c>
      <c r="G25" s="50">
        <f>_xlfn.XLOOKUP($F25,'6-Traffic Data'!$F$9:$F$48,'6-Traffic Data'!$N$9:$N$48)</f>
        <v>4228087.9310430642</v>
      </c>
      <c r="H25" s="51">
        <f t="shared" si="1"/>
        <v>0.12619047619047619</v>
      </c>
      <c r="I25" s="50">
        <f t="shared" si="2"/>
        <v>533544.42939352954</v>
      </c>
      <c r="J25" s="31">
        <f t="shared" si="3"/>
        <v>17873738.38468324</v>
      </c>
      <c r="K25" s="31">
        <f t="shared" si="0"/>
        <v>7602786.0469113765</v>
      </c>
    </row>
    <row r="26" spans="5:11" x14ac:dyDescent="0.25">
      <c r="E26" s="2">
        <v>23</v>
      </c>
      <c r="F26" s="2">
        <f t="shared" si="4"/>
        <v>2051</v>
      </c>
      <c r="G26" s="50">
        <f>_xlfn.XLOOKUP($F26,'6-Traffic Data'!$F$9:$F$48,'6-Traffic Data'!$N$9:$N$48)</f>
        <v>4328616.0099382475</v>
      </c>
      <c r="H26" s="51">
        <f t="shared" si="1"/>
        <v>0.12619047619047619</v>
      </c>
      <c r="I26" s="50">
        <f t="shared" si="2"/>
        <v>546230.11553982645</v>
      </c>
      <c r="J26" s="31">
        <f t="shared" si="3"/>
        <v>18298708.870584186</v>
      </c>
      <c r="K26" s="31">
        <f t="shared" si="0"/>
        <v>7549516.7744498765</v>
      </c>
    </row>
    <row r="27" spans="5:11" x14ac:dyDescent="0.25">
      <c r="E27" s="2">
        <v>24</v>
      </c>
      <c r="F27" s="2">
        <f t="shared" si="4"/>
        <v>2052</v>
      </c>
      <c r="G27" s="50">
        <f>_xlfn.XLOOKUP($F27,'6-Traffic Data'!$F$9:$F$48,'6-Traffic Data'!$N$9:$N$48)</f>
        <v>4431534.269645934</v>
      </c>
      <c r="H27" s="51">
        <f t="shared" si="1"/>
        <v>0.12619047619047619</v>
      </c>
      <c r="I27" s="50">
        <f t="shared" si="2"/>
        <v>559217.41974103451</v>
      </c>
      <c r="J27" s="31">
        <f t="shared" si="3"/>
        <v>18733783.561324656</v>
      </c>
      <c r="K27" s="31">
        <f t="shared" si="0"/>
        <v>7496620.7356123496</v>
      </c>
    </row>
    <row r="28" spans="5:11" x14ac:dyDescent="0.25">
      <c r="E28" s="2">
        <v>25</v>
      </c>
      <c r="F28" s="2">
        <f t="shared" si="4"/>
        <v>2053</v>
      </c>
      <c r="G28" s="50">
        <f>_xlfn.XLOOKUP($F28,'6-Traffic Data'!$F$9:$F$48,'6-Traffic Data'!$N$9:$N$48)</f>
        <v>4536899.5397044895</v>
      </c>
      <c r="H28" s="51">
        <f t="shared" si="1"/>
        <v>0.12619047619047619</v>
      </c>
      <c r="I28" s="50">
        <f t="shared" si="2"/>
        <v>572513.51334366179</v>
      </c>
      <c r="J28" s="31">
        <f t="shared" si="3"/>
        <v>19179202.69701267</v>
      </c>
      <c r="K28" s="31">
        <f t="shared" si="0"/>
        <v>7444095.3153201267</v>
      </c>
    </row>
    <row r="29" spans="5:11" x14ac:dyDescent="0.25">
      <c r="E29" s="2">
        <v>26</v>
      </c>
      <c r="F29" s="2">
        <f t="shared" si="4"/>
        <v>2054</v>
      </c>
      <c r="G29" s="50">
        <f>_xlfn.XLOOKUP($F29,'6-Traffic Data'!$F$9:$F$48,'6-Traffic Data'!$N$9:$N$48)</f>
        <v>4644770.0008456353</v>
      </c>
      <c r="H29" s="51">
        <f t="shared" si="1"/>
        <v>0.12619047619047619</v>
      </c>
      <c r="I29" s="50">
        <f t="shared" si="2"/>
        <v>586125.73820194916</v>
      </c>
      <c r="J29" s="31">
        <f t="shared" si="3"/>
        <v>19635212.229765296</v>
      </c>
      <c r="K29" s="31">
        <f t="shared" si="0"/>
        <v>7391937.9168172069</v>
      </c>
    </row>
    <row r="30" spans="5:11" x14ac:dyDescent="0.25">
      <c r="E30" s="2">
        <v>27</v>
      </c>
      <c r="F30" s="2">
        <f t="shared" si="4"/>
        <v>2055</v>
      </c>
      <c r="G30" s="50">
        <f>_xlfn.XLOOKUP($F30,'6-Traffic Data'!$F$9:$F$48,'6-Traffic Data'!$N$9:$N$48)</f>
        <v>4755205.2171207611</v>
      </c>
      <c r="H30" s="51">
        <f t="shared" si="1"/>
        <v>0.12619047619047619</v>
      </c>
      <c r="I30" s="50">
        <f t="shared" si="2"/>
        <v>600061.61073190556</v>
      </c>
      <c r="J30" s="31">
        <f t="shared" si="3"/>
        <v>20102063.959518835</v>
      </c>
      <c r="K30" s="31">
        <f t="shared" si="0"/>
        <v>7340145.961541892</v>
      </c>
    </row>
    <row r="31" spans="5:11" x14ac:dyDescent="0.25">
      <c r="E31" s="2">
        <v>28</v>
      </c>
      <c r="F31" s="2">
        <f t="shared" si="4"/>
        <v>2056</v>
      </c>
      <c r="G31" s="50">
        <f>_xlfn.XLOOKUP($F31,'6-Traffic Data'!$F$9:$F$48,'6-Traffic Data'!$N$9:$N$48)</f>
        <v>4868266.1687910762</v>
      </c>
      <c r="H31" s="51">
        <f t="shared" si="1"/>
        <v>0.12619047619047619</v>
      </c>
      <c r="I31" s="50">
        <f t="shared" si="2"/>
        <v>614328.82606173097</v>
      </c>
      <c r="J31" s="31">
        <f t="shared" si="3"/>
        <v>20580015.673067987</v>
      </c>
      <c r="K31" s="31">
        <f t="shared" si="0"/>
        <v>7288716.8889992815</v>
      </c>
    </row>
    <row r="32" spans="5:11" x14ac:dyDescent="0.25">
      <c r="E32" s="2">
        <v>29</v>
      </c>
      <c r="F32" s="2">
        <f t="shared" si="4"/>
        <v>2057</v>
      </c>
      <c r="G32" s="50">
        <f>_xlfn.XLOOKUP($F32,'6-Traffic Data'!$F$9:$F$48,'6-Traffic Data'!$N$9:$N$48)</f>
        <v>4984015.2859997731</v>
      </c>
      <c r="H32" s="51">
        <f t="shared" si="1"/>
        <v>0.12619047619047619</v>
      </c>
      <c r="I32" s="50">
        <f t="shared" si="2"/>
        <v>628935.26228092378</v>
      </c>
      <c r="J32" s="31">
        <f t="shared" si="3"/>
        <v>21069331.286410946</v>
      </c>
      <c r="K32" s="31">
        <f t="shared" si="0"/>
        <v>7237648.1566347079</v>
      </c>
    </row>
    <row r="33" spans="5:11" x14ac:dyDescent="0.25">
      <c r="E33" s="2">
        <v>30</v>
      </c>
      <c r="F33" s="2">
        <f t="shared" si="4"/>
        <v>2058</v>
      </c>
      <c r="G33" s="50">
        <f>_xlfn.XLOOKUP($F33,'6-Traffic Data'!$F$9:$F$48,'6-Traffic Data'!$N$9:$N$48)</f>
        <v>2551258.2416223916</v>
      </c>
      <c r="H33" s="51">
        <f t="shared" si="1"/>
        <v>0.12619047619047619</v>
      </c>
      <c r="I33" s="50">
        <f t="shared" si="2"/>
        <v>321944.49239520653</v>
      </c>
      <c r="J33" s="31">
        <f t="shared" si="3"/>
        <v>10785140.495239418</v>
      </c>
      <c r="K33" s="31">
        <f t="shared" si="0"/>
        <v>3593468.6198540125</v>
      </c>
    </row>
    <row r="34" spans="5:11" x14ac:dyDescent="0.25">
      <c r="G34" s="54"/>
      <c r="H34" s="56" t="s">
        <v>156</v>
      </c>
      <c r="I34" s="50">
        <f>SUM(I4:I33)</f>
        <v>10476648.633055231</v>
      </c>
      <c r="J34" s="57">
        <f>SUM(J4:J33)</f>
        <v>350967729.20735019</v>
      </c>
      <c r="K34" s="57">
        <f>SUM(K4:K33)</f>
        <v>158472880.50392678</v>
      </c>
    </row>
    <row r="35" spans="5:11" x14ac:dyDescent="0.25">
      <c r="G35" s="54"/>
      <c r="H35" s="55"/>
      <c r="I35" s="108"/>
      <c r="J35" s="109"/>
      <c r="K35" s="109"/>
    </row>
    <row r="36" spans="5:11" x14ac:dyDescent="0.25">
      <c r="E36" s="5" t="s">
        <v>247</v>
      </c>
    </row>
    <row r="37" spans="5:11" ht="40.5" x14ac:dyDescent="0.25">
      <c r="E37" s="49" t="s">
        <v>178</v>
      </c>
      <c r="F37" s="49" t="s">
        <v>174</v>
      </c>
      <c r="G37" s="49" t="s">
        <v>493</v>
      </c>
      <c r="H37" s="49" t="s">
        <v>241</v>
      </c>
      <c r="I37" s="49" t="s">
        <v>499</v>
      </c>
      <c r="J37" s="49" t="s">
        <v>243</v>
      </c>
      <c r="K37" s="49" t="s">
        <v>244</v>
      </c>
    </row>
    <row r="38" spans="5:11" x14ac:dyDescent="0.25">
      <c r="E38" s="2">
        <v>1</v>
      </c>
      <c r="F38" s="2">
        <f>C5</f>
        <v>2029</v>
      </c>
      <c r="G38" s="50">
        <f>_xlfn.XLOOKUP($F38,'6-Traffic Data'!$F$9:$F$48,'6-Traffic Data'!$O$9:$O$48)</f>
        <v>0</v>
      </c>
      <c r="H38" s="51">
        <f t="shared" ref="H38:H67" si="5">$C$15/$C$13</f>
        <v>0.12619047619047619</v>
      </c>
      <c r="I38" s="50">
        <f>IF(F38&gt;=$C$7,H38*G38,0)</f>
        <v>0</v>
      </c>
      <c r="J38" s="31">
        <f t="shared" ref="J38:J67" si="6">I38*$C$9</f>
        <v>0</v>
      </c>
      <c r="K38" s="31">
        <f t="shared" ref="K38" si="7">J38/((1+$C$3)^($F38-$C$4))</f>
        <v>0</v>
      </c>
    </row>
    <row r="39" spans="5:11" x14ac:dyDescent="0.25">
      <c r="E39" s="2">
        <v>2</v>
      </c>
      <c r="F39" s="2">
        <f>F38+1</f>
        <v>2030</v>
      </c>
      <c r="G39" s="50">
        <f>_xlfn.XLOOKUP($F39,'6-Traffic Data'!$F$9:$F$48,'6-Traffic Data'!$O$9:$O$48)</f>
        <v>0</v>
      </c>
      <c r="H39" s="51">
        <f t="shared" si="5"/>
        <v>0.12619047619047619</v>
      </c>
      <c r="I39" s="50">
        <f t="shared" ref="I39:I67" si="8">IF(F39&gt;=$C$7,H39*G39,0)</f>
        <v>0</v>
      </c>
      <c r="J39" s="31">
        <f t="shared" si="6"/>
        <v>0</v>
      </c>
      <c r="K39" s="31">
        <f t="shared" ref="K39:K67" si="9">J39/((1+$C$3)^($F39-$C$4))</f>
        <v>0</v>
      </c>
    </row>
    <row r="40" spans="5:11" x14ac:dyDescent="0.25">
      <c r="E40" s="2">
        <v>3</v>
      </c>
      <c r="F40" s="2">
        <f t="shared" ref="F40:F67" si="10">F39+1</f>
        <v>2031</v>
      </c>
      <c r="G40" s="50">
        <f>_xlfn.XLOOKUP($F40,'6-Traffic Data'!$F$9:$F$48,'6-Traffic Data'!$O$9:$O$48)</f>
        <v>0</v>
      </c>
      <c r="H40" s="51">
        <f t="shared" si="5"/>
        <v>0.12619047619047619</v>
      </c>
      <c r="I40" s="50">
        <f t="shared" si="8"/>
        <v>0</v>
      </c>
      <c r="J40" s="31">
        <f t="shared" si="6"/>
        <v>0</v>
      </c>
      <c r="K40" s="31">
        <f t="shared" si="9"/>
        <v>0</v>
      </c>
    </row>
    <row r="41" spans="5:11" x14ac:dyDescent="0.25">
      <c r="E41" s="2">
        <v>4</v>
      </c>
      <c r="F41" s="2">
        <f t="shared" si="10"/>
        <v>2032</v>
      </c>
      <c r="G41" s="50">
        <f>_xlfn.XLOOKUP($F41,'6-Traffic Data'!$F$9:$F$48,'6-Traffic Data'!$O$9:$O$48)</f>
        <v>0</v>
      </c>
      <c r="H41" s="51">
        <f t="shared" si="5"/>
        <v>0.12619047619047619</v>
      </c>
      <c r="I41" s="50">
        <f t="shared" si="8"/>
        <v>0</v>
      </c>
      <c r="J41" s="31">
        <f t="shared" si="6"/>
        <v>0</v>
      </c>
      <c r="K41" s="31">
        <f t="shared" si="9"/>
        <v>0</v>
      </c>
    </row>
    <row r="42" spans="5:11" x14ac:dyDescent="0.25">
      <c r="E42" s="2">
        <v>5</v>
      </c>
      <c r="F42" s="2">
        <f t="shared" si="10"/>
        <v>2033</v>
      </c>
      <c r="G42" s="50">
        <f>_xlfn.XLOOKUP($F42,'6-Traffic Data'!$F$9:$F$48,'6-Traffic Data'!$O$9:$O$48)</f>
        <v>0</v>
      </c>
      <c r="H42" s="51">
        <f t="shared" si="5"/>
        <v>0.12619047619047619</v>
      </c>
      <c r="I42" s="50">
        <f t="shared" si="8"/>
        <v>0</v>
      </c>
      <c r="J42" s="31">
        <f t="shared" si="6"/>
        <v>0</v>
      </c>
      <c r="K42" s="31">
        <f t="shared" si="9"/>
        <v>0</v>
      </c>
    </row>
    <row r="43" spans="5:11" x14ac:dyDescent="0.25">
      <c r="E43" s="2">
        <v>6</v>
      </c>
      <c r="F43" s="2">
        <f t="shared" si="10"/>
        <v>2034</v>
      </c>
      <c r="G43" s="50">
        <f>_xlfn.XLOOKUP($F43,'6-Traffic Data'!$F$9:$F$48,'6-Traffic Data'!$O$9:$O$48)</f>
        <v>0</v>
      </c>
      <c r="H43" s="51">
        <f t="shared" si="5"/>
        <v>0.12619047619047619</v>
      </c>
      <c r="I43" s="50">
        <f t="shared" si="8"/>
        <v>0</v>
      </c>
      <c r="J43" s="31">
        <f t="shared" si="6"/>
        <v>0</v>
      </c>
      <c r="K43" s="31">
        <f t="shared" si="9"/>
        <v>0</v>
      </c>
    </row>
    <row r="44" spans="5:11" x14ac:dyDescent="0.25">
      <c r="E44" s="2">
        <v>7</v>
      </c>
      <c r="F44" s="2">
        <f t="shared" si="10"/>
        <v>2035</v>
      </c>
      <c r="G44" s="50">
        <f>_xlfn.XLOOKUP($F44,'6-Traffic Data'!$F$9:$F$48,'6-Traffic Data'!$O$9:$O$48)</f>
        <v>0</v>
      </c>
      <c r="H44" s="51">
        <f t="shared" si="5"/>
        <v>0.12619047619047619</v>
      </c>
      <c r="I44" s="50">
        <f t="shared" si="8"/>
        <v>0</v>
      </c>
      <c r="J44" s="31">
        <f t="shared" si="6"/>
        <v>0</v>
      </c>
      <c r="K44" s="31">
        <f t="shared" si="9"/>
        <v>0</v>
      </c>
    </row>
    <row r="45" spans="5:11" x14ac:dyDescent="0.25">
      <c r="E45" s="2">
        <v>8</v>
      </c>
      <c r="F45" s="2">
        <f t="shared" si="10"/>
        <v>2036</v>
      </c>
      <c r="G45" s="50">
        <f>_xlfn.XLOOKUP($F45,'6-Traffic Data'!$F$9:$F$48,'6-Traffic Data'!$O$9:$O$48)</f>
        <v>0</v>
      </c>
      <c r="H45" s="51">
        <f t="shared" si="5"/>
        <v>0.12619047619047619</v>
      </c>
      <c r="I45" s="50">
        <f t="shared" si="8"/>
        <v>0</v>
      </c>
      <c r="J45" s="31">
        <f t="shared" si="6"/>
        <v>0</v>
      </c>
      <c r="K45" s="31">
        <f t="shared" si="9"/>
        <v>0</v>
      </c>
    </row>
    <row r="46" spans="5:11" x14ac:dyDescent="0.25">
      <c r="E46" s="2">
        <v>9</v>
      </c>
      <c r="F46" s="2">
        <f t="shared" si="10"/>
        <v>2037</v>
      </c>
      <c r="G46" s="50">
        <f>_xlfn.XLOOKUP($F46,'6-Traffic Data'!$F$9:$F$48,'6-Traffic Data'!$O$9:$O$48)</f>
        <v>0</v>
      </c>
      <c r="H46" s="51">
        <f t="shared" si="5"/>
        <v>0.12619047619047619</v>
      </c>
      <c r="I46" s="50">
        <f t="shared" si="8"/>
        <v>0</v>
      </c>
      <c r="J46" s="31">
        <f t="shared" si="6"/>
        <v>0</v>
      </c>
      <c r="K46" s="31">
        <f t="shared" si="9"/>
        <v>0</v>
      </c>
    </row>
    <row r="47" spans="5:11" x14ac:dyDescent="0.25">
      <c r="E47" s="2">
        <v>10</v>
      </c>
      <c r="F47" s="2">
        <f t="shared" si="10"/>
        <v>2038</v>
      </c>
      <c r="G47" s="50">
        <f>_xlfn.XLOOKUP($F47,'6-Traffic Data'!$F$9:$F$48,'6-Traffic Data'!$O$9:$O$48)</f>
        <v>0</v>
      </c>
      <c r="H47" s="51">
        <f t="shared" si="5"/>
        <v>0.12619047619047619</v>
      </c>
      <c r="I47" s="50">
        <f t="shared" si="8"/>
        <v>0</v>
      </c>
      <c r="J47" s="31">
        <f t="shared" si="6"/>
        <v>0</v>
      </c>
      <c r="K47" s="31">
        <f t="shared" si="9"/>
        <v>0</v>
      </c>
    </row>
    <row r="48" spans="5:11" x14ac:dyDescent="0.25">
      <c r="E48" s="2">
        <v>11</v>
      </c>
      <c r="F48" s="2">
        <f t="shared" si="10"/>
        <v>2039</v>
      </c>
      <c r="G48" s="50">
        <f>_xlfn.XLOOKUP($F48,'6-Traffic Data'!$F$9:$F$48,'6-Traffic Data'!$O$9:$O$48)</f>
        <v>0</v>
      </c>
      <c r="H48" s="51">
        <f t="shared" si="5"/>
        <v>0.12619047619047619</v>
      </c>
      <c r="I48" s="50">
        <f t="shared" si="8"/>
        <v>0</v>
      </c>
      <c r="J48" s="31">
        <f t="shared" si="6"/>
        <v>0</v>
      </c>
      <c r="K48" s="31">
        <f t="shared" si="9"/>
        <v>0</v>
      </c>
    </row>
    <row r="49" spans="5:11" x14ac:dyDescent="0.25">
      <c r="E49" s="2">
        <v>12</v>
      </c>
      <c r="F49" s="2">
        <f t="shared" si="10"/>
        <v>2040</v>
      </c>
      <c r="G49" s="50">
        <f>_xlfn.XLOOKUP($F49,'6-Traffic Data'!$F$9:$F$48,'6-Traffic Data'!$O$9:$O$48)</f>
        <v>0</v>
      </c>
      <c r="H49" s="51">
        <f t="shared" si="5"/>
        <v>0.12619047619047619</v>
      </c>
      <c r="I49" s="50">
        <f t="shared" si="8"/>
        <v>0</v>
      </c>
      <c r="J49" s="31">
        <f t="shared" si="6"/>
        <v>0</v>
      </c>
      <c r="K49" s="31">
        <f t="shared" si="9"/>
        <v>0</v>
      </c>
    </row>
    <row r="50" spans="5:11" x14ac:dyDescent="0.25">
      <c r="E50" s="2">
        <v>13</v>
      </c>
      <c r="F50" s="2">
        <f t="shared" si="10"/>
        <v>2041</v>
      </c>
      <c r="G50" s="50">
        <f>_xlfn.XLOOKUP($F50,'6-Traffic Data'!$F$9:$F$48,'6-Traffic Data'!$O$9:$O$48)</f>
        <v>0</v>
      </c>
      <c r="H50" s="51">
        <f t="shared" si="5"/>
        <v>0.12619047619047619</v>
      </c>
      <c r="I50" s="50">
        <f t="shared" si="8"/>
        <v>0</v>
      </c>
      <c r="J50" s="31">
        <f t="shared" si="6"/>
        <v>0</v>
      </c>
      <c r="K50" s="31">
        <f t="shared" si="9"/>
        <v>0</v>
      </c>
    </row>
    <row r="51" spans="5:11" x14ac:dyDescent="0.25">
      <c r="E51" s="2">
        <v>14</v>
      </c>
      <c r="F51" s="2">
        <f t="shared" si="10"/>
        <v>2042</v>
      </c>
      <c r="G51" s="50">
        <f>_xlfn.XLOOKUP($F51,'6-Traffic Data'!$F$9:$F$48,'6-Traffic Data'!$O$9:$O$48)</f>
        <v>0</v>
      </c>
      <c r="H51" s="51">
        <f t="shared" si="5"/>
        <v>0.12619047619047619</v>
      </c>
      <c r="I51" s="50">
        <f t="shared" si="8"/>
        <v>0</v>
      </c>
      <c r="J51" s="31">
        <f t="shared" si="6"/>
        <v>0</v>
      </c>
      <c r="K51" s="31">
        <f t="shared" si="9"/>
        <v>0</v>
      </c>
    </row>
    <row r="52" spans="5:11" x14ac:dyDescent="0.25">
      <c r="E52" s="2">
        <v>15</v>
      </c>
      <c r="F52" s="2">
        <f t="shared" si="10"/>
        <v>2043</v>
      </c>
      <c r="G52" s="50">
        <f>_xlfn.XLOOKUP($F52,'6-Traffic Data'!$F$9:$F$48,'6-Traffic Data'!$O$9:$O$48)</f>
        <v>0</v>
      </c>
      <c r="H52" s="51">
        <f t="shared" si="5"/>
        <v>0.12619047619047619</v>
      </c>
      <c r="I52" s="50">
        <f t="shared" si="8"/>
        <v>0</v>
      </c>
      <c r="J52" s="31">
        <f t="shared" si="6"/>
        <v>0</v>
      </c>
      <c r="K52" s="31">
        <f t="shared" si="9"/>
        <v>0</v>
      </c>
    </row>
    <row r="53" spans="5:11" x14ac:dyDescent="0.25">
      <c r="E53" s="2">
        <v>16</v>
      </c>
      <c r="F53" s="2">
        <f t="shared" si="10"/>
        <v>2044</v>
      </c>
      <c r="G53" s="50">
        <f>_xlfn.XLOOKUP($F53,'6-Traffic Data'!$F$9:$F$48,'6-Traffic Data'!$O$9:$O$48)</f>
        <v>0</v>
      </c>
      <c r="H53" s="51">
        <f t="shared" si="5"/>
        <v>0.12619047619047619</v>
      </c>
      <c r="I53" s="50">
        <f t="shared" si="8"/>
        <v>0</v>
      </c>
      <c r="J53" s="31">
        <f t="shared" si="6"/>
        <v>0</v>
      </c>
      <c r="K53" s="31">
        <f t="shared" si="9"/>
        <v>0</v>
      </c>
    </row>
    <row r="54" spans="5:11" x14ac:dyDescent="0.25">
      <c r="E54" s="2">
        <v>17</v>
      </c>
      <c r="F54" s="2">
        <f t="shared" si="10"/>
        <v>2045</v>
      </c>
      <c r="G54" s="50">
        <f>_xlfn.XLOOKUP($F54,'6-Traffic Data'!$F$9:$F$48,'6-Traffic Data'!$O$9:$O$48)</f>
        <v>0</v>
      </c>
      <c r="H54" s="51">
        <f t="shared" si="5"/>
        <v>0.12619047619047619</v>
      </c>
      <c r="I54" s="50">
        <f t="shared" si="8"/>
        <v>0</v>
      </c>
      <c r="J54" s="31">
        <f t="shared" si="6"/>
        <v>0</v>
      </c>
      <c r="K54" s="31">
        <f t="shared" si="9"/>
        <v>0</v>
      </c>
    </row>
    <row r="55" spans="5:11" x14ac:dyDescent="0.25">
      <c r="E55" s="2">
        <v>18</v>
      </c>
      <c r="F55" s="2">
        <f t="shared" si="10"/>
        <v>2046</v>
      </c>
      <c r="G55" s="50">
        <f>_xlfn.XLOOKUP($F55,'6-Traffic Data'!$F$9:$F$48,'6-Traffic Data'!$O$9:$O$48)</f>
        <v>0</v>
      </c>
      <c r="H55" s="51">
        <f t="shared" si="5"/>
        <v>0.12619047619047619</v>
      </c>
      <c r="I55" s="50">
        <f t="shared" si="8"/>
        <v>0</v>
      </c>
      <c r="J55" s="31">
        <f t="shared" si="6"/>
        <v>0</v>
      </c>
      <c r="K55" s="31">
        <f t="shared" si="9"/>
        <v>0</v>
      </c>
    </row>
    <row r="56" spans="5:11" x14ac:dyDescent="0.25">
      <c r="E56" s="2">
        <v>19</v>
      </c>
      <c r="F56" s="2">
        <f t="shared" si="10"/>
        <v>2047</v>
      </c>
      <c r="G56" s="50">
        <f>_xlfn.XLOOKUP($F56,'6-Traffic Data'!$F$9:$F$48,'6-Traffic Data'!$O$9:$O$48)</f>
        <v>0</v>
      </c>
      <c r="H56" s="51">
        <f t="shared" si="5"/>
        <v>0.12619047619047619</v>
      </c>
      <c r="I56" s="50">
        <f t="shared" si="8"/>
        <v>0</v>
      </c>
      <c r="J56" s="31">
        <f t="shared" si="6"/>
        <v>0</v>
      </c>
      <c r="K56" s="31">
        <f t="shared" si="9"/>
        <v>0</v>
      </c>
    </row>
    <row r="57" spans="5:11" x14ac:dyDescent="0.25">
      <c r="E57" s="2">
        <v>20</v>
      </c>
      <c r="F57" s="2">
        <f t="shared" si="10"/>
        <v>2048</v>
      </c>
      <c r="G57" s="50">
        <f>_xlfn.XLOOKUP($F57,'6-Traffic Data'!$F$9:$F$48,'6-Traffic Data'!$O$9:$O$48)</f>
        <v>0</v>
      </c>
      <c r="H57" s="51">
        <f t="shared" si="5"/>
        <v>0.12619047619047619</v>
      </c>
      <c r="I57" s="50">
        <f t="shared" si="8"/>
        <v>0</v>
      </c>
      <c r="J57" s="31">
        <f t="shared" si="6"/>
        <v>0</v>
      </c>
      <c r="K57" s="31">
        <f t="shared" si="9"/>
        <v>0</v>
      </c>
    </row>
    <row r="58" spans="5:11" x14ac:dyDescent="0.25">
      <c r="E58" s="2">
        <v>21</v>
      </c>
      <c r="F58" s="2">
        <f t="shared" si="10"/>
        <v>2049</v>
      </c>
      <c r="G58" s="50">
        <f>_xlfn.XLOOKUP($F58,'6-Traffic Data'!$F$9:$F$48,'6-Traffic Data'!$O$9:$O$48)</f>
        <v>0</v>
      </c>
      <c r="H58" s="51">
        <f t="shared" si="5"/>
        <v>0.12619047619047619</v>
      </c>
      <c r="I58" s="50">
        <f t="shared" si="8"/>
        <v>0</v>
      </c>
      <c r="J58" s="31">
        <f t="shared" si="6"/>
        <v>0</v>
      </c>
      <c r="K58" s="31">
        <f t="shared" si="9"/>
        <v>0</v>
      </c>
    </row>
    <row r="59" spans="5:11" x14ac:dyDescent="0.25">
      <c r="E59" s="2">
        <v>22</v>
      </c>
      <c r="F59" s="2">
        <f t="shared" si="10"/>
        <v>2050</v>
      </c>
      <c r="G59" s="50">
        <f>_xlfn.XLOOKUP($F59,'6-Traffic Data'!$F$9:$F$48,'6-Traffic Data'!$O$9:$O$48)</f>
        <v>0</v>
      </c>
      <c r="H59" s="51">
        <f t="shared" si="5"/>
        <v>0.12619047619047619</v>
      </c>
      <c r="I59" s="50">
        <f t="shared" si="8"/>
        <v>0</v>
      </c>
      <c r="J59" s="31">
        <f t="shared" si="6"/>
        <v>0</v>
      </c>
      <c r="K59" s="31">
        <f t="shared" si="9"/>
        <v>0</v>
      </c>
    </row>
    <row r="60" spans="5:11" x14ac:dyDescent="0.25">
      <c r="E60" s="2">
        <v>23</v>
      </c>
      <c r="F60" s="2">
        <f t="shared" si="10"/>
        <v>2051</v>
      </c>
      <c r="G60" s="50">
        <f>_xlfn.XLOOKUP($F60,'6-Traffic Data'!$F$9:$F$48,'6-Traffic Data'!$O$9:$O$48)</f>
        <v>0</v>
      </c>
      <c r="H60" s="51">
        <f t="shared" si="5"/>
        <v>0.12619047619047619</v>
      </c>
      <c r="I60" s="50">
        <f t="shared" si="8"/>
        <v>0</v>
      </c>
      <c r="J60" s="31">
        <f t="shared" si="6"/>
        <v>0</v>
      </c>
      <c r="K60" s="31">
        <f t="shared" si="9"/>
        <v>0</v>
      </c>
    </row>
    <row r="61" spans="5:11" x14ac:dyDescent="0.25">
      <c r="E61" s="2">
        <v>24</v>
      </c>
      <c r="F61" s="2">
        <f t="shared" si="10"/>
        <v>2052</v>
      </c>
      <c r="G61" s="50">
        <f>_xlfn.XLOOKUP($F61,'6-Traffic Data'!$F$9:$F$48,'6-Traffic Data'!$O$9:$O$48)</f>
        <v>5612540.5226725014</v>
      </c>
      <c r="H61" s="51">
        <f t="shared" si="5"/>
        <v>0.12619047619047619</v>
      </c>
      <c r="I61" s="50">
        <f t="shared" si="8"/>
        <v>708249.16119438701</v>
      </c>
      <c r="J61" s="31">
        <f t="shared" si="6"/>
        <v>23726346.900011964</v>
      </c>
      <c r="K61" s="31">
        <f t="shared" si="9"/>
        <v>9494474.1711526737</v>
      </c>
    </row>
    <row r="62" spans="5:11" x14ac:dyDescent="0.25">
      <c r="E62" s="2">
        <v>25</v>
      </c>
      <c r="F62" s="2">
        <f t="shared" si="10"/>
        <v>2053</v>
      </c>
      <c r="G62" s="50">
        <f>_xlfn.XLOOKUP($F62,'6-Traffic Data'!$F$9:$F$48,'6-Traffic Data'!$O$9:$O$48)</f>
        <v>5746005.3000449836</v>
      </c>
      <c r="H62" s="51">
        <f t="shared" si="5"/>
        <v>0.12619047619047619</v>
      </c>
      <c r="I62" s="50">
        <f t="shared" si="8"/>
        <v>725091.14500567643</v>
      </c>
      <c r="J62" s="31">
        <f t="shared" si="6"/>
        <v>24290553.357690159</v>
      </c>
      <c r="K62" s="31">
        <f t="shared" si="9"/>
        <v>9427982.8683743663</v>
      </c>
    </row>
    <row r="63" spans="5:11" x14ac:dyDescent="0.25">
      <c r="E63" s="2">
        <v>26</v>
      </c>
      <c r="F63" s="2">
        <f t="shared" si="10"/>
        <v>2054</v>
      </c>
      <c r="G63" s="50">
        <f>_xlfn.XLOOKUP($F63,'6-Traffic Data'!$F$9:$F$48,'6-Traffic Data'!$O$9:$O$48)</f>
        <v>5882643.8356695659</v>
      </c>
      <c r="H63" s="51">
        <f t="shared" si="5"/>
        <v>0.12619047619047619</v>
      </c>
      <c r="I63" s="50">
        <f t="shared" si="8"/>
        <v>742333.62688211189</v>
      </c>
      <c r="J63" s="31">
        <f t="shared" si="6"/>
        <v>24868176.500550747</v>
      </c>
      <c r="K63" s="31">
        <f t="shared" si="9"/>
        <v>9361957.2146952543</v>
      </c>
    </row>
    <row r="64" spans="5:11" x14ac:dyDescent="0.25">
      <c r="E64" s="2">
        <v>27</v>
      </c>
      <c r="F64" s="2">
        <f t="shared" si="10"/>
        <v>2055</v>
      </c>
      <c r="G64" s="50">
        <f>_xlfn.XLOOKUP($F64,'6-Traffic Data'!$F$9:$F$48,'6-Traffic Data'!$O$9:$O$48)</f>
        <v>6022531.6007053172</v>
      </c>
      <c r="H64" s="51">
        <f t="shared" si="5"/>
        <v>0.12619047619047619</v>
      </c>
      <c r="I64" s="50">
        <f t="shared" si="8"/>
        <v>759986.13056519476</v>
      </c>
      <c r="J64" s="31">
        <f t="shared" si="6"/>
        <v>25459535.373934023</v>
      </c>
      <c r="K64" s="31">
        <f t="shared" si="9"/>
        <v>9296393.9491011277</v>
      </c>
    </row>
    <row r="65" spans="5:11" x14ac:dyDescent="0.25">
      <c r="E65" s="2">
        <v>28</v>
      </c>
      <c r="F65" s="2">
        <f t="shared" si="10"/>
        <v>2056</v>
      </c>
      <c r="G65" s="50">
        <f>_xlfn.XLOOKUP($F65,'6-Traffic Data'!$F$9:$F$48,'6-Traffic Data'!$O$9:$O$48)</f>
        <v>6165745.8609961504</v>
      </c>
      <c r="H65" s="51">
        <f t="shared" si="5"/>
        <v>0.12619047619047619</v>
      </c>
      <c r="I65" s="50">
        <f t="shared" si="8"/>
        <v>778058.40626856184</v>
      </c>
      <c r="J65" s="31">
        <f t="shared" si="6"/>
        <v>26064956.609996822</v>
      </c>
      <c r="K65" s="31">
        <f t="shared" si="9"/>
        <v>9231289.8334151655</v>
      </c>
    </row>
    <row r="66" spans="5:11" x14ac:dyDescent="0.25">
      <c r="E66" s="2">
        <v>29</v>
      </c>
      <c r="F66" s="2">
        <f t="shared" si="10"/>
        <v>2057</v>
      </c>
      <c r="G66" s="50">
        <f>_xlfn.XLOOKUP($F66,'6-Traffic Data'!$F$9:$F$48,'6-Traffic Data'!$O$9:$O$48)</f>
        <v>6312365.7197479783</v>
      </c>
      <c r="H66" s="51">
        <f t="shared" si="5"/>
        <v>0.12619047619047619</v>
      </c>
      <c r="I66" s="50">
        <f t="shared" si="8"/>
        <v>796560.43606343528</v>
      </c>
      <c r="J66" s="31">
        <f t="shared" si="6"/>
        <v>26684774.608125083</v>
      </c>
      <c r="K66" s="31">
        <f t="shared" si="9"/>
        <v>9166641.6521380134</v>
      </c>
    </row>
    <row r="67" spans="5:11" x14ac:dyDescent="0.25">
      <c r="E67" s="2">
        <v>30</v>
      </c>
      <c r="F67" s="2">
        <f t="shared" si="10"/>
        <v>2058</v>
      </c>
      <c r="G67" s="50">
        <f>_xlfn.XLOOKUP($F67,'6-Traffic Data'!$F$9:$F$48,'6-Traffic Data'!$O$9:$O$48)</f>
        <v>3231236.0806103526</v>
      </c>
      <c r="H67" s="51">
        <f t="shared" si="5"/>
        <v>0.12619047619047619</v>
      </c>
      <c r="I67" s="50">
        <f t="shared" si="8"/>
        <v>407751.21969606826</v>
      </c>
      <c r="J67" s="31">
        <f t="shared" si="6"/>
        <v>13659665.859818287</v>
      </c>
      <c r="K67" s="31">
        <f t="shared" si="9"/>
        <v>4551223.1061444832</v>
      </c>
    </row>
    <row r="68" spans="5:11" x14ac:dyDescent="0.25">
      <c r="H68" s="56" t="s">
        <v>156</v>
      </c>
      <c r="I68" s="344">
        <f>SUM(I38:I67)</f>
        <v>4918030.1256754352</v>
      </c>
      <c r="J68" s="57">
        <f>SUM(J38:J67)</f>
        <v>164754009.21012709</v>
      </c>
      <c r="K68" s="57">
        <f>SUM(K38:K67)</f>
        <v>60529962.795021079</v>
      </c>
    </row>
    <row r="70" spans="5:11" x14ac:dyDescent="0.25">
      <c r="H70" s="241" t="s">
        <v>668</v>
      </c>
      <c r="I70" s="344">
        <f>I68+I34</f>
        <v>15394678.758730665</v>
      </c>
      <c r="J70" s="31">
        <f>J68+J34</f>
        <v>515721738.41747725</v>
      </c>
      <c r="K70" s="31">
        <f>K68+K34</f>
        <v>219002843.29894787</v>
      </c>
    </row>
  </sheetData>
  <sheetProtection algorithmName="SHA-512" hashValue="pbSwawc/XiSO3GTxg4KWB4ENt2p10x+ZN8H0AWMas45Ccho5MA3KsP2/EDC79kSg2xrtyXOJ1zLwlhPED4LXfQ==" saltValue="QIo7RPSP4YftCD3Ai4i+CQ=="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4D250-5A87-43DF-BDC6-BB5E550185AF}">
  <sheetPr>
    <tabColor theme="3" tint="0.89999084444715716"/>
  </sheetPr>
  <dimension ref="A1:U71"/>
  <sheetViews>
    <sheetView zoomScale="85" workbookViewId="0">
      <selection activeCell="V49" sqref="V49"/>
    </sheetView>
  </sheetViews>
  <sheetFormatPr defaultColWidth="9" defaultRowHeight="13.5" x14ac:dyDescent="0.25"/>
  <cols>
    <col min="1" max="1" width="4.375" style="5" customWidth="1"/>
    <col min="2" max="2" width="28.375" style="5" customWidth="1"/>
    <col min="3" max="3" width="13.875" style="5" bestFit="1" customWidth="1"/>
    <col min="4" max="4" width="13.875" style="5" customWidth="1"/>
    <col min="5" max="6" width="9" style="5"/>
    <col min="7" max="7" width="11.375" style="5" customWidth="1"/>
    <col min="8" max="8" width="12.125" style="5" customWidth="1"/>
    <col min="9" max="9" width="14.375" style="5" customWidth="1"/>
    <col min="10" max="10" width="3.375" style="5" customWidth="1"/>
    <col min="11" max="14" width="10.625" style="5" customWidth="1"/>
    <col min="15" max="15" width="3.625" style="5" customWidth="1"/>
    <col min="16" max="18" width="13.125" style="58" customWidth="1"/>
    <col min="19" max="19" width="2.375" style="5" customWidth="1"/>
    <col min="20" max="20" width="14.375" style="58" customWidth="1"/>
    <col min="21" max="21" width="14.125" style="58" bestFit="1" customWidth="1"/>
    <col min="22" max="16384" width="9" style="5"/>
  </cols>
  <sheetData>
    <row r="1" spans="1:21" ht="15" x14ac:dyDescent="0.25">
      <c r="A1"/>
    </row>
    <row r="2" spans="1:21" x14ac:dyDescent="0.25">
      <c r="B2" s="47" t="s">
        <v>157</v>
      </c>
      <c r="C2" s="47" t="s">
        <v>34</v>
      </c>
      <c r="D2" s="47"/>
      <c r="G2" s="5" t="s">
        <v>179</v>
      </c>
    </row>
    <row r="3" spans="1:21" ht="50.25" customHeight="1" x14ac:dyDescent="0.25">
      <c r="B3" s="5" t="str">
        <f>'3-Inputs'!B4</f>
        <v>Discount Rate</v>
      </c>
      <c r="C3" s="48">
        <f>'3-Inputs'!C4</f>
        <v>3.1E-2</v>
      </c>
      <c r="D3" s="48"/>
      <c r="G3" s="49" t="s">
        <v>178</v>
      </c>
      <c r="H3" s="49" t="s">
        <v>174</v>
      </c>
      <c r="I3" s="49" t="s">
        <v>248</v>
      </c>
      <c r="K3" s="49" t="s">
        <v>452</v>
      </c>
      <c r="L3" s="49" t="s">
        <v>453</v>
      </c>
      <c r="M3" s="49" t="s">
        <v>454</v>
      </c>
      <c r="N3" s="49" t="s">
        <v>156</v>
      </c>
      <c r="P3" s="49" t="s">
        <v>452</v>
      </c>
      <c r="Q3" s="49" t="s">
        <v>453</v>
      </c>
      <c r="R3" s="49" t="s">
        <v>454</v>
      </c>
      <c r="T3" s="32" t="s">
        <v>170</v>
      </c>
      <c r="U3" s="32" t="s">
        <v>250</v>
      </c>
    </row>
    <row r="4" spans="1:21" x14ac:dyDescent="0.25">
      <c r="B4" s="5" t="str">
        <f>'3-Inputs'!B6</f>
        <v>Discount Year</v>
      </c>
      <c r="C4" s="5">
        <f>'3-Inputs'!C6</f>
        <v>2022</v>
      </c>
      <c r="G4" s="2">
        <v>1</v>
      </c>
      <c r="H4" s="2">
        <f>$C$5</f>
        <v>2029</v>
      </c>
      <c r="I4" s="50">
        <f>_xlfn.XLOOKUP(H4,'6-Traffic Data'!$F$9:$F$48,'6-Traffic Data'!$Q$9:$Q$48)</f>
        <v>0</v>
      </c>
      <c r="K4" s="51">
        <f t="shared" ref="K4:K33" si="0">($I4/$C$6)*$C$18</f>
        <v>0</v>
      </c>
      <c r="L4" s="51">
        <f t="shared" ref="L4:L33" si="1">($I4/$C$6)*$C$19</f>
        <v>0</v>
      </c>
      <c r="M4" s="51">
        <f t="shared" ref="M4:M33" si="2">($I4/$C$6)*$C$20</f>
        <v>0</v>
      </c>
      <c r="N4" s="59">
        <f>M4+L4+K4</f>
        <v>0</v>
      </c>
      <c r="P4" s="31">
        <f t="shared" ref="P4:P33" si="3">K4*$C$15</f>
        <v>0</v>
      </c>
      <c r="Q4" s="31">
        <f t="shared" ref="Q4:Q33" si="4">L4*$C$14</f>
        <v>0</v>
      </c>
      <c r="R4" s="31">
        <f t="shared" ref="R4:R33" si="5">M4*$C$13</f>
        <v>0</v>
      </c>
      <c r="T4" s="31">
        <f t="shared" ref="T4:T23" si="6">R4+Q4+P4</f>
        <v>0</v>
      </c>
      <c r="U4" s="31">
        <f>T4/((1+$C$3)^($H4-$C$4))</f>
        <v>0</v>
      </c>
    </row>
    <row r="5" spans="1:21" x14ac:dyDescent="0.25">
      <c r="B5" s="5" t="str">
        <f>'3-Inputs'!B9</f>
        <v>Project Start Year</v>
      </c>
      <c r="C5" s="5">
        <f>'3-Inputs'!C9</f>
        <v>2029</v>
      </c>
      <c r="G5" s="2">
        <f>G4+1</f>
        <v>2</v>
      </c>
      <c r="H5" s="2">
        <f>H4+1</f>
        <v>2030</v>
      </c>
      <c r="I5" s="50">
        <f>_xlfn.XLOOKUP(H5,'6-Traffic Data'!$F$9:$F$48,'6-Traffic Data'!$Q$9:$Q$48)</f>
        <v>0</v>
      </c>
      <c r="K5" s="51">
        <f t="shared" si="0"/>
        <v>0</v>
      </c>
      <c r="L5" s="51">
        <f t="shared" si="1"/>
        <v>0</v>
      </c>
      <c r="M5" s="51">
        <f t="shared" si="2"/>
        <v>0</v>
      </c>
      <c r="N5" s="59">
        <f t="shared" ref="N5:N23" si="7">M5+L5+K5</f>
        <v>0</v>
      </c>
      <c r="P5" s="31">
        <f t="shared" si="3"/>
        <v>0</v>
      </c>
      <c r="Q5" s="31">
        <f t="shared" si="4"/>
        <v>0</v>
      </c>
      <c r="R5" s="31">
        <f t="shared" si="5"/>
        <v>0</v>
      </c>
      <c r="T5" s="31">
        <f t="shared" si="6"/>
        <v>0</v>
      </c>
      <c r="U5" s="31">
        <f t="shared" ref="U5:U23" si="8">T5/((1+$C$3)^($H5-$C$4))</f>
        <v>0</v>
      </c>
    </row>
    <row r="6" spans="1:21" x14ac:dyDescent="0.25">
      <c r="B6" s="5" t="str">
        <f>'3-Inputs'!B25</f>
        <v>100 million multiplier</v>
      </c>
      <c r="C6" s="28">
        <f>'3-Inputs'!C25</f>
        <v>100000000</v>
      </c>
      <c r="D6" s="28"/>
      <c r="G6" s="2">
        <f t="shared" ref="G6:H21" si="9">G5+1</f>
        <v>3</v>
      </c>
      <c r="H6" s="2">
        <f t="shared" si="9"/>
        <v>2031</v>
      </c>
      <c r="I6" s="50">
        <f>_xlfn.XLOOKUP(H6,'6-Traffic Data'!$F$9:$F$48,'6-Traffic Data'!$Q$9:$Q$48)</f>
        <v>0</v>
      </c>
      <c r="K6" s="51">
        <f t="shared" si="0"/>
        <v>0</v>
      </c>
      <c r="L6" s="51">
        <f t="shared" si="1"/>
        <v>0</v>
      </c>
      <c r="M6" s="51">
        <f t="shared" si="2"/>
        <v>0</v>
      </c>
      <c r="N6" s="59">
        <f t="shared" si="7"/>
        <v>0</v>
      </c>
      <c r="P6" s="31">
        <f t="shared" si="3"/>
        <v>0</v>
      </c>
      <c r="Q6" s="31">
        <f t="shared" si="4"/>
        <v>0</v>
      </c>
      <c r="R6" s="31">
        <f t="shared" si="5"/>
        <v>0</v>
      </c>
      <c r="T6" s="31">
        <f t="shared" si="6"/>
        <v>0</v>
      </c>
      <c r="U6" s="31">
        <f t="shared" si="8"/>
        <v>0</v>
      </c>
    </row>
    <row r="7" spans="1:21" x14ac:dyDescent="0.25">
      <c r="B7" s="139" t="str">
        <f>'3-Inputs'!B27</f>
        <v>Fatal Crashes per 100 million VMT - 2021 (Muskogee County)</v>
      </c>
      <c r="C7" s="5">
        <f>'3-Inputs'!C27</f>
        <v>2.27</v>
      </c>
      <c r="G7" s="2">
        <f t="shared" si="9"/>
        <v>4</v>
      </c>
      <c r="H7" s="2">
        <f t="shared" si="9"/>
        <v>2032</v>
      </c>
      <c r="I7" s="50">
        <f>_xlfn.XLOOKUP(H7,'6-Traffic Data'!$F$9:$F$48,'6-Traffic Data'!$Q$9:$Q$48)</f>
        <v>0</v>
      </c>
      <c r="K7" s="51">
        <f t="shared" si="0"/>
        <v>0</v>
      </c>
      <c r="L7" s="51">
        <f t="shared" si="1"/>
        <v>0</v>
      </c>
      <c r="M7" s="51">
        <f t="shared" si="2"/>
        <v>0</v>
      </c>
      <c r="N7" s="59">
        <f t="shared" si="7"/>
        <v>0</v>
      </c>
      <c r="P7" s="31">
        <f t="shared" si="3"/>
        <v>0</v>
      </c>
      <c r="Q7" s="31">
        <f t="shared" si="4"/>
        <v>0</v>
      </c>
      <c r="R7" s="31">
        <f t="shared" si="5"/>
        <v>0</v>
      </c>
      <c r="T7" s="31">
        <f t="shared" si="6"/>
        <v>0</v>
      </c>
      <c r="U7" s="31">
        <f t="shared" si="8"/>
        <v>0</v>
      </c>
    </row>
    <row r="8" spans="1:21" x14ac:dyDescent="0.25">
      <c r="B8" s="139" t="str">
        <f>'3-Inputs'!B28</f>
        <v>Injuries per 100 million VMT- 2021 (Muskogee County)</v>
      </c>
      <c r="C8" s="5">
        <f>'3-Inputs'!C28</f>
        <v>38.33</v>
      </c>
      <c r="G8" s="2">
        <f t="shared" si="9"/>
        <v>5</v>
      </c>
      <c r="H8" s="2">
        <f t="shared" si="9"/>
        <v>2033</v>
      </c>
      <c r="I8" s="50">
        <f>_xlfn.XLOOKUP(H8,'6-Traffic Data'!$F$9:$F$48,'6-Traffic Data'!$Q$9:$Q$48)</f>
        <v>0</v>
      </c>
      <c r="K8" s="51">
        <f t="shared" si="0"/>
        <v>0</v>
      </c>
      <c r="L8" s="51">
        <f t="shared" si="1"/>
        <v>0</v>
      </c>
      <c r="M8" s="51">
        <f t="shared" si="2"/>
        <v>0</v>
      </c>
      <c r="N8" s="59">
        <f t="shared" si="7"/>
        <v>0</v>
      </c>
      <c r="P8" s="31">
        <f t="shared" si="3"/>
        <v>0</v>
      </c>
      <c r="Q8" s="31">
        <f t="shared" si="4"/>
        <v>0</v>
      </c>
      <c r="R8" s="31">
        <f t="shared" si="5"/>
        <v>0</v>
      </c>
      <c r="T8" s="31">
        <f t="shared" si="6"/>
        <v>0</v>
      </c>
      <c r="U8" s="31">
        <f t="shared" si="8"/>
        <v>0</v>
      </c>
    </row>
    <row r="9" spans="1:21" x14ac:dyDescent="0.25">
      <c r="B9" s="139" t="str">
        <f>'3-Inputs'!B30</f>
        <v>PDO Crashes per 100 million VMT- 2023 (Muskogee County)</v>
      </c>
      <c r="C9" s="5">
        <f>'3-Inputs'!C30</f>
        <v>73.900000000000006</v>
      </c>
      <c r="G9" s="2">
        <f t="shared" si="9"/>
        <v>6</v>
      </c>
      <c r="H9" s="2">
        <f t="shared" si="9"/>
        <v>2034</v>
      </c>
      <c r="I9" s="50">
        <f>_xlfn.XLOOKUP(H9,'6-Traffic Data'!$F$9:$F$48,'6-Traffic Data'!$Q$9:$Q$48)</f>
        <v>0</v>
      </c>
      <c r="K9" s="51">
        <f t="shared" si="0"/>
        <v>0</v>
      </c>
      <c r="L9" s="51">
        <f t="shared" si="1"/>
        <v>0</v>
      </c>
      <c r="M9" s="51">
        <f t="shared" si="2"/>
        <v>0</v>
      </c>
      <c r="N9" s="59">
        <f t="shared" si="7"/>
        <v>0</v>
      </c>
      <c r="P9" s="31">
        <f t="shared" si="3"/>
        <v>0</v>
      </c>
      <c r="Q9" s="31">
        <f t="shared" si="4"/>
        <v>0</v>
      </c>
      <c r="R9" s="31">
        <f t="shared" si="5"/>
        <v>0</v>
      </c>
      <c r="T9" s="31">
        <f t="shared" si="6"/>
        <v>0</v>
      </c>
      <c r="U9" s="31">
        <f t="shared" si="8"/>
        <v>0</v>
      </c>
    </row>
    <row r="10" spans="1:21" x14ac:dyDescent="0.25">
      <c r="B10" s="139" t="str">
        <f>'3-Inputs'!B31</f>
        <v>Fatal Crashes per 100 million VMT - 2021 (Sequoyah County)</v>
      </c>
      <c r="C10" s="5">
        <f>'3-Inputs'!C31</f>
        <v>1.61</v>
      </c>
      <c r="G10" s="2">
        <f t="shared" si="9"/>
        <v>7</v>
      </c>
      <c r="H10" s="2">
        <f t="shared" si="9"/>
        <v>2035</v>
      </c>
      <c r="I10" s="50">
        <f>_xlfn.XLOOKUP(H10,'6-Traffic Data'!$F$9:$F$48,'6-Traffic Data'!$Q$9:$Q$48)</f>
        <v>0</v>
      </c>
      <c r="K10" s="51">
        <f t="shared" si="0"/>
        <v>0</v>
      </c>
      <c r="L10" s="51">
        <f t="shared" si="1"/>
        <v>0</v>
      </c>
      <c r="M10" s="51">
        <f t="shared" si="2"/>
        <v>0</v>
      </c>
      <c r="N10" s="59">
        <f t="shared" si="7"/>
        <v>0</v>
      </c>
      <c r="P10" s="31">
        <f t="shared" si="3"/>
        <v>0</v>
      </c>
      <c r="Q10" s="31">
        <f t="shared" si="4"/>
        <v>0</v>
      </c>
      <c r="R10" s="31">
        <f t="shared" si="5"/>
        <v>0</v>
      </c>
      <c r="T10" s="31">
        <f t="shared" si="6"/>
        <v>0</v>
      </c>
      <c r="U10" s="31">
        <f t="shared" si="8"/>
        <v>0</v>
      </c>
    </row>
    <row r="11" spans="1:21" x14ac:dyDescent="0.25">
      <c r="B11" s="139" t="str">
        <f>'3-Inputs'!B32</f>
        <v>Injuries per 100 million VMT- 2021 (Sequoyah County)</v>
      </c>
      <c r="C11" s="5">
        <f>'3-Inputs'!C32</f>
        <v>25.94</v>
      </c>
      <c r="G11" s="2">
        <f t="shared" si="9"/>
        <v>8</v>
      </c>
      <c r="H11" s="2">
        <f t="shared" si="9"/>
        <v>2036</v>
      </c>
      <c r="I11" s="50">
        <f>_xlfn.XLOOKUP(H11,'6-Traffic Data'!$F$9:$F$48,'6-Traffic Data'!$Q$9:$Q$48)</f>
        <v>0</v>
      </c>
      <c r="K11" s="51">
        <f t="shared" si="0"/>
        <v>0</v>
      </c>
      <c r="L11" s="51">
        <f t="shared" si="1"/>
        <v>0</v>
      </c>
      <c r="M11" s="51">
        <f t="shared" si="2"/>
        <v>0</v>
      </c>
      <c r="N11" s="59">
        <f t="shared" si="7"/>
        <v>0</v>
      </c>
      <c r="P11" s="31">
        <f t="shared" si="3"/>
        <v>0</v>
      </c>
      <c r="Q11" s="31">
        <f t="shared" si="4"/>
        <v>0</v>
      </c>
      <c r="R11" s="31">
        <f t="shared" si="5"/>
        <v>0</v>
      </c>
      <c r="T11" s="31">
        <f t="shared" si="6"/>
        <v>0</v>
      </c>
      <c r="U11" s="31">
        <f t="shared" si="8"/>
        <v>0</v>
      </c>
    </row>
    <row r="12" spans="1:21" x14ac:dyDescent="0.25">
      <c r="B12" s="139" t="str">
        <f>'3-Inputs'!B34</f>
        <v>PDO Crashes per 100 million VMT- 2023 (Sequoyah County)</v>
      </c>
      <c r="C12" s="5">
        <f>'3-Inputs'!C34</f>
        <v>81.83</v>
      </c>
      <c r="G12" s="2">
        <f t="shared" si="9"/>
        <v>9</v>
      </c>
      <c r="H12" s="2">
        <f t="shared" si="9"/>
        <v>2037</v>
      </c>
      <c r="I12" s="50">
        <f>_xlfn.XLOOKUP(H12,'6-Traffic Data'!$F$9:$F$48,'6-Traffic Data'!$Q$9:$Q$48)</f>
        <v>0</v>
      </c>
      <c r="K12" s="51">
        <f t="shared" si="0"/>
        <v>0</v>
      </c>
      <c r="L12" s="51">
        <f t="shared" si="1"/>
        <v>0</v>
      </c>
      <c r="M12" s="51">
        <f t="shared" si="2"/>
        <v>0</v>
      </c>
      <c r="N12" s="59">
        <f t="shared" si="7"/>
        <v>0</v>
      </c>
      <c r="P12" s="31">
        <f t="shared" si="3"/>
        <v>0</v>
      </c>
      <c r="Q12" s="31">
        <f t="shared" si="4"/>
        <v>0</v>
      </c>
      <c r="R12" s="31">
        <f t="shared" si="5"/>
        <v>0</v>
      </c>
      <c r="T12" s="31">
        <f t="shared" si="6"/>
        <v>0</v>
      </c>
      <c r="U12" s="31">
        <f t="shared" si="8"/>
        <v>0</v>
      </c>
    </row>
    <row r="13" spans="1:21" x14ac:dyDescent="0.25">
      <c r="B13" s="5" t="str">
        <f>'3-Inputs'!B52</f>
        <v>PDO Crash Value</v>
      </c>
      <c r="C13" s="58">
        <f>'3-Inputs'!C52</f>
        <v>9100</v>
      </c>
      <c r="D13" s="58"/>
      <c r="G13" s="2">
        <f t="shared" si="9"/>
        <v>10</v>
      </c>
      <c r="H13" s="2">
        <f t="shared" si="9"/>
        <v>2038</v>
      </c>
      <c r="I13" s="50">
        <f>_xlfn.XLOOKUP(H13,'6-Traffic Data'!$F$9:$F$48,'6-Traffic Data'!$Q$9:$Q$48)</f>
        <v>12756848.373047907</v>
      </c>
      <c r="K13" s="51">
        <f t="shared" si="0"/>
        <v>0.24748285843712939</v>
      </c>
      <c r="L13" s="51">
        <f t="shared" si="1"/>
        <v>4.099413224678945</v>
      </c>
      <c r="M13" s="51">
        <f t="shared" si="2"/>
        <v>9.9331199856737538</v>
      </c>
      <c r="N13" s="59">
        <f t="shared" si="7"/>
        <v>14.280016068789829</v>
      </c>
      <c r="P13" s="31">
        <f t="shared" si="3"/>
        <v>3470427.3755780216</v>
      </c>
      <c r="Q13" s="31">
        <f t="shared" si="4"/>
        <v>1283116.3393245097</v>
      </c>
      <c r="R13" s="31">
        <f t="shared" si="5"/>
        <v>90391.391869631159</v>
      </c>
      <c r="T13" s="31">
        <f t="shared" si="6"/>
        <v>4843935.106772162</v>
      </c>
      <c r="U13" s="31">
        <f t="shared" si="8"/>
        <v>2972074.3650313998</v>
      </c>
    </row>
    <row r="14" spans="1:21" x14ac:dyDescent="0.25">
      <c r="B14" s="5" t="str">
        <f>'3-Inputs'!B53</f>
        <v>Injury Crash Value</v>
      </c>
      <c r="C14" s="58">
        <f>'3-Inputs'!C53</f>
        <v>313000</v>
      </c>
      <c r="D14" s="58"/>
      <c r="G14" s="2">
        <f t="shared" si="9"/>
        <v>11</v>
      </c>
      <c r="H14" s="2">
        <f t="shared" si="9"/>
        <v>2039</v>
      </c>
      <c r="I14" s="50">
        <f>_xlfn.XLOOKUP(H14,'6-Traffic Data'!$F$9:$F$48,'6-Traffic Data'!$Q$9:$Q$48)</f>
        <v>13060158.398907108</v>
      </c>
      <c r="K14" s="51">
        <f>($I14/$C$6)*$C$18</f>
        <v>0.2533670729387979</v>
      </c>
      <c r="L14" s="51">
        <f t="shared" si="1"/>
        <v>4.1968819014887995</v>
      </c>
      <c r="M14" s="51">
        <f t="shared" si="2"/>
        <v>10.169292337309022</v>
      </c>
      <c r="N14" s="59">
        <f t="shared" si="7"/>
        <v>14.619541311736619</v>
      </c>
      <c r="P14" s="31">
        <f t="shared" si="3"/>
        <v>3552941.1271134689</v>
      </c>
      <c r="Q14" s="31">
        <f t="shared" si="4"/>
        <v>1313624.0351659942</v>
      </c>
      <c r="R14" s="31">
        <f t="shared" si="5"/>
        <v>92540.560269512105</v>
      </c>
      <c r="T14" s="31">
        <f t="shared" si="6"/>
        <v>4959105.7225489747</v>
      </c>
      <c r="U14" s="31">
        <f t="shared" si="8"/>
        <v>2951250.3883799701</v>
      </c>
    </row>
    <row r="15" spans="1:21" x14ac:dyDescent="0.25">
      <c r="B15" s="5" t="str">
        <f>'3-Inputs'!B54</f>
        <v>Fatal Crash Value</v>
      </c>
      <c r="C15" s="58">
        <f>'3-Inputs'!C54</f>
        <v>14022900</v>
      </c>
      <c r="D15" s="58"/>
      <c r="G15" s="2">
        <f t="shared" si="9"/>
        <v>12</v>
      </c>
      <c r="H15" s="2">
        <f t="shared" si="9"/>
        <v>2040</v>
      </c>
      <c r="I15" s="50">
        <f>_xlfn.XLOOKUP(H15,'6-Traffic Data'!$F$9:$F$48,'6-Traffic Data'!$Q$9:$Q$48)</f>
        <v>13370679.999999976</v>
      </c>
      <c r="K15" s="51">
        <f t="shared" si="0"/>
        <v>0.25939119199999955</v>
      </c>
      <c r="L15" s="51">
        <f t="shared" si="1"/>
        <v>4.2966680179999921</v>
      </c>
      <c r="M15" s="51">
        <f t="shared" si="2"/>
        <v>10.411079981999983</v>
      </c>
      <c r="N15" s="59">
        <f t="shared" si="7"/>
        <v>14.967139191999973</v>
      </c>
      <c r="P15" s="31">
        <f t="shared" si="3"/>
        <v>3637416.7462967937</v>
      </c>
      <c r="Q15" s="31">
        <f t="shared" si="4"/>
        <v>1344857.0896339975</v>
      </c>
      <c r="R15" s="31">
        <f t="shared" si="5"/>
        <v>94740.827836199838</v>
      </c>
      <c r="T15" s="31">
        <f t="shared" si="6"/>
        <v>5077014.6637669913</v>
      </c>
      <c r="U15" s="31">
        <f t="shared" si="8"/>
        <v>2930572.3158851406</v>
      </c>
    </row>
    <row r="16" spans="1:21" x14ac:dyDescent="0.25">
      <c r="G16" s="2">
        <f t="shared" si="9"/>
        <v>13</v>
      </c>
      <c r="H16" s="2">
        <f t="shared" si="9"/>
        <v>2041</v>
      </c>
      <c r="I16" s="50">
        <f>_xlfn.XLOOKUP(H16,'6-Traffic Data'!$F$9:$F$48,'6-Traffic Data'!$Q$9:$Q$48)</f>
        <v>13688584.640547659</v>
      </c>
      <c r="K16" s="51">
        <f t="shared" si="0"/>
        <v>0.2655585420266246</v>
      </c>
      <c r="L16" s="51">
        <f t="shared" si="1"/>
        <v>4.3988266742399906</v>
      </c>
      <c r="M16" s="51">
        <f t="shared" si="2"/>
        <v>10.658616430362438</v>
      </c>
      <c r="N16" s="59">
        <f t="shared" si="7"/>
        <v>15.323001646629052</v>
      </c>
      <c r="P16" s="31">
        <f t="shared" si="3"/>
        <v>3723900.878985154</v>
      </c>
      <c r="Q16" s="31">
        <f t="shared" si="4"/>
        <v>1376832.749037117</v>
      </c>
      <c r="R16" s="31">
        <f t="shared" si="5"/>
        <v>96993.409516298183</v>
      </c>
      <c r="T16" s="31">
        <f t="shared" si="6"/>
        <v>5197727.0375385694</v>
      </c>
      <c r="U16" s="31">
        <f t="shared" si="8"/>
        <v>2910039.12526268</v>
      </c>
    </row>
    <row r="17" spans="2:21" x14ac:dyDescent="0.25">
      <c r="B17" s="47" t="s">
        <v>447</v>
      </c>
      <c r="G17" s="2">
        <f t="shared" si="9"/>
        <v>14</v>
      </c>
      <c r="H17" s="2">
        <f t="shared" si="9"/>
        <v>2042</v>
      </c>
      <c r="I17" s="50">
        <f>_xlfn.XLOOKUP(H17,'6-Traffic Data'!$F$9:$F$48,'6-Traffic Data'!$Q$9:$Q$48)</f>
        <v>14014047.861547625</v>
      </c>
      <c r="K17" s="51">
        <f t="shared" si="0"/>
        <v>0.27187252851402388</v>
      </c>
      <c r="L17" s="51">
        <f t="shared" si="1"/>
        <v>4.5034142803083288</v>
      </c>
      <c r="M17" s="51">
        <f t="shared" si="2"/>
        <v>10.912038367394059</v>
      </c>
      <c r="N17" s="59">
        <f t="shared" si="7"/>
        <v>15.687325176216412</v>
      </c>
      <c r="P17" s="31">
        <f t="shared" si="3"/>
        <v>3812441.2800993053</v>
      </c>
      <c r="Q17" s="31">
        <f t="shared" si="4"/>
        <v>1409568.6697365069</v>
      </c>
      <c r="R17" s="31">
        <f t="shared" si="5"/>
        <v>99299.549143285942</v>
      </c>
      <c r="T17" s="31">
        <f t="shared" si="6"/>
        <v>5321309.4989790982</v>
      </c>
      <c r="U17" s="31">
        <f t="shared" si="8"/>
        <v>2889649.8013910409</v>
      </c>
    </row>
    <row r="18" spans="2:21" x14ac:dyDescent="0.25">
      <c r="B18" s="5" t="s">
        <v>448</v>
      </c>
      <c r="C18" s="61">
        <f>AVERAGE(C7,C10)</f>
        <v>1.94</v>
      </c>
      <c r="D18" s="61"/>
      <c r="G18" s="2">
        <f t="shared" si="9"/>
        <v>15</v>
      </c>
      <c r="H18" s="2">
        <f t="shared" si="9"/>
        <v>2043</v>
      </c>
      <c r="I18" s="50">
        <f>_xlfn.XLOOKUP(H18,'6-Traffic Data'!$F$9:$F$48,'6-Traffic Data'!$Q$9:$Q$48)</f>
        <v>14347249.377704121</v>
      </c>
      <c r="K18" s="51">
        <f t="shared" si="0"/>
        <v>0.27833663792745994</v>
      </c>
      <c r="L18" s="51">
        <f t="shared" si="1"/>
        <v>4.6104885875252188</v>
      </c>
      <c r="M18" s="51">
        <f t="shared" si="2"/>
        <v>11.171485727949316</v>
      </c>
      <c r="N18" s="59">
        <f>M18+L18+K18</f>
        <v>16.060310953401995</v>
      </c>
      <c r="P18" s="31">
        <f t="shared" si="3"/>
        <v>3903086.8399929781</v>
      </c>
      <c r="Q18" s="31">
        <f t="shared" si="4"/>
        <v>1443082.9278953935</v>
      </c>
      <c r="R18" s="31">
        <f t="shared" si="5"/>
        <v>101660.52012433877</v>
      </c>
      <c r="T18" s="31">
        <f t="shared" si="6"/>
        <v>5447830.2880127104</v>
      </c>
      <c r="U18" s="31">
        <f t="shared" si="8"/>
        <v>2869403.336261176</v>
      </c>
    </row>
    <row r="19" spans="2:21" x14ac:dyDescent="0.25">
      <c r="B19" s="5" t="s">
        <v>449</v>
      </c>
      <c r="C19" s="61">
        <f>AVERAGE(C8,C11)</f>
        <v>32.134999999999998</v>
      </c>
      <c r="D19" s="61"/>
      <c r="G19" s="2">
        <f t="shared" si="9"/>
        <v>16</v>
      </c>
      <c r="H19" s="2">
        <f t="shared" si="9"/>
        <v>2044</v>
      </c>
      <c r="I19" s="50">
        <f>_xlfn.XLOOKUP(H19,'6-Traffic Data'!$F$9:$F$48,'6-Traffic Data'!$Q$9:$Q$48)</f>
        <v>14688373.176663263</v>
      </c>
      <c r="K19" s="51">
        <f t="shared" si="0"/>
        <v>0.2849544396272673</v>
      </c>
      <c r="L19" s="51">
        <f t="shared" si="1"/>
        <v>4.7201087203207397</v>
      </c>
      <c r="M19" s="51">
        <f t="shared" si="2"/>
        <v>11.437101774008852</v>
      </c>
      <c r="N19" s="59">
        <f t="shared" si="7"/>
        <v>16.442164933956857</v>
      </c>
      <c r="P19" s="31">
        <f t="shared" si="3"/>
        <v>3995887.6114492067</v>
      </c>
      <c r="Q19" s="31">
        <f t="shared" si="4"/>
        <v>1477394.0294603915</v>
      </c>
      <c r="R19" s="31">
        <f t="shared" si="5"/>
        <v>104077.62614348055</v>
      </c>
      <c r="T19" s="31">
        <f t="shared" si="6"/>
        <v>5577359.2670530789</v>
      </c>
      <c r="U19" s="31">
        <f t="shared" si="8"/>
        <v>2849298.728926694</v>
      </c>
    </row>
    <row r="20" spans="2:21" x14ac:dyDescent="0.25">
      <c r="B20" s="5" t="s">
        <v>450</v>
      </c>
      <c r="C20" s="122">
        <f>AVERAGE(C9,C12)</f>
        <v>77.865000000000009</v>
      </c>
      <c r="D20" s="122"/>
      <c r="G20" s="2">
        <f t="shared" si="9"/>
        <v>17</v>
      </c>
      <c r="H20" s="2">
        <f t="shared" si="9"/>
        <v>2045</v>
      </c>
      <c r="I20" s="50">
        <f>_xlfn.XLOOKUP(H20,'6-Traffic Data'!$F$9:$F$48,'6-Traffic Data'!$Q$9:$Q$48)</f>
        <v>15037607.620607575</v>
      </c>
      <c r="K20" s="51">
        <f t="shared" si="0"/>
        <v>0.29172958783978697</v>
      </c>
      <c r="L20" s="51">
        <f t="shared" si="1"/>
        <v>4.8323352088822444</v>
      </c>
      <c r="M20" s="51">
        <f t="shared" si="2"/>
        <v>11.709033173786091</v>
      </c>
      <c r="N20" s="59">
        <f t="shared" si="7"/>
        <v>16.833097970508121</v>
      </c>
      <c r="P20" s="31">
        <f t="shared" si="3"/>
        <v>4090894.8373185489</v>
      </c>
      <c r="Q20" s="31">
        <f t="shared" si="4"/>
        <v>1512520.9203801425</v>
      </c>
      <c r="R20" s="31">
        <f t="shared" si="5"/>
        <v>106552.20188145342</v>
      </c>
      <c r="T20" s="31">
        <f t="shared" si="6"/>
        <v>5709967.9595801448</v>
      </c>
      <c r="U20" s="31">
        <f t="shared" si="8"/>
        <v>2829334.9854543824</v>
      </c>
    </row>
    <row r="21" spans="2:21" x14ac:dyDescent="0.25">
      <c r="G21" s="2">
        <f t="shared" si="9"/>
        <v>18</v>
      </c>
      <c r="H21" s="2">
        <f t="shared" si="9"/>
        <v>2046</v>
      </c>
      <c r="I21" s="50">
        <f>_xlfn.XLOOKUP(H21,'6-Traffic Data'!$F$9:$F$48,'6-Traffic Data'!$Q$9:$Q$48)</f>
        <v>15395145.55026608</v>
      </c>
      <c r="K21" s="51">
        <f t="shared" si="0"/>
        <v>0.29866582367516192</v>
      </c>
      <c r="L21" s="51">
        <f t="shared" si="1"/>
        <v>4.9472300225780037</v>
      </c>
      <c r="M21" s="51">
        <f t="shared" si="2"/>
        <v>11.987430082714683</v>
      </c>
      <c r="N21" s="59">
        <f t="shared" si="7"/>
        <v>17.233325928967847</v>
      </c>
      <c r="P21" s="31">
        <f t="shared" si="3"/>
        <v>4188160.9788144282</v>
      </c>
      <c r="Q21" s="31">
        <f t="shared" si="4"/>
        <v>1548482.9970669153</v>
      </c>
      <c r="R21" s="31">
        <f t="shared" si="5"/>
        <v>109085.61375270362</v>
      </c>
      <c r="T21" s="31">
        <f t="shared" si="6"/>
        <v>5845729.5896340469</v>
      </c>
      <c r="U21" s="31">
        <f t="shared" si="8"/>
        <v>2809511.1188750705</v>
      </c>
    </row>
    <row r="22" spans="2:21" x14ac:dyDescent="0.25">
      <c r="G22" s="2">
        <f t="shared" ref="G22:H23" si="10">G21+1</f>
        <v>19</v>
      </c>
      <c r="H22" s="2">
        <f t="shared" si="10"/>
        <v>2047</v>
      </c>
      <c r="I22" s="50">
        <f>_xlfn.XLOOKUP(H22,'6-Traffic Data'!$F$9:$F$48,'6-Traffic Data'!$Q$9:$Q$48)</f>
        <v>15761184.391397318</v>
      </c>
      <c r="K22" s="51">
        <f t="shared" si="0"/>
        <v>0.30576697719310797</v>
      </c>
      <c r="L22" s="51">
        <f t="shared" si="1"/>
        <v>5.0648566041755281</v>
      </c>
      <c r="M22" s="51">
        <f t="shared" si="2"/>
        <v>12.272446226361522</v>
      </c>
      <c r="N22" s="59">
        <f t="shared" si="7"/>
        <v>17.643069807730157</v>
      </c>
      <c r="P22" s="31">
        <f t="shared" si="3"/>
        <v>4287739.7444812339</v>
      </c>
      <c r="Q22" s="31">
        <f t="shared" si="4"/>
        <v>1585300.1171069404</v>
      </c>
      <c r="R22" s="31">
        <f t="shared" si="5"/>
        <v>111679.26065988986</v>
      </c>
      <c r="T22" s="31">
        <f t="shared" si="6"/>
        <v>5984719.1222480638</v>
      </c>
      <c r="U22" s="31">
        <f t="shared" si="8"/>
        <v>2789826.1491348306</v>
      </c>
    </row>
    <row r="23" spans="2:21" x14ac:dyDescent="0.25">
      <c r="B23" s="76" t="s">
        <v>483</v>
      </c>
      <c r="C23" s="76" t="s">
        <v>480</v>
      </c>
      <c r="D23" s="76" t="s">
        <v>481</v>
      </c>
      <c r="E23" s="76" t="s">
        <v>482</v>
      </c>
      <c r="G23" s="2">
        <f t="shared" si="10"/>
        <v>20</v>
      </c>
      <c r="H23" s="2">
        <f t="shared" si="10"/>
        <v>2048</v>
      </c>
      <c r="I23" s="50">
        <f>_xlfn.XLOOKUP(H23,'6-Traffic Data'!$F$9:$F$48,'6-Traffic Data'!$Q$9:$Q$48)</f>
        <v>16135926.263804175</v>
      </c>
      <c r="K23" s="51">
        <f t="shared" si="0"/>
        <v>0.31303696951780102</v>
      </c>
      <c r="L23" s="51">
        <f t="shared" si="1"/>
        <v>5.1852799048734717</v>
      </c>
      <c r="M23" s="51">
        <f t="shared" si="2"/>
        <v>12.564238985311123</v>
      </c>
      <c r="N23" s="59">
        <f t="shared" si="7"/>
        <v>18.062555859702396</v>
      </c>
      <c r="P23" s="31">
        <f t="shared" si="3"/>
        <v>4389686.119851172</v>
      </c>
      <c r="Q23" s="31">
        <f t="shared" si="4"/>
        <v>1622992.6102253967</v>
      </c>
      <c r="R23" s="31">
        <f t="shared" si="5"/>
        <v>114334.57476633122</v>
      </c>
      <c r="T23" s="31">
        <f t="shared" si="6"/>
        <v>6127013.3048428996</v>
      </c>
      <c r="U23" s="31">
        <f t="shared" si="8"/>
        <v>2770279.1030465281</v>
      </c>
    </row>
    <row r="24" spans="2:21" x14ac:dyDescent="0.25">
      <c r="B24" s="2" t="s">
        <v>477</v>
      </c>
      <c r="C24" s="2">
        <f>C7</f>
        <v>2.27</v>
      </c>
      <c r="D24" s="2">
        <f>C10</f>
        <v>1.61</v>
      </c>
      <c r="E24" s="148">
        <f>AVERAGE(C24:D24)</f>
        <v>1.94</v>
      </c>
      <c r="F24" s="85"/>
      <c r="G24" s="2">
        <f t="shared" ref="G24:H24" si="11">G23+1</f>
        <v>21</v>
      </c>
      <c r="H24" s="2">
        <f t="shared" si="11"/>
        <v>2049</v>
      </c>
      <c r="I24" s="50">
        <f>_xlfn.XLOOKUP(H24,'6-Traffic Data'!$F$9:$F$48,'6-Traffic Data'!$Q$9:$Q$48)</f>
        <v>16519578.092940658</v>
      </c>
      <c r="K24" s="51">
        <f t="shared" si="0"/>
        <v>0.32047981500304878</v>
      </c>
      <c r="L24" s="51">
        <f t="shared" si="1"/>
        <v>5.3085664201664802</v>
      </c>
      <c r="M24" s="51">
        <f t="shared" si="2"/>
        <v>12.862969482068246</v>
      </c>
      <c r="N24" s="59">
        <f t="shared" ref="N24:N33" si="12">M24+L24+K24</f>
        <v>18.492015717237777</v>
      </c>
      <c r="P24" s="31">
        <f t="shared" si="3"/>
        <v>4494056.3978062524</v>
      </c>
      <c r="Q24" s="31">
        <f t="shared" si="4"/>
        <v>1661581.2895121083</v>
      </c>
      <c r="R24" s="31">
        <f t="shared" si="5"/>
        <v>117053.02228682104</v>
      </c>
      <c r="T24" s="31">
        <f t="shared" ref="T24:T33" si="13">R24+Q24+P24</f>
        <v>6272690.7096051816</v>
      </c>
      <c r="U24" s="31">
        <f t="shared" ref="U24:U33" si="14">T24/((1+$C$3)^($H24-$C$4))</f>
        <v>2750869.0142417089</v>
      </c>
    </row>
    <row r="25" spans="2:21" x14ac:dyDescent="0.25">
      <c r="B25" s="2" t="s">
        <v>478</v>
      </c>
      <c r="C25" s="2">
        <f>C8</f>
        <v>38.33</v>
      </c>
      <c r="D25" s="2">
        <f>C11</f>
        <v>25.94</v>
      </c>
      <c r="E25" s="148">
        <f>AVERAGE(C25:D25)</f>
        <v>32.134999999999998</v>
      </c>
      <c r="F25" s="85"/>
      <c r="G25" s="2">
        <f t="shared" ref="G25:H25" si="15">G24+1</f>
        <v>22</v>
      </c>
      <c r="H25" s="2">
        <f t="shared" si="15"/>
        <v>2050</v>
      </c>
      <c r="I25" s="50">
        <f>_xlfn.XLOOKUP(H25,'6-Traffic Data'!$F$9:$F$48,'6-Traffic Data'!$Q$9:$Q$48)</f>
        <v>16912351.724172257</v>
      </c>
      <c r="K25" s="51">
        <f t="shared" si="0"/>
        <v>0.32809962344894178</v>
      </c>
      <c r="L25" s="51">
        <f t="shared" si="1"/>
        <v>5.434784226562754</v>
      </c>
      <c r="M25" s="51">
        <f t="shared" si="2"/>
        <v>13.168802670026729</v>
      </c>
      <c r="N25" s="59">
        <f t="shared" si="12"/>
        <v>18.931686520038426</v>
      </c>
      <c r="P25" s="31">
        <f t="shared" si="3"/>
        <v>4600908.2096621655</v>
      </c>
      <c r="Q25" s="31">
        <f t="shared" si="4"/>
        <v>1701087.4629141421</v>
      </c>
      <c r="R25" s="31">
        <f t="shared" si="5"/>
        <v>119836.10429724323</v>
      </c>
      <c r="T25" s="31">
        <f t="shared" si="13"/>
        <v>6421831.7768735513</v>
      </c>
      <c r="U25" s="31">
        <f t="shared" si="14"/>
        <v>2731594.9231228265</v>
      </c>
    </row>
    <row r="26" spans="2:21" x14ac:dyDescent="0.25">
      <c r="B26" s="2" t="s">
        <v>479</v>
      </c>
      <c r="C26" s="2">
        <f>C9</f>
        <v>73.900000000000006</v>
      </c>
      <c r="D26" s="2">
        <f>C12</f>
        <v>81.83</v>
      </c>
      <c r="E26" s="148">
        <f>AVERAGE(C26:D26)</f>
        <v>77.865000000000009</v>
      </c>
      <c r="F26" s="85"/>
      <c r="G26" s="2">
        <f t="shared" ref="G26:H26" si="16">G25+1</f>
        <v>23</v>
      </c>
      <c r="H26" s="2">
        <f t="shared" si="16"/>
        <v>2051</v>
      </c>
      <c r="I26" s="50">
        <f>_xlfn.XLOOKUP(H26,'6-Traffic Data'!$F$9:$F$48,'6-Traffic Data'!$Q$9:$Q$48)</f>
        <v>17314464.03975299</v>
      </c>
      <c r="K26" s="51">
        <f t="shared" si="0"/>
        <v>0.33590060237120795</v>
      </c>
      <c r="L26" s="51">
        <f t="shared" si="1"/>
        <v>5.5640030191746224</v>
      </c>
      <c r="M26" s="51">
        <f t="shared" si="2"/>
        <v>13.481907424553667</v>
      </c>
      <c r="N26" s="59">
        <f t="shared" si="12"/>
        <v>19.381811046099497</v>
      </c>
      <c r="P26" s="31">
        <f t="shared" si="3"/>
        <v>4710300.5569912121</v>
      </c>
      <c r="Q26" s="31">
        <f t="shared" si="4"/>
        <v>1741532.9450016569</v>
      </c>
      <c r="R26" s="31">
        <f t="shared" si="5"/>
        <v>122685.35756343836</v>
      </c>
      <c r="T26" s="31">
        <f t="shared" si="13"/>
        <v>6574518.8595563071</v>
      </c>
      <c r="U26" s="31">
        <f t="shared" si="14"/>
        <v>2712455.8768157959</v>
      </c>
    </row>
    <row r="27" spans="2:21" x14ac:dyDescent="0.25">
      <c r="C27" s="84"/>
      <c r="D27" s="84"/>
      <c r="G27" s="2">
        <f t="shared" ref="G27:H27" si="17">G26+1</f>
        <v>24</v>
      </c>
      <c r="H27" s="2">
        <f t="shared" si="17"/>
        <v>2052</v>
      </c>
      <c r="I27" s="50">
        <f>_xlfn.XLOOKUP(H27,'6-Traffic Data'!$F$9:$F$48,'6-Traffic Data'!$Q$9:$Q$48)</f>
        <v>17726137.078583736</v>
      </c>
      <c r="K27" s="51">
        <f t="shared" si="0"/>
        <v>0.34388705932452451</v>
      </c>
      <c r="L27" s="51">
        <f t="shared" si="1"/>
        <v>5.6962941502028839</v>
      </c>
      <c r="M27" s="51">
        <f t="shared" si="2"/>
        <v>13.802456636239228</v>
      </c>
      <c r="N27" s="59">
        <f t="shared" si="12"/>
        <v>19.842637845766639</v>
      </c>
      <c r="P27" s="31">
        <f t="shared" si="3"/>
        <v>4822293.8442018749</v>
      </c>
      <c r="Q27" s="31">
        <f t="shared" si="4"/>
        <v>1782940.0690135027</v>
      </c>
      <c r="R27" s="31">
        <f t="shared" si="5"/>
        <v>125602.35538977697</v>
      </c>
      <c r="T27" s="31">
        <f t="shared" si="13"/>
        <v>6730836.268605154</v>
      </c>
      <c r="U27" s="31">
        <f t="shared" si="14"/>
        <v>2693450.9291228917</v>
      </c>
    </row>
    <row r="28" spans="2:21" x14ac:dyDescent="0.25">
      <c r="C28" s="84"/>
      <c r="D28" s="84"/>
      <c r="G28" s="2">
        <f t="shared" ref="G28:H28" si="18">G27+1</f>
        <v>25</v>
      </c>
      <c r="H28" s="2">
        <f t="shared" si="18"/>
        <v>2053</v>
      </c>
      <c r="I28" s="50">
        <f>_xlfn.XLOOKUP(H28,'6-Traffic Data'!$F$9:$F$48,'6-Traffic Data'!$Q$9:$Q$48)</f>
        <v>18147598.158817958</v>
      </c>
      <c r="K28" s="51">
        <f t="shared" si="0"/>
        <v>0.35206340428106836</v>
      </c>
      <c r="L28" s="51">
        <f t="shared" si="1"/>
        <v>5.8317306683361503</v>
      </c>
      <c r="M28" s="51">
        <f t="shared" si="2"/>
        <v>14.130627306363603</v>
      </c>
      <c r="N28" s="59">
        <f t="shared" si="12"/>
        <v>20.314421378980821</v>
      </c>
      <c r="P28" s="31">
        <f t="shared" si="3"/>
        <v>4936949.9118929934</v>
      </c>
      <c r="Q28" s="31">
        <f t="shared" si="4"/>
        <v>1825331.699189215</v>
      </c>
      <c r="R28" s="31">
        <f t="shared" si="5"/>
        <v>128588.70848790879</v>
      </c>
      <c r="T28" s="31">
        <f t="shared" si="13"/>
        <v>6890870.3195701167</v>
      </c>
      <c r="U28" s="31">
        <f t="shared" si="14"/>
        <v>2674579.1404759623</v>
      </c>
    </row>
    <row r="29" spans="2:21" x14ac:dyDescent="0.25">
      <c r="G29" s="2">
        <f t="shared" ref="G29:H29" si="19">G28+1</f>
        <v>26</v>
      </c>
      <c r="H29" s="2">
        <f t="shared" si="19"/>
        <v>2054</v>
      </c>
      <c r="I29" s="50">
        <f>_xlfn.XLOOKUP(H29,'6-Traffic Data'!$F$9:$F$48,'6-Traffic Data'!$Q$9:$Q$48)</f>
        <v>18579080.003382541</v>
      </c>
      <c r="K29" s="51">
        <f t="shared" si="0"/>
        <v>0.36043415206562129</v>
      </c>
      <c r="L29" s="51">
        <f t="shared" si="1"/>
        <v>5.9703873590869794</v>
      </c>
      <c r="M29" s="51">
        <f t="shared" si="2"/>
        <v>14.466600644633818</v>
      </c>
      <c r="N29" s="59">
        <f t="shared" si="12"/>
        <v>20.797422155786421</v>
      </c>
      <c r="P29" s="31">
        <f t="shared" si="3"/>
        <v>5054332.0710010007</v>
      </c>
      <c r="Q29" s="31">
        <f t="shared" si="4"/>
        <v>1868731.2433942244</v>
      </c>
      <c r="R29" s="31">
        <f t="shared" si="5"/>
        <v>131646.06586616774</v>
      </c>
      <c r="T29" s="31">
        <f t="shared" si="13"/>
        <v>7054709.3802613933</v>
      </c>
      <c r="U29" s="31">
        <f t="shared" si="14"/>
        <v>2655839.5778899891</v>
      </c>
    </row>
    <row r="30" spans="2:21" x14ac:dyDescent="0.25">
      <c r="G30" s="2">
        <f t="shared" ref="G30:H30" si="20">G29+1</f>
        <v>27</v>
      </c>
      <c r="H30" s="2">
        <f t="shared" si="20"/>
        <v>2055</v>
      </c>
      <c r="I30" s="50">
        <f>_xlfn.XLOOKUP(H30,'6-Traffic Data'!$F$9:$F$48,'6-Traffic Data'!$Q$9:$Q$48)</f>
        <v>19020820.868483044</v>
      </c>
      <c r="K30" s="51">
        <f t="shared" si="0"/>
        <v>0.36900392484857103</v>
      </c>
      <c r="L30" s="51">
        <f t="shared" si="1"/>
        <v>6.1123407860870254</v>
      </c>
      <c r="M30" s="51">
        <f t="shared" si="2"/>
        <v>14.810562169244323</v>
      </c>
      <c r="N30" s="59">
        <f t="shared" si="12"/>
        <v>21.291906880179919</v>
      </c>
      <c r="P30" s="31">
        <f t="shared" si="3"/>
        <v>5174505.1377590271</v>
      </c>
      <c r="Q30" s="31">
        <f t="shared" si="4"/>
        <v>1913162.666045239</v>
      </c>
      <c r="R30" s="31">
        <f t="shared" si="5"/>
        <v>134776.11574012332</v>
      </c>
      <c r="T30" s="31">
        <f t="shared" si="13"/>
        <v>7222443.9195443895</v>
      </c>
      <c r="U30" s="31">
        <f t="shared" si="14"/>
        <v>2637231.314916953</v>
      </c>
    </row>
    <row r="31" spans="2:21" x14ac:dyDescent="0.25">
      <c r="G31" s="2">
        <f t="shared" ref="G31:H31" si="21">G30+1</f>
        <v>28</v>
      </c>
      <c r="H31" s="2">
        <f t="shared" si="21"/>
        <v>2056</v>
      </c>
      <c r="I31" s="50">
        <f>_xlfn.XLOOKUP(H31,'6-Traffic Data'!$F$9:$F$48,'6-Traffic Data'!$Q$9:$Q$48)</f>
        <v>19473064.675164305</v>
      </c>
      <c r="K31" s="51">
        <f t="shared" si="0"/>
        <v>0.37777745469818752</v>
      </c>
      <c r="L31" s="51">
        <f t="shared" si="1"/>
        <v>6.2576693333640492</v>
      </c>
      <c r="M31" s="51">
        <f t="shared" si="2"/>
        <v>15.162701809316689</v>
      </c>
      <c r="N31" s="59">
        <f t="shared" si="12"/>
        <v>21.798148597378923</v>
      </c>
      <c r="P31" s="31">
        <f t="shared" si="3"/>
        <v>5297535.4694872135</v>
      </c>
      <c r="Q31" s="31">
        <f t="shared" si="4"/>
        <v>1958650.5013429474</v>
      </c>
      <c r="R31" s="31">
        <f t="shared" si="5"/>
        <v>137980.58646478187</v>
      </c>
      <c r="T31" s="31">
        <f t="shared" si="13"/>
        <v>7394166.5572949424</v>
      </c>
      <c r="U31" s="31">
        <f t="shared" si="14"/>
        <v>2618753.4316000361</v>
      </c>
    </row>
    <row r="32" spans="2:21" x14ac:dyDescent="0.25">
      <c r="G32" s="2">
        <f t="shared" ref="G32:H32" si="22">G31+1</f>
        <v>29</v>
      </c>
      <c r="H32" s="2">
        <f t="shared" si="22"/>
        <v>2057</v>
      </c>
      <c r="I32" s="50">
        <f>_xlfn.XLOOKUP(H32,'6-Traffic Data'!$F$9:$F$48,'6-Traffic Data'!$Q$9:$Q$48)</f>
        <v>19936061.143999092</v>
      </c>
      <c r="K32" s="51">
        <f t="shared" si="0"/>
        <v>0.38675958619358236</v>
      </c>
      <c r="L32" s="51">
        <f t="shared" si="1"/>
        <v>6.4064532486241079</v>
      </c>
      <c r="M32" s="51">
        <f t="shared" si="2"/>
        <v>15.523214009774895</v>
      </c>
      <c r="N32" s="59">
        <f t="shared" si="12"/>
        <v>22.316426844592588</v>
      </c>
      <c r="P32" s="31">
        <f t="shared" si="3"/>
        <v>5423491.0012339856</v>
      </c>
      <c r="Q32" s="31">
        <f t="shared" si="4"/>
        <v>2005219.8668193459</v>
      </c>
      <c r="R32" s="31">
        <f t="shared" si="5"/>
        <v>141261.24748895154</v>
      </c>
      <c r="T32" s="31">
        <f t="shared" si="13"/>
        <v>7569972.1155422833</v>
      </c>
      <c r="U32" s="31">
        <f t="shared" si="14"/>
        <v>2600405.0144281411</v>
      </c>
    </row>
    <row r="33" spans="7:21" x14ac:dyDescent="0.25">
      <c r="G33" s="2">
        <f t="shared" ref="G33:H33" si="23">G32+1</f>
        <v>30</v>
      </c>
      <c r="H33" s="2">
        <f t="shared" si="23"/>
        <v>2058</v>
      </c>
      <c r="I33" s="50">
        <f>_xlfn.XLOOKUP(H33,'6-Traffic Data'!$F$9:$F$48,'6-Traffic Data'!$Q$9:$Q$48)</f>
        <v>10205032.966489566</v>
      </c>
      <c r="K33" s="51">
        <f t="shared" si="0"/>
        <v>0.19797763954989758</v>
      </c>
      <c r="L33" s="51">
        <f t="shared" si="1"/>
        <v>3.2793873437814218</v>
      </c>
      <c r="M33" s="51">
        <f t="shared" si="2"/>
        <v>7.9461489193571015</v>
      </c>
      <c r="N33" s="59">
        <f t="shared" si="12"/>
        <v>11.42351390268842</v>
      </c>
      <c r="P33" s="31">
        <f t="shared" si="3"/>
        <v>2776220.641644259</v>
      </c>
      <c r="Q33" s="31">
        <f t="shared" si="4"/>
        <v>1026448.2386035851</v>
      </c>
      <c r="R33" s="31">
        <f t="shared" si="5"/>
        <v>72309.955166149623</v>
      </c>
      <c r="T33" s="31">
        <f t="shared" si="13"/>
        <v>3874978.8354139933</v>
      </c>
      <c r="U33" s="31">
        <f t="shared" si="14"/>
        <v>1291092.5781453643</v>
      </c>
    </row>
    <row r="34" spans="7:21" x14ac:dyDescent="0.25">
      <c r="I34" s="56" t="s">
        <v>156</v>
      </c>
      <c r="K34" s="62">
        <f>SUM(K4:K33)</f>
        <v>6.442545891481811</v>
      </c>
      <c r="L34" s="62">
        <f>SUM(L4:L33)</f>
        <v>106.71711970245775</v>
      </c>
      <c r="M34" s="62">
        <f>SUM(M4:M33)</f>
        <v>258.58187414444916</v>
      </c>
      <c r="N34" s="62">
        <f>SUM(N4:N33)</f>
        <v>371.74153973838867</v>
      </c>
      <c r="P34" s="57">
        <f>SUM(P4:P33)</f>
        <v>90343176.781660303</v>
      </c>
      <c r="Q34" s="57">
        <f>SUM(Q4:Q33)</f>
        <v>33402458.466869272</v>
      </c>
      <c r="R34" s="57">
        <f>SUM(R4:R33)</f>
        <v>2353095.0547144865</v>
      </c>
      <c r="T34" s="57">
        <f>SUM(T4:T33)</f>
        <v>126098730.30324404</v>
      </c>
      <c r="U34" s="57">
        <f>SUM(U4:U33)</f>
        <v>56937511.21840857</v>
      </c>
    </row>
    <row r="37" spans="7:21" x14ac:dyDescent="0.25">
      <c r="G37" s="5" t="s">
        <v>247</v>
      </c>
    </row>
    <row r="38" spans="7:21" ht="54" x14ac:dyDescent="0.25">
      <c r="G38" s="49" t="s">
        <v>178</v>
      </c>
      <c r="H38" s="49" t="s">
        <v>174</v>
      </c>
      <c r="I38" s="49" t="s">
        <v>498</v>
      </c>
      <c r="K38" s="49" t="s">
        <v>452</v>
      </c>
      <c r="L38" s="49" t="s">
        <v>453</v>
      </c>
      <c r="M38" s="49" t="s">
        <v>454</v>
      </c>
      <c r="N38" s="49" t="s">
        <v>156</v>
      </c>
      <c r="P38" s="49" t="s">
        <v>452</v>
      </c>
      <c r="Q38" s="49" t="s">
        <v>453</v>
      </c>
      <c r="R38" s="49" t="s">
        <v>454</v>
      </c>
      <c r="T38" s="32" t="s">
        <v>170</v>
      </c>
      <c r="U38" s="32" t="s">
        <v>250</v>
      </c>
    </row>
    <row r="39" spans="7:21" x14ac:dyDescent="0.25">
      <c r="G39" s="2">
        <v>1</v>
      </c>
      <c r="H39" s="2">
        <f>$C$5</f>
        <v>2029</v>
      </c>
      <c r="I39" s="50">
        <f>_xlfn.XLOOKUP(H39,'6-Traffic Data'!$F$9:$F$48,'6-Traffic Data'!$R$9:$R$48)</f>
        <v>0</v>
      </c>
      <c r="K39" s="51">
        <f t="shared" ref="K39:K68" si="24">($I39/$C$6)*$C$18</f>
        <v>0</v>
      </c>
      <c r="L39" s="51">
        <f t="shared" ref="L39:L68" si="25">($I39/$C$6)*$C$19</f>
        <v>0</v>
      </c>
      <c r="M39" s="51">
        <f t="shared" ref="M39:M68" si="26">($I39/$C$6)*$C$20</f>
        <v>0</v>
      </c>
      <c r="N39" s="59">
        <f>M39+L39+K39</f>
        <v>0</v>
      </c>
      <c r="P39" s="31">
        <f t="shared" ref="P39:P68" si="27">K39*$C$15</f>
        <v>0</v>
      </c>
      <c r="Q39" s="31">
        <f t="shared" ref="Q39:Q68" si="28">L39*$C$14</f>
        <v>0</v>
      </c>
      <c r="R39" s="31">
        <f t="shared" ref="R39:R68" si="29">M39*$C$13</f>
        <v>0</v>
      </c>
      <c r="T39" s="31">
        <f t="shared" ref="T39:T58" si="30">R39+Q39+P39</f>
        <v>0</v>
      </c>
      <c r="U39" s="31">
        <f>T39/((1+$C$3)^($H39-$C$4))</f>
        <v>0</v>
      </c>
    </row>
    <row r="40" spans="7:21" x14ac:dyDescent="0.25">
      <c r="G40" s="2">
        <f>G39+1</f>
        <v>2</v>
      </c>
      <c r="H40" s="2">
        <f>H39+1</f>
        <v>2030</v>
      </c>
      <c r="I40" s="50">
        <f>_xlfn.XLOOKUP(H40,'6-Traffic Data'!$F$9:$F$48,'6-Traffic Data'!$R$9:$R$48)</f>
        <v>0</v>
      </c>
      <c r="K40" s="51">
        <f t="shared" si="24"/>
        <v>0</v>
      </c>
      <c r="L40" s="51">
        <f t="shared" si="25"/>
        <v>0</v>
      </c>
      <c r="M40" s="51">
        <f t="shared" si="26"/>
        <v>0</v>
      </c>
      <c r="N40" s="59">
        <f t="shared" ref="N40:N58" si="31">M40+L40+K40</f>
        <v>0</v>
      </c>
      <c r="P40" s="31">
        <f t="shared" si="27"/>
        <v>0</v>
      </c>
      <c r="Q40" s="31">
        <f t="shared" si="28"/>
        <v>0</v>
      </c>
      <c r="R40" s="31">
        <f t="shared" si="29"/>
        <v>0</v>
      </c>
      <c r="T40" s="31">
        <f t="shared" si="30"/>
        <v>0</v>
      </c>
      <c r="U40" s="31">
        <f t="shared" ref="U40:U58" si="32">T40/((1+$C$3)^($H40-$C$4))</f>
        <v>0</v>
      </c>
    </row>
    <row r="41" spans="7:21" x14ac:dyDescent="0.25">
      <c r="G41" s="2">
        <f t="shared" ref="G41:H56" si="33">G40+1</f>
        <v>3</v>
      </c>
      <c r="H41" s="2">
        <f t="shared" si="33"/>
        <v>2031</v>
      </c>
      <c r="I41" s="50">
        <f>_xlfn.XLOOKUP(H41,'6-Traffic Data'!$F$9:$F$48,'6-Traffic Data'!$R$9:$R$48)</f>
        <v>0</v>
      </c>
      <c r="K41" s="51">
        <f t="shared" si="24"/>
        <v>0</v>
      </c>
      <c r="L41" s="51">
        <f t="shared" si="25"/>
        <v>0</v>
      </c>
      <c r="M41" s="51">
        <f t="shared" si="26"/>
        <v>0</v>
      </c>
      <c r="N41" s="59">
        <f t="shared" si="31"/>
        <v>0</v>
      </c>
      <c r="P41" s="31">
        <f t="shared" si="27"/>
        <v>0</v>
      </c>
      <c r="Q41" s="31">
        <f t="shared" si="28"/>
        <v>0</v>
      </c>
      <c r="R41" s="31">
        <f t="shared" si="29"/>
        <v>0</v>
      </c>
      <c r="T41" s="31">
        <f t="shared" si="30"/>
        <v>0</v>
      </c>
      <c r="U41" s="31">
        <f t="shared" si="32"/>
        <v>0</v>
      </c>
    </row>
    <row r="42" spans="7:21" x14ac:dyDescent="0.25">
      <c r="G42" s="2">
        <f t="shared" si="33"/>
        <v>4</v>
      </c>
      <c r="H42" s="2">
        <f t="shared" si="33"/>
        <v>2032</v>
      </c>
      <c r="I42" s="50">
        <f>_xlfn.XLOOKUP(H42,'6-Traffic Data'!$F$9:$F$48,'6-Traffic Data'!$R$9:$R$48)</f>
        <v>0</v>
      </c>
      <c r="K42" s="51">
        <f t="shared" si="24"/>
        <v>0</v>
      </c>
      <c r="L42" s="51">
        <f t="shared" si="25"/>
        <v>0</v>
      </c>
      <c r="M42" s="51">
        <f t="shared" si="26"/>
        <v>0</v>
      </c>
      <c r="N42" s="59">
        <f t="shared" si="31"/>
        <v>0</v>
      </c>
      <c r="P42" s="31">
        <f t="shared" si="27"/>
        <v>0</v>
      </c>
      <c r="Q42" s="31">
        <f t="shared" si="28"/>
        <v>0</v>
      </c>
      <c r="R42" s="31">
        <f t="shared" si="29"/>
        <v>0</v>
      </c>
      <c r="T42" s="31">
        <f t="shared" si="30"/>
        <v>0</v>
      </c>
      <c r="U42" s="31">
        <f t="shared" si="32"/>
        <v>0</v>
      </c>
    </row>
    <row r="43" spans="7:21" x14ac:dyDescent="0.25">
      <c r="G43" s="2">
        <f t="shared" si="33"/>
        <v>5</v>
      </c>
      <c r="H43" s="2">
        <f t="shared" si="33"/>
        <v>2033</v>
      </c>
      <c r="I43" s="50">
        <f>_xlfn.XLOOKUP(H43,'6-Traffic Data'!$F$9:$F$48,'6-Traffic Data'!$R$9:$R$48)</f>
        <v>0</v>
      </c>
      <c r="K43" s="51">
        <f t="shared" si="24"/>
        <v>0</v>
      </c>
      <c r="L43" s="51">
        <f t="shared" si="25"/>
        <v>0</v>
      </c>
      <c r="M43" s="51">
        <f t="shared" si="26"/>
        <v>0</v>
      </c>
      <c r="N43" s="59">
        <f t="shared" si="31"/>
        <v>0</v>
      </c>
      <c r="P43" s="31">
        <f t="shared" si="27"/>
        <v>0</v>
      </c>
      <c r="Q43" s="31">
        <f t="shared" si="28"/>
        <v>0</v>
      </c>
      <c r="R43" s="31">
        <f t="shared" si="29"/>
        <v>0</v>
      </c>
      <c r="T43" s="31">
        <f t="shared" si="30"/>
        <v>0</v>
      </c>
      <c r="U43" s="31">
        <f t="shared" si="32"/>
        <v>0</v>
      </c>
    </row>
    <row r="44" spans="7:21" x14ac:dyDescent="0.25">
      <c r="G44" s="2">
        <f t="shared" si="33"/>
        <v>6</v>
      </c>
      <c r="H44" s="2">
        <f t="shared" si="33"/>
        <v>2034</v>
      </c>
      <c r="I44" s="50">
        <f>_xlfn.XLOOKUP(H44,'6-Traffic Data'!$F$9:$F$48,'6-Traffic Data'!$R$9:$R$48)</f>
        <v>0</v>
      </c>
      <c r="K44" s="51">
        <f t="shared" si="24"/>
        <v>0</v>
      </c>
      <c r="L44" s="51">
        <f t="shared" si="25"/>
        <v>0</v>
      </c>
      <c r="M44" s="51">
        <f t="shared" si="26"/>
        <v>0</v>
      </c>
      <c r="N44" s="59">
        <f t="shared" si="31"/>
        <v>0</v>
      </c>
      <c r="P44" s="31">
        <f t="shared" si="27"/>
        <v>0</v>
      </c>
      <c r="Q44" s="31">
        <f t="shared" si="28"/>
        <v>0</v>
      </c>
      <c r="R44" s="31">
        <f t="shared" si="29"/>
        <v>0</v>
      </c>
      <c r="T44" s="31">
        <f t="shared" si="30"/>
        <v>0</v>
      </c>
      <c r="U44" s="31">
        <f t="shared" si="32"/>
        <v>0</v>
      </c>
    </row>
    <row r="45" spans="7:21" x14ac:dyDescent="0.25">
      <c r="G45" s="2">
        <f t="shared" si="33"/>
        <v>7</v>
      </c>
      <c r="H45" s="2">
        <f t="shared" si="33"/>
        <v>2035</v>
      </c>
      <c r="I45" s="50">
        <f>_xlfn.XLOOKUP(H45,'6-Traffic Data'!$F$9:$F$48,'6-Traffic Data'!$R$9:$R$48)</f>
        <v>0</v>
      </c>
      <c r="K45" s="51">
        <f t="shared" si="24"/>
        <v>0</v>
      </c>
      <c r="L45" s="51">
        <f t="shared" si="25"/>
        <v>0</v>
      </c>
      <c r="M45" s="51">
        <f t="shared" si="26"/>
        <v>0</v>
      </c>
      <c r="N45" s="59">
        <f t="shared" si="31"/>
        <v>0</v>
      </c>
      <c r="P45" s="31">
        <f t="shared" si="27"/>
        <v>0</v>
      </c>
      <c r="Q45" s="31">
        <f t="shared" si="28"/>
        <v>0</v>
      </c>
      <c r="R45" s="31">
        <f t="shared" si="29"/>
        <v>0</v>
      </c>
      <c r="T45" s="31">
        <f t="shared" si="30"/>
        <v>0</v>
      </c>
      <c r="U45" s="31">
        <f t="shared" si="32"/>
        <v>0</v>
      </c>
    </row>
    <row r="46" spans="7:21" x14ac:dyDescent="0.25">
      <c r="G46" s="2">
        <f t="shared" si="33"/>
        <v>8</v>
      </c>
      <c r="H46" s="2">
        <f t="shared" si="33"/>
        <v>2036</v>
      </c>
      <c r="I46" s="50">
        <f>_xlfn.XLOOKUP(H46,'6-Traffic Data'!$F$9:$F$48,'6-Traffic Data'!$R$9:$R$48)</f>
        <v>0</v>
      </c>
      <c r="K46" s="51">
        <f t="shared" si="24"/>
        <v>0</v>
      </c>
      <c r="L46" s="51">
        <f t="shared" si="25"/>
        <v>0</v>
      </c>
      <c r="M46" s="51">
        <f t="shared" si="26"/>
        <v>0</v>
      </c>
      <c r="N46" s="59">
        <f t="shared" si="31"/>
        <v>0</v>
      </c>
      <c r="P46" s="31">
        <f t="shared" si="27"/>
        <v>0</v>
      </c>
      <c r="Q46" s="31">
        <f t="shared" si="28"/>
        <v>0</v>
      </c>
      <c r="R46" s="31">
        <f t="shared" si="29"/>
        <v>0</v>
      </c>
      <c r="T46" s="31">
        <f t="shared" si="30"/>
        <v>0</v>
      </c>
      <c r="U46" s="31">
        <f t="shared" si="32"/>
        <v>0</v>
      </c>
    </row>
    <row r="47" spans="7:21" x14ac:dyDescent="0.25">
      <c r="G47" s="2">
        <f t="shared" si="33"/>
        <v>9</v>
      </c>
      <c r="H47" s="2">
        <f t="shared" si="33"/>
        <v>2037</v>
      </c>
      <c r="I47" s="50">
        <f>_xlfn.XLOOKUP(H47,'6-Traffic Data'!$F$9:$F$48,'6-Traffic Data'!$R$9:$R$48)</f>
        <v>0</v>
      </c>
      <c r="K47" s="51">
        <f t="shared" si="24"/>
        <v>0</v>
      </c>
      <c r="L47" s="51">
        <f t="shared" si="25"/>
        <v>0</v>
      </c>
      <c r="M47" s="51">
        <f t="shared" si="26"/>
        <v>0</v>
      </c>
      <c r="N47" s="59">
        <f t="shared" si="31"/>
        <v>0</v>
      </c>
      <c r="P47" s="31">
        <f t="shared" si="27"/>
        <v>0</v>
      </c>
      <c r="Q47" s="31">
        <f t="shared" si="28"/>
        <v>0</v>
      </c>
      <c r="R47" s="31">
        <f t="shared" si="29"/>
        <v>0</v>
      </c>
      <c r="T47" s="31">
        <f t="shared" si="30"/>
        <v>0</v>
      </c>
      <c r="U47" s="31">
        <f t="shared" si="32"/>
        <v>0</v>
      </c>
    </row>
    <row r="48" spans="7:21" x14ac:dyDescent="0.25">
      <c r="G48" s="2">
        <f t="shared" si="33"/>
        <v>10</v>
      </c>
      <c r="H48" s="2">
        <f t="shared" si="33"/>
        <v>2038</v>
      </c>
      <c r="I48" s="50">
        <f>_xlfn.XLOOKUP(H48,'6-Traffic Data'!$F$9:$F$48,'6-Traffic Data'!$R$9:$R$48)</f>
        <v>0</v>
      </c>
      <c r="K48" s="51">
        <f t="shared" si="24"/>
        <v>0</v>
      </c>
      <c r="L48" s="51">
        <f t="shared" si="25"/>
        <v>0</v>
      </c>
      <c r="M48" s="51">
        <f t="shared" si="26"/>
        <v>0</v>
      </c>
      <c r="N48" s="59">
        <f t="shared" si="31"/>
        <v>0</v>
      </c>
      <c r="P48" s="31">
        <f t="shared" si="27"/>
        <v>0</v>
      </c>
      <c r="Q48" s="31">
        <f t="shared" si="28"/>
        <v>0</v>
      </c>
      <c r="R48" s="31">
        <f t="shared" si="29"/>
        <v>0</v>
      </c>
      <c r="T48" s="31">
        <f t="shared" si="30"/>
        <v>0</v>
      </c>
      <c r="U48" s="31">
        <f t="shared" si="32"/>
        <v>0</v>
      </c>
    </row>
    <row r="49" spans="7:21" x14ac:dyDescent="0.25">
      <c r="G49" s="2">
        <f t="shared" si="33"/>
        <v>11</v>
      </c>
      <c r="H49" s="2">
        <f t="shared" si="33"/>
        <v>2039</v>
      </c>
      <c r="I49" s="50">
        <f>_xlfn.XLOOKUP(H49,'6-Traffic Data'!$F$9:$F$48,'6-Traffic Data'!$R$9:$R$48)</f>
        <v>0</v>
      </c>
      <c r="K49" s="51">
        <f t="shared" si="24"/>
        <v>0</v>
      </c>
      <c r="L49" s="51">
        <f t="shared" si="25"/>
        <v>0</v>
      </c>
      <c r="M49" s="51">
        <f t="shared" si="26"/>
        <v>0</v>
      </c>
      <c r="N49" s="59">
        <f t="shared" si="31"/>
        <v>0</v>
      </c>
      <c r="P49" s="31">
        <f t="shared" si="27"/>
        <v>0</v>
      </c>
      <c r="Q49" s="31">
        <f t="shared" si="28"/>
        <v>0</v>
      </c>
      <c r="R49" s="31">
        <f t="shared" si="29"/>
        <v>0</v>
      </c>
      <c r="T49" s="31">
        <f t="shared" si="30"/>
        <v>0</v>
      </c>
      <c r="U49" s="31">
        <f t="shared" si="32"/>
        <v>0</v>
      </c>
    </row>
    <row r="50" spans="7:21" x14ac:dyDescent="0.25">
      <c r="G50" s="2">
        <f t="shared" si="33"/>
        <v>12</v>
      </c>
      <c r="H50" s="2">
        <f t="shared" si="33"/>
        <v>2040</v>
      </c>
      <c r="I50" s="50">
        <f>_xlfn.XLOOKUP(H50,'6-Traffic Data'!$F$9:$F$48,'6-Traffic Data'!$R$9:$R$48)</f>
        <v>0</v>
      </c>
      <c r="K50" s="51">
        <f t="shared" si="24"/>
        <v>0</v>
      </c>
      <c r="L50" s="51">
        <f t="shared" si="25"/>
        <v>0</v>
      </c>
      <c r="M50" s="51">
        <f t="shared" si="26"/>
        <v>0</v>
      </c>
      <c r="N50" s="59">
        <f t="shared" si="31"/>
        <v>0</v>
      </c>
      <c r="P50" s="31">
        <f t="shared" si="27"/>
        <v>0</v>
      </c>
      <c r="Q50" s="31">
        <f t="shared" si="28"/>
        <v>0</v>
      </c>
      <c r="R50" s="31">
        <f t="shared" si="29"/>
        <v>0</v>
      </c>
      <c r="T50" s="31">
        <f t="shared" si="30"/>
        <v>0</v>
      </c>
      <c r="U50" s="31">
        <f t="shared" si="32"/>
        <v>0</v>
      </c>
    </row>
    <row r="51" spans="7:21" x14ac:dyDescent="0.25">
      <c r="G51" s="2">
        <f t="shared" si="33"/>
        <v>13</v>
      </c>
      <c r="H51" s="2">
        <f t="shared" si="33"/>
        <v>2041</v>
      </c>
      <c r="I51" s="50">
        <f>_xlfn.XLOOKUP(H51,'6-Traffic Data'!$F$9:$F$48,'6-Traffic Data'!$R$9:$R$48)</f>
        <v>0</v>
      </c>
      <c r="K51" s="51">
        <f t="shared" si="24"/>
        <v>0</v>
      </c>
      <c r="L51" s="51">
        <f t="shared" si="25"/>
        <v>0</v>
      </c>
      <c r="M51" s="51">
        <f t="shared" si="26"/>
        <v>0</v>
      </c>
      <c r="N51" s="59">
        <f t="shared" si="31"/>
        <v>0</v>
      </c>
      <c r="P51" s="31">
        <f t="shared" si="27"/>
        <v>0</v>
      </c>
      <c r="Q51" s="31">
        <f t="shared" si="28"/>
        <v>0</v>
      </c>
      <c r="R51" s="31">
        <f t="shared" si="29"/>
        <v>0</v>
      </c>
      <c r="T51" s="31">
        <f t="shared" si="30"/>
        <v>0</v>
      </c>
      <c r="U51" s="31">
        <f t="shared" si="32"/>
        <v>0</v>
      </c>
    </row>
    <row r="52" spans="7:21" x14ac:dyDescent="0.25">
      <c r="G52" s="2">
        <f t="shared" si="33"/>
        <v>14</v>
      </c>
      <c r="H52" s="2">
        <f t="shared" si="33"/>
        <v>2042</v>
      </c>
      <c r="I52" s="50">
        <f>_xlfn.XLOOKUP(H52,'6-Traffic Data'!$F$9:$F$48,'6-Traffic Data'!$R$9:$R$48)</f>
        <v>0</v>
      </c>
      <c r="K52" s="51">
        <f t="shared" si="24"/>
        <v>0</v>
      </c>
      <c r="L52" s="51">
        <f t="shared" si="25"/>
        <v>0</v>
      </c>
      <c r="M52" s="51">
        <f t="shared" si="26"/>
        <v>0</v>
      </c>
      <c r="N52" s="59">
        <f t="shared" si="31"/>
        <v>0</v>
      </c>
      <c r="P52" s="31">
        <f t="shared" si="27"/>
        <v>0</v>
      </c>
      <c r="Q52" s="31">
        <f t="shared" si="28"/>
        <v>0</v>
      </c>
      <c r="R52" s="31">
        <f t="shared" si="29"/>
        <v>0</v>
      </c>
      <c r="T52" s="31">
        <f t="shared" si="30"/>
        <v>0</v>
      </c>
      <c r="U52" s="31">
        <f t="shared" si="32"/>
        <v>0</v>
      </c>
    </row>
    <row r="53" spans="7:21" x14ac:dyDescent="0.25">
      <c r="G53" s="2">
        <f t="shared" si="33"/>
        <v>15</v>
      </c>
      <c r="H53" s="2">
        <f t="shared" si="33"/>
        <v>2043</v>
      </c>
      <c r="I53" s="50">
        <f>_xlfn.XLOOKUP(H53,'6-Traffic Data'!$F$9:$F$48,'6-Traffic Data'!$R$9:$R$48)</f>
        <v>0</v>
      </c>
      <c r="K53" s="51">
        <f t="shared" si="24"/>
        <v>0</v>
      </c>
      <c r="L53" s="51">
        <f t="shared" si="25"/>
        <v>0</v>
      </c>
      <c r="M53" s="51">
        <f t="shared" si="26"/>
        <v>0</v>
      </c>
      <c r="N53" s="59">
        <f t="shared" si="31"/>
        <v>0</v>
      </c>
      <c r="P53" s="31">
        <f t="shared" si="27"/>
        <v>0</v>
      </c>
      <c r="Q53" s="31">
        <f t="shared" si="28"/>
        <v>0</v>
      </c>
      <c r="R53" s="31">
        <f t="shared" si="29"/>
        <v>0</v>
      </c>
      <c r="T53" s="31">
        <f t="shared" si="30"/>
        <v>0</v>
      </c>
      <c r="U53" s="31">
        <f t="shared" si="32"/>
        <v>0</v>
      </c>
    </row>
    <row r="54" spans="7:21" x14ac:dyDescent="0.25">
      <c r="G54" s="2">
        <f t="shared" si="33"/>
        <v>16</v>
      </c>
      <c r="H54" s="2">
        <f t="shared" si="33"/>
        <v>2044</v>
      </c>
      <c r="I54" s="50">
        <f>_xlfn.XLOOKUP(H54,'6-Traffic Data'!$F$9:$F$48,'6-Traffic Data'!$R$9:$R$48)</f>
        <v>0</v>
      </c>
      <c r="K54" s="51">
        <f t="shared" si="24"/>
        <v>0</v>
      </c>
      <c r="L54" s="51">
        <f t="shared" si="25"/>
        <v>0</v>
      </c>
      <c r="M54" s="51">
        <f t="shared" si="26"/>
        <v>0</v>
      </c>
      <c r="N54" s="59">
        <f t="shared" si="31"/>
        <v>0</v>
      </c>
      <c r="P54" s="31">
        <f t="shared" si="27"/>
        <v>0</v>
      </c>
      <c r="Q54" s="31">
        <f t="shared" si="28"/>
        <v>0</v>
      </c>
      <c r="R54" s="31">
        <f t="shared" si="29"/>
        <v>0</v>
      </c>
      <c r="T54" s="31">
        <f t="shared" si="30"/>
        <v>0</v>
      </c>
      <c r="U54" s="31">
        <f t="shared" si="32"/>
        <v>0</v>
      </c>
    </row>
    <row r="55" spans="7:21" x14ac:dyDescent="0.25">
      <c r="G55" s="2">
        <f t="shared" si="33"/>
        <v>17</v>
      </c>
      <c r="H55" s="2">
        <f t="shared" si="33"/>
        <v>2045</v>
      </c>
      <c r="I55" s="50">
        <f>_xlfn.XLOOKUP(H55,'6-Traffic Data'!$F$9:$F$48,'6-Traffic Data'!$R$9:$R$48)</f>
        <v>0</v>
      </c>
      <c r="K55" s="51">
        <f t="shared" si="24"/>
        <v>0</v>
      </c>
      <c r="L55" s="51">
        <f t="shared" si="25"/>
        <v>0</v>
      </c>
      <c r="M55" s="51">
        <f t="shared" si="26"/>
        <v>0</v>
      </c>
      <c r="N55" s="59">
        <f t="shared" si="31"/>
        <v>0</v>
      </c>
      <c r="P55" s="31">
        <f t="shared" si="27"/>
        <v>0</v>
      </c>
      <c r="Q55" s="31">
        <f t="shared" si="28"/>
        <v>0</v>
      </c>
      <c r="R55" s="31">
        <f t="shared" si="29"/>
        <v>0</v>
      </c>
      <c r="T55" s="31">
        <f t="shared" si="30"/>
        <v>0</v>
      </c>
      <c r="U55" s="31">
        <f t="shared" si="32"/>
        <v>0</v>
      </c>
    </row>
    <row r="56" spans="7:21" x14ac:dyDescent="0.25">
      <c r="G56" s="2">
        <f t="shared" si="33"/>
        <v>18</v>
      </c>
      <c r="H56" s="2">
        <f t="shared" si="33"/>
        <v>2046</v>
      </c>
      <c r="I56" s="50">
        <f>_xlfn.XLOOKUP(H56,'6-Traffic Data'!$F$9:$F$48,'6-Traffic Data'!$R$9:$R$48)</f>
        <v>0</v>
      </c>
      <c r="K56" s="51">
        <f t="shared" si="24"/>
        <v>0</v>
      </c>
      <c r="L56" s="51">
        <f t="shared" si="25"/>
        <v>0</v>
      </c>
      <c r="M56" s="51">
        <f t="shared" si="26"/>
        <v>0</v>
      </c>
      <c r="N56" s="59">
        <f t="shared" si="31"/>
        <v>0</v>
      </c>
      <c r="P56" s="31">
        <f t="shared" si="27"/>
        <v>0</v>
      </c>
      <c r="Q56" s="31">
        <f t="shared" si="28"/>
        <v>0</v>
      </c>
      <c r="R56" s="31">
        <f t="shared" si="29"/>
        <v>0</v>
      </c>
      <c r="T56" s="31">
        <f t="shared" si="30"/>
        <v>0</v>
      </c>
      <c r="U56" s="31">
        <f t="shared" si="32"/>
        <v>0</v>
      </c>
    </row>
    <row r="57" spans="7:21" x14ac:dyDescent="0.25">
      <c r="G57" s="2">
        <f t="shared" ref="G57:H58" si="34">G56+1</f>
        <v>19</v>
      </c>
      <c r="H57" s="2">
        <f t="shared" si="34"/>
        <v>2047</v>
      </c>
      <c r="I57" s="50">
        <f>_xlfn.XLOOKUP(H57,'6-Traffic Data'!$F$9:$F$48,'6-Traffic Data'!$R$9:$R$48)</f>
        <v>0</v>
      </c>
      <c r="K57" s="51">
        <f t="shared" si="24"/>
        <v>0</v>
      </c>
      <c r="L57" s="51">
        <f t="shared" si="25"/>
        <v>0</v>
      </c>
      <c r="M57" s="51">
        <f t="shared" si="26"/>
        <v>0</v>
      </c>
      <c r="N57" s="59">
        <f t="shared" si="31"/>
        <v>0</v>
      </c>
      <c r="P57" s="31">
        <f t="shared" si="27"/>
        <v>0</v>
      </c>
      <c r="Q57" s="31">
        <f t="shared" si="28"/>
        <v>0</v>
      </c>
      <c r="R57" s="31">
        <f t="shared" si="29"/>
        <v>0</v>
      </c>
      <c r="T57" s="31">
        <f t="shared" si="30"/>
        <v>0</v>
      </c>
      <c r="U57" s="31">
        <f t="shared" si="32"/>
        <v>0</v>
      </c>
    </row>
    <row r="58" spans="7:21" x14ac:dyDescent="0.25">
      <c r="G58" s="2">
        <f t="shared" si="34"/>
        <v>20</v>
      </c>
      <c r="H58" s="2">
        <f t="shared" si="34"/>
        <v>2048</v>
      </c>
      <c r="I58" s="50">
        <f>_xlfn.XLOOKUP(H58,'6-Traffic Data'!$F$9:$F$48,'6-Traffic Data'!$R$9:$R$48)</f>
        <v>0</v>
      </c>
      <c r="K58" s="51">
        <f t="shared" si="24"/>
        <v>0</v>
      </c>
      <c r="L58" s="51">
        <f t="shared" si="25"/>
        <v>0</v>
      </c>
      <c r="M58" s="51">
        <f t="shared" si="26"/>
        <v>0</v>
      </c>
      <c r="N58" s="59">
        <f t="shared" si="31"/>
        <v>0</v>
      </c>
      <c r="P58" s="31">
        <f t="shared" si="27"/>
        <v>0</v>
      </c>
      <c r="Q58" s="31">
        <f t="shared" si="28"/>
        <v>0</v>
      </c>
      <c r="R58" s="31">
        <f t="shared" si="29"/>
        <v>0</v>
      </c>
      <c r="T58" s="31">
        <f t="shared" si="30"/>
        <v>0</v>
      </c>
      <c r="U58" s="31">
        <f t="shared" si="32"/>
        <v>0</v>
      </c>
    </row>
    <row r="59" spans="7:21" x14ac:dyDescent="0.25">
      <c r="G59" s="2">
        <f t="shared" ref="G59:H59" si="35">G58+1</f>
        <v>21</v>
      </c>
      <c r="H59" s="2">
        <f t="shared" si="35"/>
        <v>2049</v>
      </c>
      <c r="I59" s="50">
        <f>_xlfn.XLOOKUP(H59,'6-Traffic Data'!$F$9:$F$48,'6-Traffic Data'!$R$9:$R$48)</f>
        <v>0</v>
      </c>
      <c r="K59" s="51">
        <f t="shared" si="24"/>
        <v>0</v>
      </c>
      <c r="L59" s="51">
        <f t="shared" si="25"/>
        <v>0</v>
      </c>
      <c r="M59" s="51">
        <f t="shared" si="26"/>
        <v>0</v>
      </c>
      <c r="N59" s="59">
        <f t="shared" ref="N59:N68" si="36">M59+L59+K59</f>
        <v>0</v>
      </c>
      <c r="P59" s="31">
        <f t="shared" si="27"/>
        <v>0</v>
      </c>
      <c r="Q59" s="31">
        <f t="shared" si="28"/>
        <v>0</v>
      </c>
      <c r="R59" s="31">
        <f t="shared" si="29"/>
        <v>0</v>
      </c>
      <c r="T59" s="31">
        <f t="shared" ref="T59:T68" si="37">R59+Q59+P59</f>
        <v>0</v>
      </c>
      <c r="U59" s="31">
        <f t="shared" ref="U59:U68" si="38">T59/((1+$C$3)^($H59-$C$4))</f>
        <v>0</v>
      </c>
    </row>
    <row r="60" spans="7:21" x14ac:dyDescent="0.25">
      <c r="G60" s="2">
        <f t="shared" ref="G60:H60" si="39">G59+1</f>
        <v>22</v>
      </c>
      <c r="H60" s="2">
        <f t="shared" si="39"/>
        <v>2050</v>
      </c>
      <c r="I60" s="50">
        <f>_xlfn.XLOOKUP(H60,'6-Traffic Data'!$F$9:$F$48,'6-Traffic Data'!$R$9:$R$48)</f>
        <v>0</v>
      </c>
      <c r="K60" s="51">
        <f t="shared" si="24"/>
        <v>0</v>
      </c>
      <c r="L60" s="51">
        <f t="shared" si="25"/>
        <v>0</v>
      </c>
      <c r="M60" s="51">
        <f t="shared" si="26"/>
        <v>0</v>
      </c>
      <c r="N60" s="59">
        <f t="shared" si="36"/>
        <v>0</v>
      </c>
      <c r="P60" s="31">
        <f t="shared" si="27"/>
        <v>0</v>
      </c>
      <c r="Q60" s="31">
        <f t="shared" si="28"/>
        <v>0</v>
      </c>
      <c r="R60" s="31">
        <f t="shared" si="29"/>
        <v>0</v>
      </c>
      <c r="T60" s="31">
        <f t="shared" si="37"/>
        <v>0</v>
      </c>
      <c r="U60" s="31">
        <f t="shared" si="38"/>
        <v>0</v>
      </c>
    </row>
    <row r="61" spans="7:21" x14ac:dyDescent="0.25">
      <c r="G61" s="2">
        <f t="shared" ref="G61:H61" si="40">G60+1</f>
        <v>23</v>
      </c>
      <c r="H61" s="2">
        <f t="shared" si="40"/>
        <v>2051</v>
      </c>
      <c r="I61" s="50">
        <f>_xlfn.XLOOKUP(H61,'6-Traffic Data'!$F$9:$F$48,'6-Traffic Data'!$R$9:$R$48)</f>
        <v>0</v>
      </c>
      <c r="K61" s="51">
        <f t="shared" si="24"/>
        <v>0</v>
      </c>
      <c r="L61" s="51">
        <f t="shared" si="25"/>
        <v>0</v>
      </c>
      <c r="M61" s="51">
        <f t="shared" si="26"/>
        <v>0</v>
      </c>
      <c r="N61" s="59">
        <f t="shared" si="36"/>
        <v>0</v>
      </c>
      <c r="P61" s="31">
        <f t="shared" si="27"/>
        <v>0</v>
      </c>
      <c r="Q61" s="31">
        <f t="shared" si="28"/>
        <v>0</v>
      </c>
      <c r="R61" s="31">
        <f t="shared" si="29"/>
        <v>0</v>
      </c>
      <c r="T61" s="31">
        <f t="shared" si="37"/>
        <v>0</v>
      </c>
      <c r="U61" s="31">
        <f t="shared" si="38"/>
        <v>0</v>
      </c>
    </row>
    <row r="62" spans="7:21" x14ac:dyDescent="0.25">
      <c r="G62" s="2">
        <f t="shared" ref="G62:H62" si="41">G61+1</f>
        <v>24</v>
      </c>
      <c r="H62" s="2">
        <f t="shared" si="41"/>
        <v>2052</v>
      </c>
      <c r="I62" s="50">
        <f>_xlfn.XLOOKUP(H62,'6-Traffic Data'!$F$9:$F$48,'6-Traffic Data'!$R$9:$R$48)</f>
        <v>22450162.090690006</v>
      </c>
      <c r="K62" s="51">
        <f t="shared" si="24"/>
        <v>0.43553314455938613</v>
      </c>
      <c r="L62" s="51">
        <f t="shared" si="25"/>
        <v>7.2143595878432336</v>
      </c>
      <c r="M62" s="51">
        <f t="shared" si="26"/>
        <v>17.480818711915777</v>
      </c>
      <c r="N62" s="59">
        <f t="shared" si="36"/>
        <v>25.130711444318397</v>
      </c>
      <c r="P62" s="31">
        <f t="shared" si="27"/>
        <v>6107437.7328418158</v>
      </c>
      <c r="Q62" s="31">
        <f t="shared" si="28"/>
        <v>2258094.5509949322</v>
      </c>
      <c r="R62" s="31">
        <f t="shared" si="29"/>
        <v>159075.45027843356</v>
      </c>
      <c r="T62" s="31">
        <f t="shared" si="37"/>
        <v>8524607.7341151815</v>
      </c>
      <c r="U62" s="31">
        <f t="shared" si="38"/>
        <v>3411257.0423019519</v>
      </c>
    </row>
    <row r="63" spans="7:21" x14ac:dyDescent="0.25">
      <c r="G63" s="2">
        <f t="shared" ref="G63:H63" si="42">G62+1</f>
        <v>25</v>
      </c>
      <c r="H63" s="2">
        <f t="shared" si="42"/>
        <v>2053</v>
      </c>
      <c r="I63" s="50">
        <f>_xlfn.XLOOKUP(H63,'6-Traffic Data'!$F$9:$F$48,'6-Traffic Data'!$R$9:$R$48)</f>
        <v>22984021.200179935</v>
      </c>
      <c r="K63" s="51">
        <f t="shared" si="24"/>
        <v>0.44589001128349076</v>
      </c>
      <c r="L63" s="51">
        <f t="shared" si="25"/>
        <v>7.3859152126778218</v>
      </c>
      <c r="M63" s="51">
        <f t="shared" si="26"/>
        <v>17.896508107520109</v>
      </c>
      <c r="N63" s="59">
        <f t="shared" si="36"/>
        <v>25.728313331481424</v>
      </c>
      <c r="P63" s="31">
        <f t="shared" si="27"/>
        <v>6252671.0392272621</v>
      </c>
      <c r="Q63" s="31">
        <f t="shared" si="28"/>
        <v>2311791.4615681581</v>
      </c>
      <c r="R63" s="31">
        <f t="shared" si="29"/>
        <v>162858.22377843299</v>
      </c>
      <c r="T63" s="31">
        <f t="shared" si="37"/>
        <v>8727320.7245738544</v>
      </c>
      <c r="U63" s="31">
        <f t="shared" si="38"/>
        <v>3387367.4702450307</v>
      </c>
    </row>
    <row r="64" spans="7:21" x14ac:dyDescent="0.25">
      <c r="G64" s="2">
        <f t="shared" ref="G64:H64" si="43">G63+1</f>
        <v>26</v>
      </c>
      <c r="H64" s="2">
        <f t="shared" si="43"/>
        <v>2054</v>
      </c>
      <c r="I64" s="50">
        <f>_xlfn.XLOOKUP(H64,'6-Traffic Data'!$F$9:$F$48,'6-Traffic Data'!$R$9:$R$48)</f>
        <v>23530575.342678264</v>
      </c>
      <c r="K64" s="51">
        <f t="shared" si="24"/>
        <v>0.45649316164795833</v>
      </c>
      <c r="L64" s="51">
        <f t="shared" si="25"/>
        <v>7.5615503863696594</v>
      </c>
      <c r="M64" s="51">
        <f t="shared" si="26"/>
        <v>18.322082490576431</v>
      </c>
      <c r="N64" s="59">
        <f t="shared" si="36"/>
        <v>26.34012603859405</v>
      </c>
      <c r="P64" s="31">
        <f t="shared" si="27"/>
        <v>6401357.9564731549</v>
      </c>
      <c r="Q64" s="31">
        <f t="shared" si="28"/>
        <v>2366765.2709337035</v>
      </c>
      <c r="R64" s="31">
        <f t="shared" si="29"/>
        <v>166730.95066424552</v>
      </c>
      <c r="T64" s="31">
        <f t="shared" si="37"/>
        <v>8934854.178071104</v>
      </c>
      <c r="U64" s="31">
        <f t="shared" si="38"/>
        <v>3363645.2006358528</v>
      </c>
    </row>
    <row r="65" spans="7:21" x14ac:dyDescent="0.25">
      <c r="G65" s="2">
        <f t="shared" ref="G65:H65" si="44">G64+1</f>
        <v>27</v>
      </c>
      <c r="H65" s="2">
        <f t="shared" si="44"/>
        <v>2055</v>
      </c>
      <c r="I65" s="50">
        <f>_xlfn.XLOOKUP(H65,'6-Traffic Data'!$F$9:$F$48,'6-Traffic Data'!$R$9:$R$48)</f>
        <v>24090126.402821269</v>
      </c>
      <c r="K65" s="51">
        <f t="shared" si="24"/>
        <v>0.46734845221473259</v>
      </c>
      <c r="L65" s="51">
        <f t="shared" si="25"/>
        <v>7.741362119546614</v>
      </c>
      <c r="M65" s="51">
        <f t="shared" si="26"/>
        <v>18.757776923556783</v>
      </c>
      <c r="N65" s="59">
        <f t="shared" si="36"/>
        <v>26.96648749531813</v>
      </c>
      <c r="P65" s="31">
        <f t="shared" si="27"/>
        <v>6553580.6105619734</v>
      </c>
      <c r="Q65" s="31">
        <f t="shared" si="28"/>
        <v>2423046.3434180901</v>
      </c>
      <c r="R65" s="31">
        <f t="shared" si="29"/>
        <v>170695.77000436673</v>
      </c>
      <c r="T65" s="31">
        <f t="shared" si="37"/>
        <v>9147322.7239844296</v>
      </c>
      <c r="U65" s="31">
        <f t="shared" si="38"/>
        <v>3340089.0618289439</v>
      </c>
    </row>
    <row r="66" spans="7:21" x14ac:dyDescent="0.25">
      <c r="G66" s="2">
        <f t="shared" ref="G66:H66" si="45">G65+1</f>
        <v>28</v>
      </c>
      <c r="H66" s="2">
        <f t="shared" si="45"/>
        <v>2056</v>
      </c>
      <c r="I66" s="50">
        <f>_xlfn.XLOOKUP(H66,'6-Traffic Data'!$F$9:$F$48,'6-Traffic Data'!$R$9:$R$48)</f>
        <v>24662983.443984602</v>
      </c>
      <c r="K66" s="51">
        <f t="shared" si="24"/>
        <v>0.47846187881330127</v>
      </c>
      <c r="L66" s="51">
        <f t="shared" si="25"/>
        <v>7.9254497297244511</v>
      </c>
      <c r="M66" s="51">
        <f t="shared" si="26"/>
        <v>19.203832058658612</v>
      </c>
      <c r="N66" s="59">
        <f t="shared" si="36"/>
        <v>27.607743667196367</v>
      </c>
      <c r="P66" s="31">
        <f t="shared" si="27"/>
        <v>6709423.0804110421</v>
      </c>
      <c r="Q66" s="31">
        <f t="shared" si="28"/>
        <v>2480665.7654037531</v>
      </c>
      <c r="R66" s="31">
        <f t="shared" si="29"/>
        <v>174754.87173379338</v>
      </c>
      <c r="T66" s="31">
        <f t="shared" si="37"/>
        <v>9364843.7175485883</v>
      </c>
      <c r="U66" s="31">
        <f t="shared" si="38"/>
        <v>3316697.8903840468</v>
      </c>
    </row>
    <row r="67" spans="7:21" x14ac:dyDescent="0.25">
      <c r="G67" s="2">
        <f t="shared" ref="G67:H68" si="46">G66+1</f>
        <v>29</v>
      </c>
      <c r="H67" s="2">
        <f t="shared" si="46"/>
        <v>2057</v>
      </c>
      <c r="I67" s="50">
        <f>_xlfn.XLOOKUP(H67,'6-Traffic Data'!$F$9:$F$48,'6-Traffic Data'!$R$9:$R$48)</f>
        <v>25249462.878991913</v>
      </c>
      <c r="K67" s="51">
        <f t="shared" si="24"/>
        <v>0.48983957985244309</v>
      </c>
      <c r="L67" s="51">
        <f t="shared" si="25"/>
        <v>8.1139148961640508</v>
      </c>
      <c r="M67" s="51">
        <f t="shared" si="26"/>
        <v>19.660494270727057</v>
      </c>
      <c r="N67" s="59">
        <f t="shared" si="36"/>
        <v>28.264248746743551</v>
      </c>
      <c r="P67" s="31">
        <f t="shared" si="27"/>
        <v>6868971.4443128239</v>
      </c>
      <c r="Q67" s="31">
        <f t="shared" si="28"/>
        <v>2539655.3624993479</v>
      </c>
      <c r="R67" s="31">
        <f t="shared" si="29"/>
        <v>178910.49786361621</v>
      </c>
      <c r="T67" s="31">
        <f t="shared" si="37"/>
        <v>9587537.3046757877</v>
      </c>
      <c r="U67" s="31">
        <f t="shared" si="38"/>
        <v>3293470.5310086589</v>
      </c>
    </row>
    <row r="68" spans="7:21" x14ac:dyDescent="0.25">
      <c r="G68" s="2">
        <f t="shared" si="46"/>
        <v>30</v>
      </c>
      <c r="H68" s="2">
        <f t="shared" si="46"/>
        <v>2058</v>
      </c>
      <c r="I68" s="50">
        <f>_xlfn.XLOOKUP(H68,'6-Traffic Data'!$F$9:$F$48,'6-Traffic Data'!$R$9:$R$48)</f>
        <v>12924944.32244141</v>
      </c>
      <c r="K68" s="51">
        <f t="shared" si="24"/>
        <v>0.25074391985536332</v>
      </c>
      <c r="L68" s="51">
        <f t="shared" si="25"/>
        <v>4.1534308580165469</v>
      </c>
      <c r="M68" s="51">
        <f t="shared" si="26"/>
        <v>10.064007896669004</v>
      </c>
      <c r="N68" s="59">
        <f t="shared" si="36"/>
        <v>14.468182674540914</v>
      </c>
      <c r="P68" s="31">
        <f t="shared" si="27"/>
        <v>3516156.9137397744</v>
      </c>
      <c r="Q68" s="31">
        <f t="shared" si="28"/>
        <v>1300023.8585591791</v>
      </c>
      <c r="R68" s="31">
        <f t="shared" si="29"/>
        <v>91582.471859687939</v>
      </c>
      <c r="T68" s="31">
        <f t="shared" si="37"/>
        <v>4907763.2441586414</v>
      </c>
      <c r="U68" s="31">
        <f t="shared" si="38"/>
        <v>1635202.9182504874</v>
      </c>
    </row>
    <row r="69" spans="7:21" x14ac:dyDescent="0.25">
      <c r="I69" s="56" t="s">
        <v>156</v>
      </c>
      <c r="K69" s="62">
        <f>SUM(K39:K68)</f>
        <v>3.0243101482266761</v>
      </c>
      <c r="L69" s="62">
        <f t="shared" ref="L69:N69" si="47">SUM(L39:L68)</f>
        <v>50.095982790342376</v>
      </c>
      <c r="M69" s="62">
        <f t="shared" si="47"/>
        <v>121.38552045962376</v>
      </c>
      <c r="N69" s="62">
        <f t="shared" si="47"/>
        <v>174.50581339819286</v>
      </c>
      <c r="P69" s="57">
        <f>SUM(P39:P68)</f>
        <v>42409598.777567849</v>
      </c>
      <c r="Q69" s="57">
        <f t="shared" ref="Q69:R69" si="48">SUM(Q39:Q68)</f>
        <v>15680042.613377165</v>
      </c>
      <c r="R69" s="57">
        <f t="shared" si="48"/>
        <v>1104608.2361825765</v>
      </c>
      <c r="T69" s="57">
        <f>SUM(T39:T68)</f>
        <v>59194249.62712758</v>
      </c>
      <c r="U69" s="57">
        <f>SUM(U39:U68)</f>
        <v>21747730.114654973</v>
      </c>
    </row>
    <row r="71" spans="7:21" x14ac:dyDescent="0.25">
      <c r="R71" s="241" t="s">
        <v>668</v>
      </c>
      <c r="T71" s="31">
        <f>T69+T34</f>
        <v>185292979.93037161</v>
      </c>
      <c r="U71" s="31">
        <f>U69+U34</f>
        <v>78685241.333063543</v>
      </c>
    </row>
  </sheetData>
  <sheetProtection algorithmName="SHA-512" hashValue="DWGs82pRhyopdPcEbwoiI16UIlE3jM/SSsWCPnUWie2tdKbZH2XOAZqoxXX9JdxIRPiO06kQTXuTTDW7vHLMTg==" saltValue="63lKsNAbOf1Z0tgXODlcPA=="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7F7F-322A-4DEE-819B-BACCD0C59487}">
  <sheetPr>
    <tabColor theme="3" tint="0.89999084444715716"/>
  </sheetPr>
  <dimension ref="A1:I72"/>
  <sheetViews>
    <sheetView zoomScale="73" workbookViewId="0">
      <selection activeCell="C8" sqref="C8"/>
    </sheetView>
  </sheetViews>
  <sheetFormatPr defaultColWidth="9" defaultRowHeight="13.5" x14ac:dyDescent="0.25"/>
  <cols>
    <col min="1" max="1" width="4.375" style="5" customWidth="1"/>
    <col min="2" max="2" width="31" style="5" customWidth="1"/>
    <col min="3" max="4" width="9" style="5"/>
    <col min="5" max="5" width="11.375" style="5" customWidth="1"/>
    <col min="6" max="6" width="12.125" style="5" customWidth="1"/>
    <col min="7" max="7" width="14.375" style="5" customWidth="1"/>
    <col min="8" max="8" width="19.625" style="5" customWidth="1"/>
    <col min="9" max="9" width="20.125" style="5" customWidth="1"/>
    <col min="10" max="10" width="15.125" style="5" customWidth="1"/>
    <col min="11" max="16384" width="9" style="5"/>
  </cols>
  <sheetData>
    <row r="1" spans="1:9" ht="15" x14ac:dyDescent="0.25">
      <c r="A1"/>
      <c r="B1"/>
    </row>
    <row r="2" spans="1:9" x14ac:dyDescent="0.25">
      <c r="B2" s="47" t="s">
        <v>157</v>
      </c>
      <c r="C2" s="47" t="s">
        <v>34</v>
      </c>
      <c r="E2" s="5" t="s">
        <v>179</v>
      </c>
    </row>
    <row r="3" spans="1:9" ht="27" x14ac:dyDescent="0.25">
      <c r="B3" s="5" t="str">
        <f>'3-Inputs'!B4</f>
        <v>Discount Rate</v>
      </c>
      <c r="C3" s="48">
        <f>'3-Inputs'!C4</f>
        <v>3.1E-2</v>
      </c>
      <c r="E3" s="49" t="s">
        <v>178</v>
      </c>
      <c r="F3" s="49" t="s">
        <v>174</v>
      </c>
      <c r="G3" s="49" t="s">
        <v>248</v>
      </c>
      <c r="H3" s="49" t="s">
        <v>249</v>
      </c>
      <c r="I3" s="49" t="s">
        <v>244</v>
      </c>
    </row>
    <row r="4" spans="1:9" x14ac:dyDescent="0.25">
      <c r="B4" s="5" t="str">
        <f>'3-Inputs'!B6</f>
        <v>Discount Year</v>
      </c>
      <c r="C4" s="5">
        <f>'3-Inputs'!C6</f>
        <v>2022</v>
      </c>
      <c r="E4" s="2">
        <v>1</v>
      </c>
      <c r="F4" s="2">
        <f>$C$5</f>
        <v>2029</v>
      </c>
      <c r="G4" s="50">
        <f>_xlfn.XLOOKUP(F4,'6-Traffic Data'!$F$9:$F$48,'6-Traffic Data'!$Q$9:$Q$48)</f>
        <v>0</v>
      </c>
      <c r="H4" s="31">
        <f t="shared" ref="H4:H32" si="0">G4*$C$7</f>
        <v>0</v>
      </c>
      <c r="I4" s="31">
        <f t="shared" ref="I4:I23" si="1">H4/((1+$C$3)^($F4-$C$4))</f>
        <v>0</v>
      </c>
    </row>
    <row r="5" spans="1:9" x14ac:dyDescent="0.25">
      <c r="B5" s="5" t="str">
        <f>'3-Inputs'!B9</f>
        <v>Project Start Year</v>
      </c>
      <c r="C5" s="5">
        <f>'3-Inputs'!C9</f>
        <v>2029</v>
      </c>
      <c r="E5" s="2">
        <f>E4+1</f>
        <v>2</v>
      </c>
      <c r="F5" s="2">
        <f>F4+1</f>
        <v>2030</v>
      </c>
      <c r="G5" s="50">
        <f>_xlfn.XLOOKUP(F5,'6-Traffic Data'!$F$9:$F$48,'6-Traffic Data'!$Q$9:$Q$48)</f>
        <v>0</v>
      </c>
      <c r="H5" s="31">
        <f t="shared" si="0"/>
        <v>0</v>
      </c>
      <c r="I5" s="31">
        <f t="shared" si="1"/>
        <v>0</v>
      </c>
    </row>
    <row r="6" spans="1:9" x14ac:dyDescent="0.25">
      <c r="B6" s="5" t="str">
        <f>'3-Inputs'!B50</f>
        <v>Vehicle Operating Cost- Light Duty Vehicles</v>
      </c>
      <c r="C6" s="52">
        <f>'3-Inputs'!C50</f>
        <v>0.52</v>
      </c>
      <c r="E6" s="2">
        <f t="shared" ref="E6:F23" si="2">E5+1</f>
        <v>3</v>
      </c>
      <c r="F6" s="2">
        <f t="shared" si="2"/>
        <v>2031</v>
      </c>
      <c r="G6" s="50">
        <f>_xlfn.XLOOKUP(F6,'6-Traffic Data'!$F$9:$F$48,'6-Traffic Data'!$Q$9:$Q$48)</f>
        <v>0</v>
      </c>
      <c r="H6" s="31">
        <f t="shared" si="0"/>
        <v>0</v>
      </c>
      <c r="I6" s="31">
        <f t="shared" si="1"/>
        <v>0</v>
      </c>
    </row>
    <row r="7" spans="1:9" x14ac:dyDescent="0.25">
      <c r="B7" s="5" t="str">
        <f>'3-Inputs'!B51</f>
        <v>Vehicle Operating Cost- Trucks</v>
      </c>
      <c r="C7" s="52">
        <f>'3-Inputs'!C51</f>
        <v>1.32</v>
      </c>
      <c r="E7" s="2">
        <f t="shared" si="2"/>
        <v>4</v>
      </c>
      <c r="F7" s="2">
        <f t="shared" si="2"/>
        <v>2032</v>
      </c>
      <c r="G7" s="50">
        <f>_xlfn.XLOOKUP(F7,'6-Traffic Data'!$F$9:$F$48,'6-Traffic Data'!$Q$9:$Q$48)</f>
        <v>0</v>
      </c>
      <c r="H7" s="31">
        <f t="shared" si="0"/>
        <v>0</v>
      </c>
      <c r="I7" s="31">
        <f t="shared" si="1"/>
        <v>0</v>
      </c>
    </row>
    <row r="8" spans="1:9" x14ac:dyDescent="0.25">
      <c r="E8" s="2">
        <f t="shared" si="2"/>
        <v>5</v>
      </c>
      <c r="F8" s="2">
        <f t="shared" si="2"/>
        <v>2033</v>
      </c>
      <c r="G8" s="50">
        <f>_xlfn.XLOOKUP(F8,'6-Traffic Data'!$F$9:$F$48,'6-Traffic Data'!$Q$9:$Q$48)</f>
        <v>0</v>
      </c>
      <c r="H8" s="31">
        <f t="shared" si="0"/>
        <v>0</v>
      </c>
      <c r="I8" s="31">
        <f t="shared" si="1"/>
        <v>0</v>
      </c>
    </row>
    <row r="9" spans="1:9" x14ac:dyDescent="0.25">
      <c r="E9" s="2">
        <f t="shared" si="2"/>
        <v>6</v>
      </c>
      <c r="F9" s="2">
        <f t="shared" si="2"/>
        <v>2034</v>
      </c>
      <c r="G9" s="50">
        <f>_xlfn.XLOOKUP(F9,'6-Traffic Data'!$F$9:$F$48,'6-Traffic Data'!$Q$9:$Q$48)</f>
        <v>0</v>
      </c>
      <c r="H9" s="31">
        <f t="shared" si="0"/>
        <v>0</v>
      </c>
      <c r="I9" s="31">
        <f t="shared" si="1"/>
        <v>0</v>
      </c>
    </row>
    <row r="10" spans="1:9" x14ac:dyDescent="0.25">
      <c r="E10" s="2">
        <f t="shared" si="2"/>
        <v>7</v>
      </c>
      <c r="F10" s="2">
        <f t="shared" si="2"/>
        <v>2035</v>
      </c>
      <c r="G10" s="50">
        <f>_xlfn.XLOOKUP(F10,'6-Traffic Data'!$F$9:$F$48,'6-Traffic Data'!$Q$9:$Q$48)</f>
        <v>0</v>
      </c>
      <c r="H10" s="31">
        <f t="shared" si="0"/>
        <v>0</v>
      </c>
      <c r="I10" s="31">
        <f t="shared" si="1"/>
        <v>0</v>
      </c>
    </row>
    <row r="11" spans="1:9" x14ac:dyDescent="0.25">
      <c r="E11" s="2">
        <f t="shared" si="2"/>
        <v>8</v>
      </c>
      <c r="F11" s="2">
        <f t="shared" si="2"/>
        <v>2036</v>
      </c>
      <c r="G11" s="50">
        <f>_xlfn.XLOOKUP(F11,'6-Traffic Data'!$F$9:$F$48,'6-Traffic Data'!$Q$9:$Q$48)</f>
        <v>0</v>
      </c>
      <c r="H11" s="31">
        <f t="shared" si="0"/>
        <v>0</v>
      </c>
      <c r="I11" s="31">
        <f t="shared" si="1"/>
        <v>0</v>
      </c>
    </row>
    <row r="12" spans="1:9" x14ac:dyDescent="0.25">
      <c r="E12" s="2">
        <f t="shared" si="2"/>
        <v>9</v>
      </c>
      <c r="F12" s="2">
        <f t="shared" si="2"/>
        <v>2037</v>
      </c>
      <c r="G12" s="50">
        <f>_xlfn.XLOOKUP(F12,'6-Traffic Data'!$F$9:$F$48,'6-Traffic Data'!$Q$9:$Q$48)</f>
        <v>0</v>
      </c>
      <c r="H12" s="31">
        <f>G12*$C$7</f>
        <v>0</v>
      </c>
      <c r="I12" s="31">
        <f t="shared" si="1"/>
        <v>0</v>
      </c>
    </row>
    <row r="13" spans="1:9" x14ac:dyDescent="0.25">
      <c r="E13" s="2">
        <f t="shared" si="2"/>
        <v>10</v>
      </c>
      <c r="F13" s="2">
        <f t="shared" si="2"/>
        <v>2038</v>
      </c>
      <c r="G13" s="50">
        <f>_xlfn.XLOOKUP(F13,'6-Traffic Data'!$F$9:$F$48,'6-Traffic Data'!$Q$9:$Q$48)</f>
        <v>12756848.373047907</v>
      </c>
      <c r="H13" s="31">
        <f t="shared" si="0"/>
        <v>16839039.852423239</v>
      </c>
      <c r="I13" s="31">
        <f t="shared" si="1"/>
        <v>10331863.985370114</v>
      </c>
    </row>
    <row r="14" spans="1:9" x14ac:dyDescent="0.25">
      <c r="B14" s="47"/>
      <c r="E14" s="2">
        <f t="shared" si="2"/>
        <v>11</v>
      </c>
      <c r="F14" s="2">
        <f t="shared" si="2"/>
        <v>2039</v>
      </c>
      <c r="G14" s="50">
        <f>_xlfn.XLOOKUP(F14,'6-Traffic Data'!$F$9:$F$48,'6-Traffic Data'!$Q$9:$Q$48)</f>
        <v>13060158.398907108</v>
      </c>
      <c r="H14" s="31">
        <f>G14*$C$7</f>
        <v>17239409.086557385</v>
      </c>
      <c r="I14" s="31">
        <f t="shared" si="1"/>
        <v>10259473.301971173</v>
      </c>
    </row>
    <row r="15" spans="1:9" x14ac:dyDescent="0.25">
      <c r="E15" s="2">
        <f t="shared" si="2"/>
        <v>12</v>
      </c>
      <c r="F15" s="2">
        <f t="shared" si="2"/>
        <v>2040</v>
      </c>
      <c r="G15" s="50">
        <f>_xlfn.XLOOKUP(F15,'6-Traffic Data'!$F$9:$F$48,'6-Traffic Data'!$Q$9:$Q$48)</f>
        <v>13370679.999999976</v>
      </c>
      <c r="H15" s="31">
        <f t="shared" si="0"/>
        <v>17649297.599999968</v>
      </c>
      <c r="I15" s="31">
        <f>H15/((1+$C$3)^($F15-$C$4))</f>
        <v>10187589.827247297</v>
      </c>
    </row>
    <row r="16" spans="1:9" x14ac:dyDescent="0.25">
      <c r="E16" s="2">
        <f t="shared" si="2"/>
        <v>13</v>
      </c>
      <c r="F16" s="2">
        <f t="shared" si="2"/>
        <v>2041</v>
      </c>
      <c r="G16" s="50">
        <f>_xlfn.XLOOKUP(F16,'6-Traffic Data'!$F$9:$F$48,'6-Traffic Data'!$Q$9:$Q$48)</f>
        <v>13688584.640547659</v>
      </c>
      <c r="H16" s="31">
        <f>G16*$C$7</f>
        <v>18068931.725522909</v>
      </c>
      <c r="I16" s="31">
        <f t="shared" si="1"/>
        <v>10116210.00741742</v>
      </c>
    </row>
    <row r="17" spans="5:9" x14ac:dyDescent="0.25">
      <c r="E17" s="2">
        <f t="shared" si="2"/>
        <v>14</v>
      </c>
      <c r="F17" s="2">
        <f t="shared" si="2"/>
        <v>2042</v>
      </c>
      <c r="G17" s="50">
        <f>_xlfn.XLOOKUP(F17,'6-Traffic Data'!$F$9:$F$48,'6-Traffic Data'!$Q$9:$Q$48)</f>
        <v>14014047.861547625</v>
      </c>
      <c r="H17" s="31">
        <f t="shared" si="0"/>
        <v>18498543.177242864</v>
      </c>
      <c r="I17" s="31">
        <f t="shared" si="1"/>
        <v>10045330.313600201</v>
      </c>
    </row>
    <row r="18" spans="5:9" x14ac:dyDescent="0.25">
      <c r="E18" s="2">
        <f t="shared" si="2"/>
        <v>15</v>
      </c>
      <c r="F18" s="2">
        <f t="shared" si="2"/>
        <v>2043</v>
      </c>
      <c r="G18" s="50">
        <f>_xlfn.XLOOKUP(F18,'6-Traffic Data'!$F$9:$F$48,'6-Traffic Data'!$Q$9:$Q$48)</f>
        <v>14347249.377704121</v>
      </c>
      <c r="H18" s="31">
        <f t="shared" si="0"/>
        <v>18938369.17856944</v>
      </c>
      <c r="I18" s="31">
        <f t="shared" si="1"/>
        <v>9974947.2416395862</v>
      </c>
    </row>
    <row r="19" spans="5:9" x14ac:dyDescent="0.25">
      <c r="E19" s="2">
        <f t="shared" si="2"/>
        <v>16</v>
      </c>
      <c r="F19" s="2">
        <f t="shared" si="2"/>
        <v>2044</v>
      </c>
      <c r="G19" s="50">
        <f>_xlfn.XLOOKUP(F19,'6-Traffic Data'!$F$9:$F$48,'6-Traffic Data'!$Q$9:$Q$48)</f>
        <v>14688373.176663263</v>
      </c>
      <c r="H19" s="31">
        <f t="shared" si="0"/>
        <v>19388652.593195509</v>
      </c>
      <c r="I19" s="31">
        <f t="shared" si="1"/>
        <v>9905057.3119315356</v>
      </c>
    </row>
    <row r="20" spans="5:9" x14ac:dyDescent="0.25">
      <c r="E20" s="2">
        <f t="shared" si="2"/>
        <v>17</v>
      </c>
      <c r="F20" s="2">
        <f t="shared" si="2"/>
        <v>2045</v>
      </c>
      <c r="G20" s="50">
        <f>_xlfn.XLOOKUP(F20,'6-Traffic Data'!$F$9:$F$48,'6-Traffic Data'!$Q$9:$Q$48)</f>
        <v>15037607.620607575</v>
      </c>
      <c r="H20" s="31">
        <f t="shared" si="0"/>
        <v>19849642.059202</v>
      </c>
      <c r="I20" s="31">
        <f t="shared" si="1"/>
        <v>9835657.0692520216</v>
      </c>
    </row>
    <row r="21" spans="5:9" x14ac:dyDescent="0.25">
      <c r="E21" s="2">
        <f t="shared" si="2"/>
        <v>18</v>
      </c>
      <c r="F21" s="2">
        <f t="shared" si="2"/>
        <v>2046</v>
      </c>
      <c r="G21" s="50">
        <f>_xlfn.XLOOKUP(F21,'6-Traffic Data'!$F$9:$F$48,'6-Traffic Data'!$Q$9:$Q$48)</f>
        <v>15395145.55026608</v>
      </c>
      <c r="H21" s="31">
        <f t="shared" si="0"/>
        <v>20321592.126351226</v>
      </c>
      <c r="I21" s="31">
        <f t="shared" si="1"/>
        <v>9766743.0825862102</v>
      </c>
    </row>
    <row r="22" spans="5:9" x14ac:dyDescent="0.25">
      <c r="E22" s="2">
        <f t="shared" si="2"/>
        <v>19</v>
      </c>
      <c r="F22" s="2">
        <f t="shared" si="2"/>
        <v>2047</v>
      </c>
      <c r="G22" s="50">
        <f>_xlfn.XLOOKUP(F22,'6-Traffic Data'!$F$9:$F$48,'6-Traffic Data'!$Q$9:$Q$48)</f>
        <v>15761184.391397318</v>
      </c>
      <c r="H22" s="31">
        <f t="shared" si="0"/>
        <v>20804763.396644462</v>
      </c>
      <c r="I22" s="31">
        <f t="shared" si="1"/>
        <v>9698311.9449588265</v>
      </c>
    </row>
    <row r="23" spans="5:9" x14ac:dyDescent="0.25">
      <c r="E23" s="2">
        <f t="shared" si="2"/>
        <v>20</v>
      </c>
      <c r="F23" s="2">
        <f t="shared" si="2"/>
        <v>2048</v>
      </c>
      <c r="G23" s="50">
        <f>_xlfn.XLOOKUP(F23,'6-Traffic Data'!$F$9:$F$48,'6-Traffic Data'!$Q$9:$Q$48)</f>
        <v>16135926.263804175</v>
      </c>
      <c r="H23" s="31">
        <f t="shared" si="0"/>
        <v>21299422.668221511</v>
      </c>
      <c r="I23" s="53">
        <f t="shared" si="1"/>
        <v>9630360.2732657213</v>
      </c>
    </row>
    <row r="24" spans="5:9" x14ac:dyDescent="0.25">
      <c r="E24" s="2">
        <f t="shared" ref="E24:F24" si="3">E23+1</f>
        <v>21</v>
      </c>
      <c r="F24" s="2">
        <f t="shared" si="3"/>
        <v>2049</v>
      </c>
      <c r="G24" s="50">
        <f>_xlfn.XLOOKUP(F24,'6-Traffic Data'!$F$9:$F$48,'6-Traffic Data'!$Q$9:$Q$48)</f>
        <v>16519578.092940658</v>
      </c>
      <c r="H24" s="31">
        <f t="shared" si="0"/>
        <v>21805843.082681671</v>
      </c>
      <c r="I24" s="31">
        <f t="shared" ref="I24:I33" si="4">H24/((1+$C$3)^($F24-$C$4))</f>
        <v>9562884.7081066296</v>
      </c>
    </row>
    <row r="25" spans="5:9" x14ac:dyDescent="0.25">
      <c r="E25" s="2">
        <f t="shared" ref="E25:F25" si="5">E24+1</f>
        <v>22</v>
      </c>
      <c r="F25" s="2">
        <f t="shared" si="5"/>
        <v>2050</v>
      </c>
      <c r="G25" s="50">
        <f>_xlfn.XLOOKUP(F25,'6-Traffic Data'!$F$9:$F$48,'6-Traffic Data'!$Q$9:$Q$48)</f>
        <v>16912351.724172257</v>
      </c>
      <c r="H25" s="31">
        <f t="shared" si="0"/>
        <v>22324304.275907379</v>
      </c>
      <c r="I25" s="53">
        <f t="shared" si="4"/>
        <v>9495881.913619075</v>
      </c>
    </row>
    <row r="26" spans="5:9" x14ac:dyDescent="0.25">
      <c r="E26" s="2">
        <f t="shared" ref="E26:F26" si="6">E25+1</f>
        <v>23</v>
      </c>
      <c r="F26" s="2">
        <f t="shared" si="6"/>
        <v>2051</v>
      </c>
      <c r="G26" s="50">
        <f>_xlfn.XLOOKUP(F26,'6-Traffic Data'!$F$9:$F$48,'6-Traffic Data'!$Q$9:$Q$48)</f>
        <v>17314464.03975299</v>
      </c>
      <c r="H26" s="31">
        <f t="shared" si="0"/>
        <v>22855092.532473948</v>
      </c>
      <c r="I26" s="31">
        <f t="shared" si="4"/>
        <v>9429348.5773134604</v>
      </c>
    </row>
    <row r="27" spans="5:9" x14ac:dyDescent="0.25">
      <c r="E27" s="2">
        <f t="shared" ref="E27:F27" si="7">E26+1</f>
        <v>24</v>
      </c>
      <c r="F27" s="2">
        <f t="shared" si="7"/>
        <v>2052</v>
      </c>
      <c r="G27" s="50">
        <f>_xlfn.XLOOKUP(F27,'6-Traffic Data'!$F$9:$F$48,'6-Traffic Data'!$Q$9:$Q$48)</f>
        <v>17726137.078583736</v>
      </c>
      <c r="H27" s="31">
        <f t="shared" si="0"/>
        <v>23398500.943730533</v>
      </c>
      <c r="I27" s="53">
        <f t="shared" si="4"/>
        <v>9363281.4099092931</v>
      </c>
    </row>
    <row r="28" spans="5:9" x14ac:dyDescent="0.25">
      <c r="E28" s="2">
        <f t="shared" ref="E28:F28" si="8">E27+1</f>
        <v>25</v>
      </c>
      <c r="F28" s="2">
        <f t="shared" si="8"/>
        <v>2053</v>
      </c>
      <c r="G28" s="50">
        <f>_xlfn.XLOOKUP(F28,'6-Traffic Data'!$F$9:$F$48,'6-Traffic Data'!$Q$9:$Q$48)</f>
        <v>18147598.158817958</v>
      </c>
      <c r="H28" s="31">
        <f t="shared" si="0"/>
        <v>23954829.569639705</v>
      </c>
      <c r="I28" s="31">
        <f t="shared" si="4"/>
        <v>9297677.1451725774</v>
      </c>
    </row>
    <row r="29" spans="5:9" x14ac:dyDescent="0.25">
      <c r="E29" s="2">
        <f t="shared" ref="E29:F29" si="9">E28+1</f>
        <v>26</v>
      </c>
      <c r="F29" s="2">
        <f t="shared" si="9"/>
        <v>2054</v>
      </c>
      <c r="G29" s="50">
        <f>_xlfn.XLOOKUP(F29,'6-Traffic Data'!$F$9:$F$48,'6-Traffic Data'!$Q$9:$Q$48)</f>
        <v>18579080.003382541</v>
      </c>
      <c r="H29" s="31">
        <f t="shared" si="0"/>
        <v>24524385.604464956</v>
      </c>
      <c r="I29" s="53">
        <f t="shared" si="4"/>
        <v>9232532.539754346</v>
      </c>
    </row>
    <row r="30" spans="5:9" x14ac:dyDescent="0.25">
      <c r="E30" s="2">
        <f t="shared" ref="E30:F30" si="10">E29+1</f>
        <v>27</v>
      </c>
      <c r="F30" s="2">
        <f t="shared" si="10"/>
        <v>2055</v>
      </c>
      <c r="G30" s="50">
        <f>_xlfn.XLOOKUP(F30,'6-Traffic Data'!$F$9:$F$48,'6-Traffic Data'!$Q$9:$Q$48)</f>
        <v>19020820.868483044</v>
      </c>
      <c r="H30" s="31">
        <f t="shared" si="0"/>
        <v>25107483.546397619</v>
      </c>
      <c r="I30" s="31">
        <f t="shared" si="4"/>
        <v>9167844.373030303</v>
      </c>
    </row>
    <row r="31" spans="5:9" x14ac:dyDescent="0.25">
      <c r="E31" s="2">
        <f t="shared" ref="E31:F31" si="11">E30+1</f>
        <v>28</v>
      </c>
      <c r="F31" s="2">
        <f t="shared" si="11"/>
        <v>2056</v>
      </c>
      <c r="G31" s="50">
        <f>_xlfn.XLOOKUP(F31,'6-Traffic Data'!$F$9:$F$48,'6-Traffic Data'!$Q$9:$Q$48)</f>
        <v>19473064.675164305</v>
      </c>
      <c r="H31" s="31">
        <f t="shared" si="0"/>
        <v>25704445.371216882</v>
      </c>
      <c r="I31" s="53">
        <f t="shared" si="4"/>
        <v>9103609.4469415974</v>
      </c>
    </row>
    <row r="32" spans="5:9" x14ac:dyDescent="0.25">
      <c r="E32" s="2">
        <f t="shared" ref="E32:F32" si="12">E31+1</f>
        <v>29</v>
      </c>
      <c r="F32" s="2">
        <f t="shared" si="12"/>
        <v>2057</v>
      </c>
      <c r="G32" s="50">
        <f>_xlfn.XLOOKUP(F32,'6-Traffic Data'!$F$9:$F$48,'6-Traffic Data'!$Q$9:$Q$48)</f>
        <v>19936061.143999092</v>
      </c>
      <c r="H32" s="31">
        <f t="shared" si="0"/>
        <v>26315600.710078802</v>
      </c>
      <c r="I32" s="31">
        <f t="shared" si="4"/>
        <v>9039824.5858367365</v>
      </c>
    </row>
    <row r="33" spans="5:9" x14ac:dyDescent="0.25">
      <c r="E33" s="2">
        <f t="shared" ref="E33:F33" si="13">E32+1</f>
        <v>30</v>
      </c>
      <c r="F33" s="2">
        <f t="shared" si="13"/>
        <v>2058</v>
      </c>
      <c r="G33" s="50">
        <f>_xlfn.XLOOKUP(F33,'6-Traffic Data'!$F$9:$F$48,'6-Traffic Data'!$Q$9:$Q$48)</f>
        <v>10205032.966489566</v>
      </c>
      <c r="H33" s="31">
        <f>G33*$C$7</f>
        <v>13470643.515766228</v>
      </c>
      <c r="I33" s="53">
        <f t="shared" si="4"/>
        <v>4488243.3181572845</v>
      </c>
    </row>
    <row r="34" spans="5:9" x14ac:dyDescent="0.25">
      <c r="G34" s="56" t="s">
        <v>156</v>
      </c>
      <c r="H34" s="57">
        <f>SUM(H4:H33)</f>
        <v>438358792.61628819</v>
      </c>
      <c r="I34" s="57">
        <f>SUM(I4:I33)</f>
        <v>197932672.37708142</v>
      </c>
    </row>
    <row r="35" spans="5:9" x14ac:dyDescent="0.25">
      <c r="G35" s="104"/>
      <c r="H35" s="105"/>
      <c r="I35" s="105"/>
    </row>
    <row r="38" spans="5:9" x14ac:dyDescent="0.25">
      <c r="E38" s="5" t="s">
        <v>247</v>
      </c>
    </row>
    <row r="39" spans="5:9" ht="40.5" x14ac:dyDescent="0.25">
      <c r="E39" s="49" t="s">
        <v>178</v>
      </c>
      <c r="F39" s="49" t="s">
        <v>174</v>
      </c>
      <c r="G39" s="49" t="s">
        <v>498</v>
      </c>
      <c r="H39" s="49" t="s">
        <v>249</v>
      </c>
      <c r="I39" s="49" t="s">
        <v>244</v>
      </c>
    </row>
    <row r="40" spans="5:9" x14ac:dyDescent="0.25">
      <c r="E40" s="2">
        <v>1</v>
      </c>
      <c r="F40" s="2">
        <f>$C$5</f>
        <v>2029</v>
      </c>
      <c r="G40" s="50">
        <f>_xlfn.XLOOKUP(F40,'6-Traffic Data'!$F$9:$F$48,'6-Traffic Data'!$R$9:$R$48)</f>
        <v>0</v>
      </c>
      <c r="H40" s="31">
        <f t="shared" ref="H40:H69" si="14">G40*$C$6</f>
        <v>0</v>
      </c>
      <c r="I40" s="31">
        <f t="shared" ref="I40:I59" si="15">H40/((1+$C$3)^($F40-$C$4))</f>
        <v>0</v>
      </c>
    </row>
    <row r="41" spans="5:9" x14ac:dyDescent="0.25">
      <c r="E41" s="2">
        <f>E40+1</f>
        <v>2</v>
      </c>
      <c r="F41" s="2">
        <f>F40+1</f>
        <v>2030</v>
      </c>
      <c r="G41" s="50">
        <f>_xlfn.XLOOKUP(F41,'6-Traffic Data'!$F$9:$F$48,'6-Traffic Data'!$R$9:$R$48)</f>
        <v>0</v>
      </c>
      <c r="H41" s="31">
        <f t="shared" si="14"/>
        <v>0</v>
      </c>
      <c r="I41" s="31">
        <f t="shared" si="15"/>
        <v>0</v>
      </c>
    </row>
    <row r="42" spans="5:9" x14ac:dyDescent="0.25">
      <c r="E42" s="2">
        <f t="shared" ref="E42:F59" si="16">E41+1</f>
        <v>3</v>
      </c>
      <c r="F42" s="2">
        <f t="shared" si="16"/>
        <v>2031</v>
      </c>
      <c r="G42" s="50">
        <f>_xlfn.XLOOKUP(F42,'6-Traffic Data'!$F$9:$F$48,'6-Traffic Data'!$R$9:$R$48)</f>
        <v>0</v>
      </c>
      <c r="H42" s="31">
        <f t="shared" si="14"/>
        <v>0</v>
      </c>
      <c r="I42" s="31">
        <f t="shared" si="15"/>
        <v>0</v>
      </c>
    </row>
    <row r="43" spans="5:9" x14ac:dyDescent="0.25">
      <c r="E43" s="2">
        <f t="shared" si="16"/>
        <v>4</v>
      </c>
      <c r="F43" s="2">
        <f t="shared" si="16"/>
        <v>2032</v>
      </c>
      <c r="G43" s="50">
        <f>_xlfn.XLOOKUP(F43,'6-Traffic Data'!$F$9:$F$48,'6-Traffic Data'!$R$9:$R$48)</f>
        <v>0</v>
      </c>
      <c r="H43" s="31">
        <f t="shared" si="14"/>
        <v>0</v>
      </c>
      <c r="I43" s="31">
        <f t="shared" si="15"/>
        <v>0</v>
      </c>
    </row>
    <row r="44" spans="5:9" x14ac:dyDescent="0.25">
      <c r="E44" s="2">
        <f t="shared" si="16"/>
        <v>5</v>
      </c>
      <c r="F44" s="2">
        <f t="shared" si="16"/>
        <v>2033</v>
      </c>
      <c r="G44" s="50">
        <f>_xlfn.XLOOKUP(F44,'6-Traffic Data'!$F$9:$F$48,'6-Traffic Data'!$R$9:$R$48)</f>
        <v>0</v>
      </c>
      <c r="H44" s="31">
        <f t="shared" si="14"/>
        <v>0</v>
      </c>
      <c r="I44" s="31">
        <f t="shared" si="15"/>
        <v>0</v>
      </c>
    </row>
    <row r="45" spans="5:9" x14ac:dyDescent="0.25">
      <c r="E45" s="2">
        <f t="shared" si="16"/>
        <v>6</v>
      </c>
      <c r="F45" s="2">
        <f t="shared" si="16"/>
        <v>2034</v>
      </c>
      <c r="G45" s="50">
        <f>_xlfn.XLOOKUP(F45,'6-Traffic Data'!$F$9:$F$48,'6-Traffic Data'!$R$9:$R$48)</f>
        <v>0</v>
      </c>
      <c r="H45" s="31">
        <f t="shared" si="14"/>
        <v>0</v>
      </c>
      <c r="I45" s="31">
        <f t="shared" si="15"/>
        <v>0</v>
      </c>
    </row>
    <row r="46" spans="5:9" x14ac:dyDescent="0.25">
      <c r="E46" s="2">
        <f t="shared" si="16"/>
        <v>7</v>
      </c>
      <c r="F46" s="2">
        <f t="shared" si="16"/>
        <v>2035</v>
      </c>
      <c r="G46" s="50">
        <f>_xlfn.XLOOKUP(F46,'6-Traffic Data'!$F$9:$F$48,'6-Traffic Data'!$R$9:$R$48)</f>
        <v>0</v>
      </c>
      <c r="H46" s="31">
        <f t="shared" si="14"/>
        <v>0</v>
      </c>
      <c r="I46" s="31">
        <f t="shared" si="15"/>
        <v>0</v>
      </c>
    </row>
    <row r="47" spans="5:9" x14ac:dyDescent="0.25">
      <c r="E47" s="2">
        <f t="shared" si="16"/>
        <v>8</v>
      </c>
      <c r="F47" s="2">
        <f t="shared" si="16"/>
        <v>2036</v>
      </c>
      <c r="G47" s="50">
        <f>_xlfn.XLOOKUP(F47,'6-Traffic Data'!$F$9:$F$48,'6-Traffic Data'!$R$9:$R$48)</f>
        <v>0</v>
      </c>
      <c r="H47" s="31">
        <f t="shared" si="14"/>
        <v>0</v>
      </c>
      <c r="I47" s="31">
        <f t="shared" si="15"/>
        <v>0</v>
      </c>
    </row>
    <row r="48" spans="5:9" x14ac:dyDescent="0.25">
      <c r="E48" s="2">
        <f t="shared" si="16"/>
        <v>9</v>
      </c>
      <c r="F48" s="2">
        <f t="shared" si="16"/>
        <v>2037</v>
      </c>
      <c r="G48" s="50">
        <f>_xlfn.XLOOKUP(F48,'6-Traffic Data'!$F$9:$F$48,'6-Traffic Data'!$R$9:$R$48)</f>
        <v>0</v>
      </c>
      <c r="H48" s="31">
        <f t="shared" si="14"/>
        <v>0</v>
      </c>
      <c r="I48" s="31">
        <f t="shared" si="15"/>
        <v>0</v>
      </c>
    </row>
    <row r="49" spans="5:9" x14ac:dyDescent="0.25">
      <c r="E49" s="2">
        <f t="shared" si="16"/>
        <v>10</v>
      </c>
      <c r="F49" s="2">
        <f t="shared" si="16"/>
        <v>2038</v>
      </c>
      <c r="G49" s="50">
        <f>_xlfn.XLOOKUP(F49,'6-Traffic Data'!$F$9:$F$48,'6-Traffic Data'!$R$9:$R$48)</f>
        <v>0</v>
      </c>
      <c r="H49" s="31">
        <f t="shared" si="14"/>
        <v>0</v>
      </c>
      <c r="I49" s="31">
        <f t="shared" si="15"/>
        <v>0</v>
      </c>
    </row>
    <row r="50" spans="5:9" x14ac:dyDescent="0.25">
      <c r="E50" s="2">
        <f t="shared" si="16"/>
        <v>11</v>
      </c>
      <c r="F50" s="2">
        <f t="shared" si="16"/>
        <v>2039</v>
      </c>
      <c r="G50" s="50">
        <f>_xlfn.XLOOKUP(F50,'6-Traffic Data'!$F$9:$F$48,'6-Traffic Data'!$R$9:$R$48)</f>
        <v>0</v>
      </c>
      <c r="H50" s="31">
        <f t="shared" si="14"/>
        <v>0</v>
      </c>
      <c r="I50" s="31">
        <f t="shared" si="15"/>
        <v>0</v>
      </c>
    </row>
    <row r="51" spans="5:9" x14ac:dyDescent="0.25">
      <c r="E51" s="2">
        <f t="shared" si="16"/>
        <v>12</v>
      </c>
      <c r="F51" s="2">
        <f t="shared" si="16"/>
        <v>2040</v>
      </c>
      <c r="G51" s="50">
        <f>_xlfn.XLOOKUP(F51,'6-Traffic Data'!$F$9:$F$48,'6-Traffic Data'!$R$9:$R$48)</f>
        <v>0</v>
      </c>
      <c r="H51" s="31">
        <f t="shared" si="14"/>
        <v>0</v>
      </c>
      <c r="I51" s="31">
        <f t="shared" si="15"/>
        <v>0</v>
      </c>
    </row>
    <row r="52" spans="5:9" x14ac:dyDescent="0.25">
      <c r="E52" s="2">
        <f t="shared" si="16"/>
        <v>13</v>
      </c>
      <c r="F52" s="2">
        <f t="shared" si="16"/>
        <v>2041</v>
      </c>
      <c r="G52" s="50">
        <f>_xlfn.XLOOKUP(F52,'6-Traffic Data'!$F$9:$F$48,'6-Traffic Data'!$R$9:$R$48)</f>
        <v>0</v>
      </c>
      <c r="H52" s="31">
        <f t="shared" si="14"/>
        <v>0</v>
      </c>
      <c r="I52" s="31">
        <f t="shared" si="15"/>
        <v>0</v>
      </c>
    </row>
    <row r="53" spans="5:9" x14ac:dyDescent="0.25">
      <c r="E53" s="2">
        <f t="shared" si="16"/>
        <v>14</v>
      </c>
      <c r="F53" s="2">
        <f t="shared" si="16"/>
        <v>2042</v>
      </c>
      <c r="G53" s="50">
        <f>_xlfn.XLOOKUP(F53,'6-Traffic Data'!$F$9:$F$48,'6-Traffic Data'!$R$9:$R$48)</f>
        <v>0</v>
      </c>
      <c r="H53" s="31">
        <f t="shared" si="14"/>
        <v>0</v>
      </c>
      <c r="I53" s="31">
        <f t="shared" si="15"/>
        <v>0</v>
      </c>
    </row>
    <row r="54" spans="5:9" x14ac:dyDescent="0.25">
      <c r="E54" s="2">
        <f t="shared" si="16"/>
        <v>15</v>
      </c>
      <c r="F54" s="2">
        <f t="shared" si="16"/>
        <v>2043</v>
      </c>
      <c r="G54" s="50">
        <f>_xlfn.XLOOKUP(F54,'6-Traffic Data'!$F$9:$F$48,'6-Traffic Data'!$R$9:$R$48)</f>
        <v>0</v>
      </c>
      <c r="H54" s="31">
        <f t="shared" si="14"/>
        <v>0</v>
      </c>
      <c r="I54" s="31">
        <f t="shared" si="15"/>
        <v>0</v>
      </c>
    </row>
    <row r="55" spans="5:9" x14ac:dyDescent="0.25">
      <c r="E55" s="2">
        <f t="shared" si="16"/>
        <v>16</v>
      </c>
      <c r="F55" s="2">
        <f t="shared" si="16"/>
        <v>2044</v>
      </c>
      <c r="G55" s="50">
        <f>_xlfn.XLOOKUP(F55,'6-Traffic Data'!$F$9:$F$48,'6-Traffic Data'!$R$9:$R$48)</f>
        <v>0</v>
      </c>
      <c r="H55" s="31">
        <f t="shared" si="14"/>
        <v>0</v>
      </c>
      <c r="I55" s="31">
        <f t="shared" si="15"/>
        <v>0</v>
      </c>
    </row>
    <row r="56" spans="5:9" x14ac:dyDescent="0.25">
      <c r="E56" s="2">
        <f t="shared" si="16"/>
        <v>17</v>
      </c>
      <c r="F56" s="2">
        <f t="shared" si="16"/>
        <v>2045</v>
      </c>
      <c r="G56" s="50">
        <f>_xlfn.XLOOKUP(F56,'6-Traffic Data'!$F$9:$F$48,'6-Traffic Data'!$R$9:$R$48)</f>
        <v>0</v>
      </c>
      <c r="H56" s="31">
        <f t="shared" si="14"/>
        <v>0</v>
      </c>
      <c r="I56" s="31">
        <f t="shared" si="15"/>
        <v>0</v>
      </c>
    </row>
    <row r="57" spans="5:9" x14ac:dyDescent="0.25">
      <c r="E57" s="2">
        <f t="shared" si="16"/>
        <v>18</v>
      </c>
      <c r="F57" s="2">
        <f t="shared" si="16"/>
        <v>2046</v>
      </c>
      <c r="G57" s="50">
        <f>_xlfn.XLOOKUP(F57,'6-Traffic Data'!$F$9:$F$48,'6-Traffic Data'!$R$9:$R$48)</f>
        <v>0</v>
      </c>
      <c r="H57" s="31">
        <f t="shared" si="14"/>
        <v>0</v>
      </c>
      <c r="I57" s="31">
        <f t="shared" si="15"/>
        <v>0</v>
      </c>
    </row>
    <row r="58" spans="5:9" x14ac:dyDescent="0.25">
      <c r="E58" s="2">
        <f t="shared" si="16"/>
        <v>19</v>
      </c>
      <c r="F58" s="2">
        <f t="shared" si="16"/>
        <v>2047</v>
      </c>
      <c r="G58" s="50">
        <f>_xlfn.XLOOKUP(F58,'6-Traffic Data'!$F$9:$F$48,'6-Traffic Data'!$R$9:$R$48)</f>
        <v>0</v>
      </c>
      <c r="H58" s="31">
        <f t="shared" si="14"/>
        <v>0</v>
      </c>
      <c r="I58" s="31">
        <f t="shared" si="15"/>
        <v>0</v>
      </c>
    </row>
    <row r="59" spans="5:9" x14ac:dyDescent="0.25">
      <c r="E59" s="2">
        <f t="shared" si="16"/>
        <v>20</v>
      </c>
      <c r="F59" s="2">
        <f t="shared" si="16"/>
        <v>2048</v>
      </c>
      <c r="G59" s="50">
        <f>_xlfn.XLOOKUP(F59,'6-Traffic Data'!$F$9:$F$48,'6-Traffic Data'!$R$9:$R$48)</f>
        <v>0</v>
      </c>
      <c r="H59" s="31">
        <f t="shared" si="14"/>
        <v>0</v>
      </c>
      <c r="I59" s="53">
        <f t="shared" si="15"/>
        <v>0</v>
      </c>
    </row>
    <row r="60" spans="5:9" x14ac:dyDescent="0.25">
      <c r="E60" s="2">
        <f t="shared" ref="E60:F60" si="17">E59+1</f>
        <v>21</v>
      </c>
      <c r="F60" s="2">
        <f t="shared" si="17"/>
        <v>2049</v>
      </c>
      <c r="G60" s="50">
        <f>_xlfn.XLOOKUP(F60,'6-Traffic Data'!$F$9:$F$48,'6-Traffic Data'!$R$9:$R$48)</f>
        <v>0</v>
      </c>
      <c r="H60" s="31">
        <f t="shared" si="14"/>
        <v>0</v>
      </c>
      <c r="I60" s="53">
        <f t="shared" ref="I60:I68" si="18">H60/((1+$C$3)^($F60-$C$4))</f>
        <v>0</v>
      </c>
    </row>
    <row r="61" spans="5:9" x14ac:dyDescent="0.25">
      <c r="E61" s="2">
        <f t="shared" ref="E61:F61" si="19">E60+1</f>
        <v>22</v>
      </c>
      <c r="F61" s="2">
        <f t="shared" si="19"/>
        <v>2050</v>
      </c>
      <c r="G61" s="50">
        <f>_xlfn.XLOOKUP(F61,'6-Traffic Data'!$F$9:$F$48,'6-Traffic Data'!$R$9:$R$48)</f>
        <v>0</v>
      </c>
      <c r="H61" s="31">
        <f t="shared" si="14"/>
        <v>0</v>
      </c>
      <c r="I61" s="53">
        <f t="shared" si="18"/>
        <v>0</v>
      </c>
    </row>
    <row r="62" spans="5:9" x14ac:dyDescent="0.25">
      <c r="E62" s="2">
        <f t="shared" ref="E62:F62" si="20">E61+1</f>
        <v>23</v>
      </c>
      <c r="F62" s="2">
        <f t="shared" si="20"/>
        <v>2051</v>
      </c>
      <c r="G62" s="50">
        <f>_xlfn.XLOOKUP(F62,'6-Traffic Data'!$F$9:$F$48,'6-Traffic Data'!$R$9:$R$48)</f>
        <v>0</v>
      </c>
      <c r="H62" s="31">
        <f t="shared" si="14"/>
        <v>0</v>
      </c>
      <c r="I62" s="53">
        <f t="shared" si="18"/>
        <v>0</v>
      </c>
    </row>
    <row r="63" spans="5:9" x14ac:dyDescent="0.25">
      <c r="E63" s="2">
        <f t="shared" ref="E63:F63" si="21">E62+1</f>
        <v>24</v>
      </c>
      <c r="F63" s="2">
        <f t="shared" si="21"/>
        <v>2052</v>
      </c>
      <c r="G63" s="50">
        <f>_xlfn.XLOOKUP(F63,'6-Traffic Data'!$F$9:$F$48,'6-Traffic Data'!$R$9:$R$48)</f>
        <v>22450162.090690006</v>
      </c>
      <c r="H63" s="31">
        <f t="shared" si="14"/>
        <v>11674084.287158804</v>
      </c>
      <c r="I63" s="53">
        <f t="shared" si="18"/>
        <v>4671570.0568397501</v>
      </c>
    </row>
    <row r="64" spans="5:9" x14ac:dyDescent="0.25">
      <c r="E64" s="2">
        <f t="shared" ref="E64:F64" si="22">E63+1</f>
        <v>25</v>
      </c>
      <c r="F64" s="2">
        <f t="shared" si="22"/>
        <v>2053</v>
      </c>
      <c r="G64" s="50">
        <f>_xlfn.XLOOKUP(F64,'6-Traffic Data'!$F$9:$F$48,'6-Traffic Data'!$R$9:$R$48)</f>
        <v>22984021.200179935</v>
      </c>
      <c r="H64" s="31">
        <f>G64*$C$6</f>
        <v>11951691.024093566</v>
      </c>
      <c r="I64" s="53">
        <f t="shared" si="18"/>
        <v>4638854.313608475</v>
      </c>
    </row>
    <row r="65" spans="5:9" x14ac:dyDescent="0.25">
      <c r="E65" s="2">
        <f t="shared" ref="E65:F65" si="23">E64+1</f>
        <v>26</v>
      </c>
      <c r="F65" s="2">
        <f t="shared" si="23"/>
        <v>2054</v>
      </c>
      <c r="G65" s="50">
        <f>_xlfn.XLOOKUP(F65,'6-Traffic Data'!$F$9:$F$48,'6-Traffic Data'!$R$9:$R$48)</f>
        <v>23530575.342678264</v>
      </c>
      <c r="H65" s="31">
        <f t="shared" si="14"/>
        <v>12235899.178192697</v>
      </c>
      <c r="I65" s="53">
        <f t="shared" si="18"/>
        <v>4606367.6838962408</v>
      </c>
    </row>
    <row r="66" spans="5:9" x14ac:dyDescent="0.25">
      <c r="E66" s="2">
        <f t="shared" ref="E66:F66" si="24">E65+1</f>
        <v>27</v>
      </c>
      <c r="F66" s="2">
        <f t="shared" si="24"/>
        <v>2055</v>
      </c>
      <c r="G66" s="50">
        <f>_xlfn.XLOOKUP(F66,'6-Traffic Data'!$F$9:$F$48,'6-Traffic Data'!$R$9:$R$48)</f>
        <v>24090126.402821269</v>
      </c>
      <c r="H66" s="31">
        <f t="shared" si="14"/>
        <v>12526865.72946706</v>
      </c>
      <c r="I66" s="53">
        <f>H66/((1+$C$3)^($F66-$C$4))</f>
        <v>4574108.563184876</v>
      </c>
    </row>
    <row r="67" spans="5:9" x14ac:dyDescent="0.25">
      <c r="E67" s="2">
        <f t="shared" ref="E67:F69" si="25">E66+1</f>
        <v>28</v>
      </c>
      <c r="F67" s="2">
        <f t="shared" si="25"/>
        <v>2056</v>
      </c>
      <c r="G67" s="50">
        <f>_xlfn.XLOOKUP(F67,'6-Traffic Data'!$F$9:$F$48,'6-Traffic Data'!$R$9:$R$48)</f>
        <v>24662983.443984602</v>
      </c>
      <c r="H67" s="31">
        <f>G67*$C$6</f>
        <v>12824751.390871994</v>
      </c>
      <c r="I67" s="53">
        <f t="shared" si="18"/>
        <v>4542075.3581928974</v>
      </c>
    </row>
    <row r="68" spans="5:9" x14ac:dyDescent="0.25">
      <c r="E68" s="2">
        <f t="shared" si="25"/>
        <v>29</v>
      </c>
      <c r="F68" s="2">
        <f t="shared" si="25"/>
        <v>2057</v>
      </c>
      <c r="G68" s="50">
        <f>_xlfn.XLOOKUP(F68,'6-Traffic Data'!$F$9:$F$48,'6-Traffic Data'!$R$9:$R$48)</f>
        <v>25249462.878991913</v>
      </c>
      <c r="H68" s="31">
        <f t="shared" si="14"/>
        <v>13129720.697075795</v>
      </c>
      <c r="I68" s="53">
        <f t="shared" si="18"/>
        <v>4510266.486796828</v>
      </c>
    </row>
    <row r="69" spans="5:9" x14ac:dyDescent="0.25">
      <c r="E69" s="2">
        <f t="shared" si="25"/>
        <v>30</v>
      </c>
      <c r="F69" s="2">
        <f t="shared" si="25"/>
        <v>2058</v>
      </c>
      <c r="G69" s="50">
        <f>_xlfn.XLOOKUP(F69,'6-Traffic Data'!$F$9:$F$48,'6-Traffic Data'!$R$9:$R$48)</f>
        <v>12924944.32244141</v>
      </c>
      <c r="H69" s="31">
        <f t="shared" si="14"/>
        <v>6720971.0476695336</v>
      </c>
      <c r="I69" s="53">
        <f t="shared" ref="I69" si="26">H69/((1+$C$3)^($F69-$C$4))</f>
        <v>2239340.1889765253</v>
      </c>
    </row>
    <row r="70" spans="5:9" x14ac:dyDescent="0.25">
      <c r="G70" s="56" t="s">
        <v>156</v>
      </c>
      <c r="H70" s="57">
        <f>SUM(H40:H69)</f>
        <v>81063983.35452944</v>
      </c>
      <c r="I70" s="57">
        <f>SUM(I40:I69)</f>
        <v>29782582.651495591</v>
      </c>
    </row>
    <row r="72" spans="5:9" x14ac:dyDescent="0.25">
      <c r="G72" s="241" t="s">
        <v>668</v>
      </c>
      <c r="H72" s="31">
        <f>H70+H34</f>
        <v>519422775.97081763</v>
      </c>
      <c r="I72" s="31">
        <f>I70+I34</f>
        <v>227715255.02857703</v>
      </c>
    </row>
  </sheetData>
  <sheetProtection algorithmName="SHA-512" hashValue="3kfRUeH+dK3XHoPkVpmpFb0GCaw5iCQ8xJHoigENj/9+Z0PeeqJjfClKVNsnfDPcuXRud2/OC+RhxwIXOCuKww==" saltValue="qHi06IoJz8QKj5E8596Eqg=="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44666-68D1-4EAD-B0ED-022155F997DD}">
  <sheetPr>
    <tabColor theme="3" tint="0.89999084444715716"/>
  </sheetPr>
  <dimension ref="A1:X70"/>
  <sheetViews>
    <sheetView topLeftCell="A32" zoomScale="76" zoomScaleNormal="90" workbookViewId="0">
      <selection activeCell="AE17" sqref="AE17"/>
    </sheetView>
  </sheetViews>
  <sheetFormatPr defaultColWidth="9" defaultRowHeight="13.5" x14ac:dyDescent="0.25"/>
  <cols>
    <col min="1" max="1" width="4.375" style="5" customWidth="1"/>
    <col min="2" max="2" width="29" style="5" customWidth="1"/>
    <col min="3" max="3" width="14.875" style="5" bestFit="1" customWidth="1"/>
    <col min="4" max="4" width="9" style="5"/>
    <col min="5" max="5" width="11.375" style="5" customWidth="1"/>
    <col min="6" max="6" width="12.125" style="5" customWidth="1"/>
    <col min="7" max="7" width="14.375" style="5" customWidth="1"/>
    <col min="8" max="8" width="3.375" style="5" customWidth="1"/>
    <col min="9" max="12" width="10.625" style="5" customWidth="1"/>
    <col min="13" max="13" width="3.625" style="5" customWidth="1"/>
    <col min="14" max="17" width="10.625" style="5" customWidth="1"/>
    <col min="18" max="18" width="3.625" style="5" customWidth="1"/>
    <col min="19" max="21" width="12.375" style="58" customWidth="1"/>
    <col min="22" max="22" width="2.375" style="5" customWidth="1"/>
    <col min="23" max="23" width="12.625" style="58" customWidth="1"/>
    <col min="24" max="24" width="14.125" style="58" bestFit="1" customWidth="1"/>
    <col min="25" max="16384" width="9" style="5"/>
  </cols>
  <sheetData>
    <row r="1" spans="1:24" ht="15" x14ac:dyDescent="0.25">
      <c r="A1"/>
      <c r="B1"/>
    </row>
    <row r="2" spans="1:24" x14ac:dyDescent="0.25">
      <c r="B2" s="47" t="s">
        <v>157</v>
      </c>
      <c r="C2" s="47" t="s">
        <v>34</v>
      </c>
      <c r="E2" s="5" t="s">
        <v>179</v>
      </c>
    </row>
    <row r="3" spans="1:24" ht="50.25" customHeight="1" x14ac:dyDescent="0.25">
      <c r="B3" s="5" t="str">
        <f>'3-Inputs'!B4</f>
        <v>Discount Rate</v>
      </c>
      <c r="C3" s="48">
        <f>'3-Inputs'!C4</f>
        <v>3.1E-2</v>
      </c>
      <c r="E3" s="49" t="s">
        <v>178</v>
      </c>
      <c r="F3" s="49" t="s">
        <v>174</v>
      </c>
      <c r="G3" s="49" t="s">
        <v>500</v>
      </c>
      <c r="I3" s="49" t="s">
        <v>452</v>
      </c>
      <c r="J3" s="49" t="s">
        <v>453</v>
      </c>
      <c r="K3" s="49" t="s">
        <v>454</v>
      </c>
      <c r="L3" s="49" t="s">
        <v>156</v>
      </c>
      <c r="N3" s="49" t="s">
        <v>452</v>
      </c>
      <c r="O3" s="49" t="s">
        <v>453</v>
      </c>
      <c r="P3" s="49" t="s">
        <v>454</v>
      </c>
      <c r="Q3" s="49" t="s">
        <v>156</v>
      </c>
      <c r="S3" s="49" t="s">
        <v>452</v>
      </c>
      <c r="T3" s="49" t="s">
        <v>453</v>
      </c>
      <c r="U3" s="49" t="s">
        <v>454</v>
      </c>
      <c r="W3" s="32" t="s">
        <v>170</v>
      </c>
      <c r="X3" s="32" t="s">
        <v>250</v>
      </c>
    </row>
    <row r="4" spans="1:24" x14ac:dyDescent="0.25">
      <c r="B4" s="5" t="str">
        <f>'3-Inputs'!B6</f>
        <v>Discount Year</v>
      </c>
      <c r="C4" s="5">
        <f>'3-Inputs'!C6</f>
        <v>2022</v>
      </c>
      <c r="E4" s="2">
        <v>1</v>
      </c>
      <c r="F4" s="2">
        <f>$C$5</f>
        <v>2029</v>
      </c>
      <c r="G4" s="50">
        <f>_xlfn.XLOOKUP(F4,'6-Traffic Data'!$F$9:$F$48,'6-Traffic Data'!$T$9:$T$48)</f>
        <v>387194.52256493975</v>
      </c>
      <c r="I4" s="51">
        <f>($G4/$C$6)*$C$18</f>
        <v>7.5115737377598312E-3</v>
      </c>
      <c r="J4" s="51">
        <f>($G4/$C$6)*$C$19</f>
        <v>0.12442495982624338</v>
      </c>
      <c r="K4" s="51">
        <f>($G4/$C$6)*$C$20</f>
        <v>0.30148901499519037</v>
      </c>
      <c r="L4" s="59">
        <f>K4+J4+I4</f>
        <v>0.43342554855919363</v>
      </c>
      <c r="N4" s="51">
        <f>I4*(1-$C$16)</f>
        <v>3.7557868688799191E-4</v>
      </c>
      <c r="O4" s="51">
        <f>J4*(1-$C$16)</f>
        <v>6.2212479913121748E-3</v>
      </c>
      <c r="P4" s="51">
        <f t="shared" ref="P4:P33" si="0">K4*(1-$C$16)</f>
        <v>1.5074450749759532E-2</v>
      </c>
      <c r="Q4" s="51">
        <f t="shared" ref="Q4:Q33" si="1">L4*(1-$C$16)</f>
        <v>2.1671277427959702E-2</v>
      </c>
      <c r="S4" s="31">
        <f>N4*$C$15</f>
        <v>5266.7023683616217</v>
      </c>
      <c r="T4" s="31">
        <f>O4*$C$14</f>
        <v>1947.2506212807107</v>
      </c>
      <c r="U4" s="31">
        <f>P4*$C$13</f>
        <v>137.17750182281173</v>
      </c>
      <c r="W4" s="31">
        <f t="shared" ref="W4:W23" si="2">U4+T4+S4</f>
        <v>7351.1304914651446</v>
      </c>
      <c r="X4" s="31">
        <f>W4/((1+$C$3)^($F4-$C$4))</f>
        <v>5936.6777438014396</v>
      </c>
    </row>
    <row r="5" spans="1:24" x14ac:dyDescent="0.25">
      <c r="B5" s="5" t="str">
        <f>'3-Inputs'!B9</f>
        <v>Project Start Year</v>
      </c>
      <c r="C5" s="5">
        <f>'3-Inputs'!C9</f>
        <v>2029</v>
      </c>
      <c r="E5" s="2">
        <f>E4+1</f>
        <v>2</v>
      </c>
      <c r="F5" s="2">
        <f>F4+1</f>
        <v>2030</v>
      </c>
      <c r="G5" s="50">
        <f>_xlfn.XLOOKUP(F5,'6-Traffic Data'!$F$9:$F$48,'6-Traffic Data'!$T$9:$T$48)</f>
        <v>792801.11325476761</v>
      </c>
      <c r="I5" s="51">
        <f t="shared" ref="I5:I33" si="3">($G5/$C$6)*$C$18</f>
        <v>1.5380341597142492E-2</v>
      </c>
      <c r="J5" s="51">
        <f t="shared" ref="J5:J33" si="4">($G5/$C$6)*$C$19</f>
        <v>0.25476663774441954</v>
      </c>
      <c r="K5" s="51">
        <f t="shared" ref="K5:K33" si="5">($G5/$C$6)*$C$20</f>
        <v>0.61731458683582485</v>
      </c>
      <c r="L5" s="59">
        <f t="shared" ref="L5:L23" si="6">K5+J5+I5</f>
        <v>0.88746156617738692</v>
      </c>
      <c r="N5" s="51">
        <f>I5*(1-$C$16)</f>
        <v>7.6901707985712535E-4</v>
      </c>
      <c r="O5" s="51">
        <f t="shared" ref="O5:O33" si="7">J5*(1-$C$16)</f>
        <v>1.2738331887220988E-2</v>
      </c>
      <c r="P5" s="51">
        <f t="shared" si="0"/>
        <v>3.086572934179127E-2</v>
      </c>
      <c r="Q5" s="51">
        <f t="shared" si="1"/>
        <v>4.4373078308869385E-2</v>
      </c>
      <c r="S5" s="31">
        <f t="shared" ref="S5:S33" si="8">N5*$C$15</f>
        <v>10783.849609128483</v>
      </c>
      <c r="T5" s="31">
        <f t="shared" ref="T5:T33" si="9">O5*$C$14</f>
        <v>3987.0978807001693</v>
      </c>
      <c r="U5" s="31">
        <f t="shared" ref="U5:U33" si="10">P5*$C$13</f>
        <v>280.87813701030058</v>
      </c>
      <c r="W5" s="31">
        <f t="shared" si="2"/>
        <v>15051.825626838952</v>
      </c>
      <c r="X5" s="31">
        <f t="shared" ref="X5:X23" si="11">W5/((1+$C$3)^($F5-$C$4))</f>
        <v>11790.164272619482</v>
      </c>
    </row>
    <row r="6" spans="1:24" x14ac:dyDescent="0.25">
      <c r="B6" s="5" t="str">
        <f>'3-Inputs'!B25</f>
        <v>100 million multiplier</v>
      </c>
      <c r="C6" s="28">
        <f>'3-Inputs'!C25</f>
        <v>100000000</v>
      </c>
      <c r="E6" s="2">
        <f t="shared" ref="E6:F23" si="12">E5+1</f>
        <v>3</v>
      </c>
      <c r="F6" s="2">
        <f t="shared" si="12"/>
        <v>2031</v>
      </c>
      <c r="G6" s="50">
        <f>_xlfn.XLOOKUP(F6,'6-Traffic Data'!$F$9:$F$48,'6-Traffic Data'!$T$9:$T$48)</f>
        <v>811650.95132845279</v>
      </c>
      <c r="I6" s="51">
        <f t="shared" si="3"/>
        <v>1.5746028455771985E-2</v>
      </c>
      <c r="J6" s="51">
        <f t="shared" si="4"/>
        <v>0.26082403320939829</v>
      </c>
      <c r="K6" s="51">
        <f t="shared" si="5"/>
        <v>0.63199201325189991</v>
      </c>
      <c r="L6" s="59">
        <f t="shared" si="6"/>
        <v>0.90856207491707019</v>
      </c>
      <c r="N6" s="51">
        <f t="shared" ref="N6:N33" si="13">I6*(1-$C$16)</f>
        <v>7.8730142278859994E-4</v>
      </c>
      <c r="O6" s="51">
        <f t="shared" si="7"/>
        <v>1.3041201660469926E-2</v>
      </c>
      <c r="P6" s="51">
        <f t="shared" si="0"/>
        <v>3.1599600662595026E-2</v>
      </c>
      <c r="Q6" s="51">
        <f t="shared" si="1"/>
        <v>4.542810374585355E-2</v>
      </c>
      <c r="S6" s="31">
        <f t="shared" si="8"/>
        <v>11040.249121622259</v>
      </c>
      <c r="T6" s="31">
        <f t="shared" si="9"/>
        <v>4081.8961197270869</v>
      </c>
      <c r="U6" s="31">
        <f t="shared" si="10"/>
        <v>287.55636602961476</v>
      </c>
      <c r="W6" s="31">
        <f t="shared" si="2"/>
        <v>15409.70160737896</v>
      </c>
      <c r="X6" s="31">
        <f t="shared" si="11"/>
        <v>11707.555940735785</v>
      </c>
    </row>
    <row r="7" spans="1:24" x14ac:dyDescent="0.25">
      <c r="B7" s="139" t="str">
        <f>'3-Inputs'!B27</f>
        <v>Fatal Crashes per 100 million VMT - 2021 (Muskogee County)</v>
      </c>
      <c r="C7" s="5">
        <f>'3-Inputs'!C27</f>
        <v>2.27</v>
      </c>
      <c r="E7" s="2">
        <f t="shared" si="12"/>
        <v>4</v>
      </c>
      <c r="F7" s="2">
        <f t="shared" si="12"/>
        <v>2032</v>
      </c>
      <c r="G7" s="50">
        <f>_xlfn.XLOOKUP(F7,'6-Traffic Data'!$F$9:$F$48,'6-Traffic Data'!$T$9:$T$48)</f>
        <v>830948.96787901386</v>
      </c>
      <c r="I7" s="51">
        <f t="shared" si="3"/>
        <v>1.6120409976852868E-2</v>
      </c>
      <c r="J7" s="51">
        <f t="shared" si="4"/>
        <v>0.26702545082792106</v>
      </c>
      <c r="K7" s="51">
        <f t="shared" si="5"/>
        <v>0.64701841383899417</v>
      </c>
      <c r="L7" s="59">
        <f>K7+J7+I7</f>
        <v>0.93016427464376805</v>
      </c>
      <c r="N7" s="51">
        <f t="shared" si="13"/>
        <v>8.0602049884264412E-4</v>
      </c>
      <c r="O7" s="51">
        <f t="shared" si="7"/>
        <v>1.3351272541396064E-2</v>
      </c>
      <c r="P7" s="51">
        <f t="shared" si="0"/>
        <v>3.2350920691949739E-2</v>
      </c>
      <c r="Q7" s="51">
        <f t="shared" si="1"/>
        <v>4.6508213732188441E-2</v>
      </c>
      <c r="S7" s="31">
        <f t="shared" si="8"/>
        <v>11302.744853220514</v>
      </c>
      <c r="T7" s="31">
        <f t="shared" si="9"/>
        <v>4178.9483054569682</v>
      </c>
      <c r="U7" s="31">
        <f t="shared" si="10"/>
        <v>294.39337829674264</v>
      </c>
      <c r="W7" s="31">
        <f t="shared" si="2"/>
        <v>15776.086536974224</v>
      </c>
      <c r="X7" s="31">
        <f t="shared" si="11"/>
        <v>11625.52640795435</v>
      </c>
    </row>
    <row r="8" spans="1:24" x14ac:dyDescent="0.25">
      <c r="B8" s="139" t="str">
        <f>'3-Inputs'!B28</f>
        <v>Injuries per 100 million VMT- 2021 (Muskogee County)</v>
      </c>
      <c r="C8" s="5">
        <f>'3-Inputs'!C28</f>
        <v>38.33</v>
      </c>
      <c r="E8" s="2">
        <f t="shared" si="12"/>
        <v>5</v>
      </c>
      <c r="F8" s="2">
        <f t="shared" si="12"/>
        <v>2033</v>
      </c>
      <c r="G8" s="50">
        <f>_xlfn.XLOOKUP(F8,'6-Traffic Data'!$F$9:$F$48,'6-Traffic Data'!$T$9:$T$48)</f>
        <v>850705.81891030376</v>
      </c>
      <c r="I8" s="51">
        <f t="shared" si="3"/>
        <v>1.6503692886859895E-2</v>
      </c>
      <c r="J8" s="51">
        <f t="shared" si="4"/>
        <v>0.27337431490682612</v>
      </c>
      <c r="K8" s="51">
        <f t="shared" si="5"/>
        <v>0.66240208589450822</v>
      </c>
      <c r="L8" s="59">
        <f t="shared" si="6"/>
        <v>0.95228009368819422</v>
      </c>
      <c r="N8" s="51">
        <f t="shared" si="13"/>
        <v>8.2518464434299548E-4</v>
      </c>
      <c r="O8" s="51">
        <f t="shared" si="7"/>
        <v>1.3668715745341318E-2</v>
      </c>
      <c r="P8" s="51">
        <f t="shared" si="0"/>
        <v>3.3120104294725443E-2</v>
      </c>
      <c r="Q8" s="51">
        <f t="shared" si="1"/>
        <v>4.7614004684409753E-2</v>
      </c>
      <c r="S8" s="31">
        <f t="shared" si="8"/>
        <v>11571.481749157392</v>
      </c>
      <c r="T8" s="31">
        <f t="shared" si="9"/>
        <v>4278.3080282918327</v>
      </c>
      <c r="U8" s="31">
        <f t="shared" si="10"/>
        <v>301.39294908200151</v>
      </c>
      <c r="W8" s="31">
        <f t="shared" si="2"/>
        <v>16151.182726531228</v>
      </c>
      <c r="X8" s="31">
        <f t="shared" si="11"/>
        <v>11544.071618892487</v>
      </c>
    </row>
    <row r="9" spans="1:24" x14ac:dyDescent="0.25">
      <c r="B9" s="139" t="str">
        <f>'3-Inputs'!B30</f>
        <v>PDO Crashes per 100 million VMT- 2023 (Muskogee County)</v>
      </c>
      <c r="C9" s="5">
        <f>'3-Inputs'!C30</f>
        <v>73.900000000000006</v>
      </c>
      <c r="E9" s="2">
        <f t="shared" si="12"/>
        <v>6</v>
      </c>
      <c r="F9" s="2">
        <f t="shared" si="12"/>
        <v>2034</v>
      </c>
      <c r="G9" s="50">
        <f>_xlfn.XLOOKUP(F9,'6-Traffic Data'!$F$9:$F$48,'6-Traffic Data'!$T$9:$T$48)</f>
        <v>870932.41378599463</v>
      </c>
      <c r="I9" s="51">
        <f t="shared" si="3"/>
        <v>1.6896088827448297E-2</v>
      </c>
      <c r="J9" s="51">
        <f t="shared" si="4"/>
        <v>0.27987413117012938</v>
      </c>
      <c r="K9" s="51">
        <f t="shared" si="5"/>
        <v>0.67815152399446477</v>
      </c>
      <c r="L9" s="59">
        <f>K9+J9+I9</f>
        <v>0.97492174399204246</v>
      </c>
      <c r="N9" s="51">
        <f t="shared" si="13"/>
        <v>8.4480444137241561E-4</v>
      </c>
      <c r="O9" s="51">
        <f t="shared" si="7"/>
        <v>1.3993706558506482E-2</v>
      </c>
      <c r="P9" s="51">
        <f t="shared" si="0"/>
        <v>3.3907576199723267E-2</v>
      </c>
      <c r="Q9" s="51">
        <f t="shared" si="1"/>
        <v>4.8746087199602169E-2</v>
      </c>
      <c r="S9" s="31">
        <f t="shared" si="8"/>
        <v>11846.608200921246</v>
      </c>
      <c r="T9" s="31">
        <f t="shared" si="9"/>
        <v>4380.0301528125292</v>
      </c>
      <c r="U9" s="31">
        <f t="shared" si="10"/>
        <v>308.55894341748171</v>
      </c>
      <c r="W9" s="31">
        <f t="shared" si="2"/>
        <v>16535.197297151259</v>
      </c>
      <c r="X9" s="31">
        <f t="shared" si="11"/>
        <v>11463.187546581692</v>
      </c>
    </row>
    <row r="10" spans="1:24" x14ac:dyDescent="0.25">
      <c r="B10" s="139" t="str">
        <f>'3-Inputs'!B31</f>
        <v>Fatal Crashes per 100 million VMT - 2021 (Sequoyah County)</v>
      </c>
      <c r="C10" s="5">
        <f>'3-Inputs'!C31</f>
        <v>1.61</v>
      </c>
      <c r="E10" s="2">
        <f t="shared" si="12"/>
        <v>7</v>
      </c>
      <c r="F10" s="2">
        <f t="shared" si="12"/>
        <v>2035</v>
      </c>
      <c r="G10" s="50">
        <f>_xlfn.XLOOKUP(F10,'6-Traffic Data'!$F$9:$F$48,'6-Traffic Data'!$T$9:$T$48)</f>
        <v>891639.9212535253</v>
      </c>
      <c r="I10" s="51">
        <f t="shared" si="3"/>
        <v>1.7297814472318391E-2</v>
      </c>
      <c r="J10" s="51">
        <f t="shared" si="4"/>
        <v>0.28652848869482034</v>
      </c>
      <c r="K10" s="51">
        <f t="shared" si="5"/>
        <v>0.69427542468405756</v>
      </c>
      <c r="L10" s="59">
        <f t="shared" si="6"/>
        <v>0.99810172785119633</v>
      </c>
      <c r="N10" s="51">
        <f t="shared" si="13"/>
        <v>8.6489072361592033E-4</v>
      </c>
      <c r="O10" s="51">
        <f t="shared" si="7"/>
        <v>1.432642443474103E-2</v>
      </c>
      <c r="P10" s="51">
        <f t="shared" si="0"/>
        <v>3.4713771234202911E-2</v>
      </c>
      <c r="Q10" s="51">
        <f t="shared" si="1"/>
        <v>4.9905086392559861E-2</v>
      </c>
      <c r="S10" s="31">
        <f t="shared" si="8"/>
        <v>12128.276128193689</v>
      </c>
      <c r="T10" s="31">
        <f t="shared" si="9"/>
        <v>4484.1708480739426</v>
      </c>
      <c r="U10" s="31">
        <f t="shared" si="10"/>
        <v>315.89531823124651</v>
      </c>
      <c r="W10" s="31">
        <f t="shared" si="2"/>
        <v>16928.342294498878</v>
      </c>
      <c r="X10" s="31">
        <f t="shared" si="11"/>
        <v>11382.870192268634</v>
      </c>
    </row>
    <row r="11" spans="1:24" x14ac:dyDescent="0.25">
      <c r="B11" s="139" t="str">
        <f>'3-Inputs'!B32</f>
        <v>Injuries per 100 million VMT- 2021 (Sequoyah County)</v>
      </c>
      <c r="C11" s="5">
        <f>'3-Inputs'!C32</f>
        <v>25.94</v>
      </c>
      <c r="E11" s="2">
        <f t="shared" si="12"/>
        <v>8</v>
      </c>
      <c r="F11" s="2">
        <f t="shared" si="12"/>
        <v>2036</v>
      </c>
      <c r="G11" s="50">
        <f>_xlfn.XLOOKUP(F11,'6-Traffic Data'!$F$9:$F$48,'6-Traffic Data'!$T$9:$T$48)</f>
        <v>912839.77561127429</v>
      </c>
      <c r="I11" s="51">
        <f t="shared" si="3"/>
        <v>1.7709091646858723E-2</v>
      </c>
      <c r="J11" s="51">
        <f t="shared" si="4"/>
        <v>0.293341061892683</v>
      </c>
      <c r="K11" s="51">
        <f t="shared" si="5"/>
        <v>0.71078269127971883</v>
      </c>
      <c r="L11" s="59">
        <f t="shared" si="6"/>
        <v>1.0218328448192606</v>
      </c>
      <c r="N11" s="51">
        <f t="shared" si="13"/>
        <v>8.8545458234293693E-4</v>
      </c>
      <c r="O11" s="51">
        <f t="shared" si="7"/>
        <v>1.4667053094634163E-2</v>
      </c>
      <c r="P11" s="51">
        <f t="shared" si="0"/>
        <v>3.5539134563985976E-2</v>
      </c>
      <c r="Q11" s="51">
        <f t="shared" si="1"/>
        <v>5.1091642240963075E-2</v>
      </c>
      <c r="S11" s="31">
        <f t="shared" si="8"/>
        <v>12416.64106273677</v>
      </c>
      <c r="T11" s="31">
        <f t="shared" si="9"/>
        <v>4590.787618620493</v>
      </c>
      <c r="U11" s="31">
        <f t="shared" si="10"/>
        <v>323.40612453227237</v>
      </c>
      <c r="W11" s="31">
        <f t="shared" si="2"/>
        <v>17330.834805889535</v>
      </c>
      <c r="X11" s="31">
        <f t="shared" si="11"/>
        <v>11303.115585217425</v>
      </c>
    </row>
    <row r="12" spans="1:24" x14ac:dyDescent="0.25">
      <c r="B12" s="139" t="str">
        <f>'3-Inputs'!B34</f>
        <v>PDO Crashes per 100 million VMT- 2023 (Sequoyah County)</v>
      </c>
      <c r="C12" s="5">
        <f>'3-Inputs'!C34</f>
        <v>81.83</v>
      </c>
      <c r="E12" s="2">
        <f t="shared" si="12"/>
        <v>9</v>
      </c>
      <c r="F12" s="2">
        <f t="shared" si="12"/>
        <v>2037</v>
      </c>
      <c r="G12" s="50">
        <f>_xlfn.XLOOKUP(F12,'6-Traffic Data'!$F$9:$F$48,'6-Traffic Data'!$T$9:$T$48)</f>
        <v>934543.68302236556</v>
      </c>
      <c r="I12" s="51">
        <f t="shared" si="3"/>
        <v>1.8130147450633891E-2</v>
      </c>
      <c r="J12" s="51">
        <f t="shared" si="4"/>
        <v>0.30031561253923716</v>
      </c>
      <c r="K12" s="51">
        <f t="shared" si="5"/>
        <v>0.72768243878536509</v>
      </c>
      <c r="L12" s="59">
        <f t="shared" si="6"/>
        <v>1.0461281987752362</v>
      </c>
      <c r="N12" s="51">
        <f t="shared" si="13"/>
        <v>9.0650737253169535E-4</v>
      </c>
      <c r="O12" s="51">
        <f t="shared" si="7"/>
        <v>1.5015780626961871E-2</v>
      </c>
      <c r="P12" s="51">
        <f t="shared" si="0"/>
        <v>3.6384121939268287E-2</v>
      </c>
      <c r="Q12" s="51">
        <f t="shared" si="1"/>
        <v>5.2306409938761858E-2</v>
      </c>
      <c r="S12" s="31">
        <f t="shared" si="8"/>
        <v>12711.862234274711</v>
      </c>
      <c r="T12" s="31">
        <f t="shared" si="9"/>
        <v>4699.9393362390656</v>
      </c>
      <c r="U12" s="31">
        <f t="shared" si="10"/>
        <v>331.09550964734143</v>
      </c>
      <c r="W12" s="31">
        <f t="shared" si="2"/>
        <v>17742.897080161118</v>
      </c>
      <c r="X12" s="31">
        <f t="shared" si="11"/>
        <v>11223.919782513311</v>
      </c>
    </row>
    <row r="13" spans="1:24" x14ac:dyDescent="0.25">
      <c r="B13" s="5" t="str">
        <f>'3-Inputs'!B52</f>
        <v>PDO Crash Value</v>
      </c>
      <c r="C13" s="58">
        <f>'3-Inputs'!C52</f>
        <v>9100</v>
      </c>
      <c r="E13" s="2">
        <f t="shared" si="12"/>
        <v>10</v>
      </c>
      <c r="F13" s="2">
        <f t="shared" si="12"/>
        <v>2038</v>
      </c>
      <c r="G13" s="50">
        <f>_xlfn.XLOOKUP(F13,'6-Traffic Data'!$F$9:$F$48,'6-Traffic Data'!$T$9:$T$48)</f>
        <v>0</v>
      </c>
      <c r="I13" s="51">
        <f t="shared" si="3"/>
        <v>0</v>
      </c>
      <c r="J13" s="51">
        <f t="shared" si="4"/>
        <v>0</v>
      </c>
      <c r="K13" s="51">
        <f t="shared" si="5"/>
        <v>0</v>
      </c>
      <c r="L13" s="59">
        <f t="shared" si="6"/>
        <v>0</v>
      </c>
      <c r="N13" s="51">
        <f t="shared" si="13"/>
        <v>0</v>
      </c>
      <c r="O13" s="51">
        <f t="shared" si="7"/>
        <v>0</v>
      </c>
      <c r="P13" s="51">
        <f t="shared" si="0"/>
        <v>0</v>
      </c>
      <c r="Q13" s="51">
        <f t="shared" si="1"/>
        <v>0</v>
      </c>
      <c r="S13" s="31">
        <f t="shared" si="8"/>
        <v>0</v>
      </c>
      <c r="T13" s="31">
        <f t="shared" si="9"/>
        <v>0</v>
      </c>
      <c r="U13" s="31">
        <f t="shared" si="10"/>
        <v>0</v>
      </c>
      <c r="W13" s="31">
        <f t="shared" si="2"/>
        <v>0</v>
      </c>
      <c r="X13" s="31">
        <f t="shared" si="11"/>
        <v>0</v>
      </c>
    </row>
    <row r="14" spans="1:24" x14ac:dyDescent="0.25">
      <c r="B14" s="5" t="str">
        <f>'3-Inputs'!B53</f>
        <v>Injury Crash Value</v>
      </c>
      <c r="C14" s="58">
        <f>'3-Inputs'!C53</f>
        <v>313000</v>
      </c>
      <c r="E14" s="2">
        <f t="shared" si="12"/>
        <v>11</v>
      </c>
      <c r="F14" s="2">
        <f t="shared" si="12"/>
        <v>2039</v>
      </c>
      <c r="G14" s="50">
        <f>_xlfn.XLOOKUP(F14,'6-Traffic Data'!$F$9:$F$48,'6-Traffic Data'!$T$9:$T$48)</f>
        <v>0</v>
      </c>
      <c r="I14" s="51">
        <f t="shared" si="3"/>
        <v>0</v>
      </c>
      <c r="J14" s="51">
        <f t="shared" si="4"/>
        <v>0</v>
      </c>
      <c r="K14" s="51">
        <f t="shared" si="5"/>
        <v>0</v>
      </c>
      <c r="L14" s="59">
        <f t="shared" si="6"/>
        <v>0</v>
      </c>
      <c r="N14" s="51">
        <f t="shared" si="13"/>
        <v>0</v>
      </c>
      <c r="O14" s="51">
        <f t="shared" si="7"/>
        <v>0</v>
      </c>
      <c r="P14" s="51">
        <f t="shared" si="0"/>
        <v>0</v>
      </c>
      <c r="Q14" s="51">
        <f t="shared" si="1"/>
        <v>0</v>
      </c>
      <c r="S14" s="31">
        <f t="shared" si="8"/>
        <v>0</v>
      </c>
      <c r="T14" s="31">
        <f t="shared" si="9"/>
        <v>0</v>
      </c>
      <c r="U14" s="31">
        <f t="shared" si="10"/>
        <v>0</v>
      </c>
      <c r="W14" s="31">
        <f t="shared" si="2"/>
        <v>0</v>
      </c>
      <c r="X14" s="31">
        <f t="shared" si="11"/>
        <v>0</v>
      </c>
    </row>
    <row r="15" spans="1:24" x14ac:dyDescent="0.25">
      <c r="B15" s="5" t="str">
        <f>'3-Inputs'!B54</f>
        <v>Fatal Crash Value</v>
      </c>
      <c r="C15" s="58">
        <f>'3-Inputs'!C54</f>
        <v>14022900</v>
      </c>
      <c r="E15" s="2">
        <f t="shared" si="12"/>
        <v>12</v>
      </c>
      <c r="F15" s="2">
        <f t="shared" si="12"/>
        <v>2040</v>
      </c>
      <c r="G15" s="50">
        <f>_xlfn.XLOOKUP(F15,'6-Traffic Data'!$F$9:$F$48,'6-Traffic Data'!$T$9:$T$48)</f>
        <v>0</v>
      </c>
      <c r="I15" s="51">
        <f t="shared" si="3"/>
        <v>0</v>
      </c>
      <c r="J15" s="51">
        <f t="shared" si="4"/>
        <v>0</v>
      </c>
      <c r="K15" s="51">
        <f t="shared" si="5"/>
        <v>0</v>
      </c>
      <c r="L15" s="59">
        <f t="shared" si="6"/>
        <v>0</v>
      </c>
      <c r="N15" s="51">
        <f t="shared" si="13"/>
        <v>0</v>
      </c>
      <c r="O15" s="51">
        <f t="shared" si="7"/>
        <v>0</v>
      </c>
      <c r="P15" s="51">
        <f t="shared" si="0"/>
        <v>0</v>
      </c>
      <c r="Q15" s="51">
        <f t="shared" si="1"/>
        <v>0</v>
      </c>
      <c r="S15" s="31">
        <f t="shared" si="8"/>
        <v>0</v>
      </c>
      <c r="T15" s="31">
        <f t="shared" si="9"/>
        <v>0</v>
      </c>
      <c r="U15" s="31">
        <f t="shared" si="10"/>
        <v>0</v>
      </c>
      <c r="W15" s="31">
        <f t="shared" si="2"/>
        <v>0</v>
      </c>
      <c r="X15" s="31">
        <f t="shared" si="11"/>
        <v>0</v>
      </c>
    </row>
    <row r="16" spans="1:24" ht="27" x14ac:dyDescent="0.25">
      <c r="B16" s="114" t="str">
        <f>'3-Inputs'!B75</f>
        <v>CMF from widen paved shoulder from 3ft to 5ft</v>
      </c>
      <c r="C16" s="5">
        <f>'3-Inputs'!C75</f>
        <v>0.95</v>
      </c>
      <c r="E16" s="2">
        <f t="shared" si="12"/>
        <v>13</v>
      </c>
      <c r="F16" s="2">
        <f t="shared" si="12"/>
        <v>2041</v>
      </c>
      <c r="G16" s="50">
        <f>_xlfn.XLOOKUP(F16,'6-Traffic Data'!$F$9:$F$48,'6-Traffic Data'!$T$9:$T$48)</f>
        <v>0</v>
      </c>
      <c r="I16" s="51">
        <f t="shared" si="3"/>
        <v>0</v>
      </c>
      <c r="J16" s="51">
        <f t="shared" si="4"/>
        <v>0</v>
      </c>
      <c r="K16" s="51">
        <f t="shared" si="5"/>
        <v>0</v>
      </c>
      <c r="L16" s="59">
        <f t="shared" si="6"/>
        <v>0</v>
      </c>
      <c r="N16" s="51">
        <f t="shared" si="13"/>
        <v>0</v>
      </c>
      <c r="O16" s="51">
        <f t="shared" si="7"/>
        <v>0</v>
      </c>
      <c r="P16" s="51">
        <f t="shared" si="0"/>
        <v>0</v>
      </c>
      <c r="Q16" s="51">
        <f t="shared" si="1"/>
        <v>0</v>
      </c>
      <c r="S16" s="31">
        <f t="shared" si="8"/>
        <v>0</v>
      </c>
      <c r="T16" s="31">
        <f t="shared" si="9"/>
        <v>0</v>
      </c>
      <c r="U16" s="31">
        <f t="shared" si="10"/>
        <v>0</v>
      </c>
      <c r="W16" s="31">
        <f t="shared" si="2"/>
        <v>0</v>
      </c>
      <c r="X16" s="31">
        <f t="shared" si="11"/>
        <v>0</v>
      </c>
    </row>
    <row r="17" spans="2:24" x14ac:dyDescent="0.25">
      <c r="B17" s="47" t="s">
        <v>447</v>
      </c>
      <c r="E17" s="2">
        <f t="shared" si="12"/>
        <v>14</v>
      </c>
      <c r="F17" s="2">
        <f t="shared" si="12"/>
        <v>2042</v>
      </c>
      <c r="G17" s="50">
        <f>_xlfn.XLOOKUP(F17,'6-Traffic Data'!$F$9:$F$48,'6-Traffic Data'!$T$9:$T$48)</f>
        <v>0</v>
      </c>
      <c r="I17" s="51">
        <f t="shared" si="3"/>
        <v>0</v>
      </c>
      <c r="J17" s="51">
        <f t="shared" si="4"/>
        <v>0</v>
      </c>
      <c r="K17" s="51">
        <f t="shared" si="5"/>
        <v>0</v>
      </c>
      <c r="L17" s="59">
        <f t="shared" si="6"/>
        <v>0</v>
      </c>
      <c r="N17" s="51">
        <f t="shared" si="13"/>
        <v>0</v>
      </c>
      <c r="O17" s="51">
        <f t="shared" si="7"/>
        <v>0</v>
      </c>
      <c r="P17" s="51">
        <f t="shared" si="0"/>
        <v>0</v>
      </c>
      <c r="Q17" s="51">
        <f t="shared" si="1"/>
        <v>0</v>
      </c>
      <c r="S17" s="31">
        <f t="shared" si="8"/>
        <v>0</v>
      </c>
      <c r="T17" s="31">
        <f t="shared" si="9"/>
        <v>0</v>
      </c>
      <c r="U17" s="31">
        <f t="shared" si="10"/>
        <v>0</v>
      </c>
      <c r="W17" s="31">
        <f t="shared" si="2"/>
        <v>0</v>
      </c>
      <c r="X17" s="31">
        <f t="shared" si="11"/>
        <v>0</v>
      </c>
    </row>
    <row r="18" spans="2:24" x14ac:dyDescent="0.25">
      <c r="B18" s="5" t="s">
        <v>448</v>
      </c>
      <c r="C18" s="61">
        <f>AVERAGE(C7,C10)</f>
        <v>1.94</v>
      </c>
      <c r="E18" s="2">
        <f t="shared" si="12"/>
        <v>15</v>
      </c>
      <c r="F18" s="2">
        <f t="shared" si="12"/>
        <v>2043</v>
      </c>
      <c r="G18" s="50">
        <f>_xlfn.XLOOKUP(F18,'6-Traffic Data'!$F$9:$F$48,'6-Traffic Data'!$T$9:$T$48)</f>
        <v>0</v>
      </c>
      <c r="I18" s="51">
        <f t="shared" si="3"/>
        <v>0</v>
      </c>
      <c r="J18" s="51">
        <f t="shared" si="4"/>
        <v>0</v>
      </c>
      <c r="K18" s="51">
        <f t="shared" si="5"/>
        <v>0</v>
      </c>
      <c r="L18" s="59">
        <f t="shared" si="6"/>
        <v>0</v>
      </c>
      <c r="N18" s="51">
        <f t="shared" si="13"/>
        <v>0</v>
      </c>
      <c r="O18" s="51">
        <f t="shared" si="7"/>
        <v>0</v>
      </c>
      <c r="P18" s="51">
        <f t="shared" si="0"/>
        <v>0</v>
      </c>
      <c r="Q18" s="51">
        <f t="shared" si="1"/>
        <v>0</v>
      </c>
      <c r="S18" s="31">
        <f t="shared" si="8"/>
        <v>0</v>
      </c>
      <c r="T18" s="31">
        <f t="shared" si="9"/>
        <v>0</v>
      </c>
      <c r="U18" s="31">
        <f t="shared" si="10"/>
        <v>0</v>
      </c>
      <c r="W18" s="31">
        <f t="shared" si="2"/>
        <v>0</v>
      </c>
      <c r="X18" s="31">
        <f t="shared" si="11"/>
        <v>0</v>
      </c>
    </row>
    <row r="19" spans="2:24" x14ac:dyDescent="0.25">
      <c r="B19" s="5" t="s">
        <v>449</v>
      </c>
      <c r="C19" s="61">
        <f>AVERAGE(C8,C11)</f>
        <v>32.134999999999998</v>
      </c>
      <c r="E19" s="2">
        <f t="shared" si="12"/>
        <v>16</v>
      </c>
      <c r="F19" s="2">
        <f t="shared" si="12"/>
        <v>2044</v>
      </c>
      <c r="G19" s="50">
        <f>_xlfn.XLOOKUP(F19,'6-Traffic Data'!$F$9:$F$48,'6-Traffic Data'!$T$9:$T$48)</f>
        <v>0</v>
      </c>
      <c r="I19" s="51">
        <f t="shared" si="3"/>
        <v>0</v>
      </c>
      <c r="J19" s="51">
        <f t="shared" si="4"/>
        <v>0</v>
      </c>
      <c r="K19" s="51">
        <f t="shared" si="5"/>
        <v>0</v>
      </c>
      <c r="L19" s="59">
        <f t="shared" si="6"/>
        <v>0</v>
      </c>
      <c r="N19" s="51">
        <f t="shared" si="13"/>
        <v>0</v>
      </c>
      <c r="O19" s="51">
        <f t="shared" si="7"/>
        <v>0</v>
      </c>
      <c r="P19" s="51">
        <f t="shared" si="0"/>
        <v>0</v>
      </c>
      <c r="Q19" s="51">
        <f t="shared" si="1"/>
        <v>0</v>
      </c>
      <c r="S19" s="31">
        <f t="shared" si="8"/>
        <v>0</v>
      </c>
      <c r="T19" s="31">
        <f t="shared" si="9"/>
        <v>0</v>
      </c>
      <c r="U19" s="31">
        <f t="shared" si="10"/>
        <v>0</v>
      </c>
      <c r="W19" s="31">
        <f t="shared" si="2"/>
        <v>0</v>
      </c>
      <c r="X19" s="31">
        <f t="shared" si="11"/>
        <v>0</v>
      </c>
    </row>
    <row r="20" spans="2:24" x14ac:dyDescent="0.25">
      <c r="B20" s="5" t="s">
        <v>450</v>
      </c>
      <c r="C20" s="122">
        <f>AVERAGE(C9,C12)</f>
        <v>77.865000000000009</v>
      </c>
      <c r="E20" s="2">
        <f t="shared" si="12"/>
        <v>17</v>
      </c>
      <c r="F20" s="2">
        <f t="shared" si="12"/>
        <v>2045</v>
      </c>
      <c r="G20" s="50">
        <f>_xlfn.XLOOKUP(F20,'6-Traffic Data'!$F$9:$F$48,'6-Traffic Data'!$T$9:$T$48)</f>
        <v>0</v>
      </c>
      <c r="I20" s="51">
        <f t="shared" si="3"/>
        <v>0</v>
      </c>
      <c r="J20" s="51">
        <f t="shared" si="4"/>
        <v>0</v>
      </c>
      <c r="K20" s="51">
        <f t="shared" si="5"/>
        <v>0</v>
      </c>
      <c r="L20" s="59">
        <f t="shared" si="6"/>
        <v>0</v>
      </c>
      <c r="N20" s="51">
        <f t="shared" si="13"/>
        <v>0</v>
      </c>
      <c r="O20" s="51">
        <f t="shared" si="7"/>
        <v>0</v>
      </c>
      <c r="P20" s="51">
        <f t="shared" si="0"/>
        <v>0</v>
      </c>
      <c r="Q20" s="51">
        <f t="shared" si="1"/>
        <v>0</v>
      </c>
      <c r="S20" s="31">
        <f t="shared" si="8"/>
        <v>0</v>
      </c>
      <c r="T20" s="31">
        <f t="shared" si="9"/>
        <v>0</v>
      </c>
      <c r="U20" s="31">
        <f t="shared" si="10"/>
        <v>0</v>
      </c>
      <c r="W20" s="31">
        <f t="shared" si="2"/>
        <v>0</v>
      </c>
      <c r="X20" s="31">
        <f t="shared" si="11"/>
        <v>0</v>
      </c>
    </row>
    <row r="21" spans="2:24" x14ac:dyDescent="0.25">
      <c r="E21" s="2">
        <f t="shared" si="12"/>
        <v>18</v>
      </c>
      <c r="F21" s="2">
        <f t="shared" si="12"/>
        <v>2046</v>
      </c>
      <c r="G21" s="50">
        <f>_xlfn.XLOOKUP(F21,'6-Traffic Data'!$F$9:$F$48,'6-Traffic Data'!$T$9:$T$48)</f>
        <v>0</v>
      </c>
      <c r="I21" s="51">
        <f t="shared" si="3"/>
        <v>0</v>
      </c>
      <c r="J21" s="51">
        <f t="shared" si="4"/>
        <v>0</v>
      </c>
      <c r="K21" s="51">
        <f t="shared" si="5"/>
        <v>0</v>
      </c>
      <c r="L21" s="59">
        <f t="shared" si="6"/>
        <v>0</v>
      </c>
      <c r="N21" s="51">
        <f t="shared" si="13"/>
        <v>0</v>
      </c>
      <c r="O21" s="51">
        <f t="shared" si="7"/>
        <v>0</v>
      </c>
      <c r="P21" s="51">
        <f t="shared" si="0"/>
        <v>0</v>
      </c>
      <c r="Q21" s="51">
        <f t="shared" si="1"/>
        <v>0</v>
      </c>
      <c r="S21" s="31">
        <f t="shared" si="8"/>
        <v>0</v>
      </c>
      <c r="T21" s="31">
        <f t="shared" si="9"/>
        <v>0</v>
      </c>
      <c r="U21" s="31">
        <f t="shared" si="10"/>
        <v>0</v>
      </c>
      <c r="W21" s="31">
        <f t="shared" si="2"/>
        <v>0</v>
      </c>
      <c r="X21" s="31">
        <f t="shared" si="11"/>
        <v>0</v>
      </c>
    </row>
    <row r="22" spans="2:24" x14ac:dyDescent="0.25">
      <c r="E22" s="2">
        <f t="shared" si="12"/>
        <v>19</v>
      </c>
      <c r="F22" s="2">
        <f t="shared" si="12"/>
        <v>2047</v>
      </c>
      <c r="G22" s="50">
        <f>_xlfn.XLOOKUP(F22,'6-Traffic Data'!$F$9:$F$48,'6-Traffic Data'!$T$9:$T$48)</f>
        <v>0</v>
      </c>
      <c r="I22" s="51">
        <f t="shared" si="3"/>
        <v>0</v>
      </c>
      <c r="J22" s="51">
        <f t="shared" si="4"/>
        <v>0</v>
      </c>
      <c r="K22" s="51">
        <f t="shared" si="5"/>
        <v>0</v>
      </c>
      <c r="L22" s="59">
        <f t="shared" si="6"/>
        <v>0</v>
      </c>
      <c r="N22" s="51">
        <f t="shared" si="13"/>
        <v>0</v>
      </c>
      <c r="O22" s="51">
        <f t="shared" si="7"/>
        <v>0</v>
      </c>
      <c r="P22" s="51">
        <f t="shared" si="0"/>
        <v>0</v>
      </c>
      <c r="Q22" s="51">
        <f t="shared" si="1"/>
        <v>0</v>
      </c>
      <c r="S22" s="31">
        <f t="shared" si="8"/>
        <v>0</v>
      </c>
      <c r="T22" s="31">
        <f t="shared" si="9"/>
        <v>0</v>
      </c>
      <c r="U22" s="31">
        <f t="shared" si="10"/>
        <v>0</v>
      </c>
      <c r="W22" s="31">
        <f t="shared" si="2"/>
        <v>0</v>
      </c>
      <c r="X22" s="31">
        <f t="shared" si="11"/>
        <v>0</v>
      </c>
    </row>
    <row r="23" spans="2:24" x14ac:dyDescent="0.25">
      <c r="E23" s="2">
        <f t="shared" si="12"/>
        <v>20</v>
      </c>
      <c r="F23" s="2">
        <f t="shared" si="12"/>
        <v>2048</v>
      </c>
      <c r="G23" s="50">
        <f>_xlfn.XLOOKUP(F23,'6-Traffic Data'!$F$9:$F$48,'6-Traffic Data'!$T$9:$T$48)</f>
        <v>0</v>
      </c>
      <c r="I23" s="51">
        <f t="shared" si="3"/>
        <v>0</v>
      </c>
      <c r="J23" s="51">
        <f t="shared" si="4"/>
        <v>0</v>
      </c>
      <c r="K23" s="51">
        <f t="shared" si="5"/>
        <v>0</v>
      </c>
      <c r="L23" s="59">
        <f t="shared" si="6"/>
        <v>0</v>
      </c>
      <c r="N23" s="51">
        <f t="shared" si="13"/>
        <v>0</v>
      </c>
      <c r="O23" s="51">
        <f t="shared" si="7"/>
        <v>0</v>
      </c>
      <c r="P23" s="51">
        <f t="shared" si="0"/>
        <v>0</v>
      </c>
      <c r="Q23" s="51">
        <f t="shared" si="1"/>
        <v>0</v>
      </c>
      <c r="S23" s="31">
        <f t="shared" si="8"/>
        <v>0</v>
      </c>
      <c r="T23" s="31">
        <f t="shared" si="9"/>
        <v>0</v>
      </c>
      <c r="U23" s="31">
        <f t="shared" si="10"/>
        <v>0</v>
      </c>
      <c r="W23" s="31">
        <f t="shared" si="2"/>
        <v>0</v>
      </c>
      <c r="X23" s="31">
        <f t="shared" si="11"/>
        <v>0</v>
      </c>
    </row>
    <row r="24" spans="2:24" x14ac:dyDescent="0.25">
      <c r="E24" s="2">
        <f t="shared" ref="E24:F24" si="14">E23+1</f>
        <v>21</v>
      </c>
      <c r="F24" s="2">
        <f t="shared" si="14"/>
        <v>2049</v>
      </c>
      <c r="G24" s="50">
        <f>_xlfn.XLOOKUP(F24,'6-Traffic Data'!$F$9:$F$48,'6-Traffic Data'!$T$9:$T$48)</f>
        <v>0</v>
      </c>
      <c r="I24" s="51">
        <f t="shared" si="3"/>
        <v>0</v>
      </c>
      <c r="J24" s="51">
        <f t="shared" si="4"/>
        <v>0</v>
      </c>
      <c r="K24" s="51">
        <f t="shared" si="5"/>
        <v>0</v>
      </c>
      <c r="L24" s="59">
        <f t="shared" ref="L24:L32" si="15">K24+J24+I24</f>
        <v>0</v>
      </c>
      <c r="N24" s="51">
        <f t="shared" si="13"/>
        <v>0</v>
      </c>
      <c r="O24" s="51">
        <f t="shared" si="7"/>
        <v>0</v>
      </c>
      <c r="P24" s="51">
        <f t="shared" si="0"/>
        <v>0</v>
      </c>
      <c r="Q24" s="51">
        <f t="shared" si="1"/>
        <v>0</v>
      </c>
      <c r="S24" s="31">
        <f t="shared" si="8"/>
        <v>0</v>
      </c>
      <c r="T24" s="31">
        <f t="shared" si="9"/>
        <v>0</v>
      </c>
      <c r="U24" s="31">
        <f t="shared" si="10"/>
        <v>0</v>
      </c>
      <c r="W24" s="31">
        <f t="shared" ref="W24:W32" si="16">U24+T24+S24</f>
        <v>0</v>
      </c>
      <c r="X24" s="31">
        <f t="shared" ref="X24:X32" si="17">W24/((1+$C$3)^($F24-$C$4))</f>
        <v>0</v>
      </c>
    </row>
    <row r="25" spans="2:24" x14ac:dyDescent="0.25">
      <c r="E25" s="2">
        <f t="shared" ref="E25:F25" si="18">E24+1</f>
        <v>22</v>
      </c>
      <c r="F25" s="2">
        <f t="shared" si="18"/>
        <v>2050</v>
      </c>
      <c r="G25" s="50">
        <f>_xlfn.XLOOKUP(F25,'6-Traffic Data'!$F$9:$F$48,'6-Traffic Data'!$T$9:$T$48)</f>
        <v>0</v>
      </c>
      <c r="I25" s="51">
        <f t="shared" si="3"/>
        <v>0</v>
      </c>
      <c r="J25" s="51">
        <f t="shared" si="4"/>
        <v>0</v>
      </c>
      <c r="K25" s="51">
        <f t="shared" si="5"/>
        <v>0</v>
      </c>
      <c r="L25" s="59">
        <f t="shared" si="15"/>
        <v>0</v>
      </c>
      <c r="N25" s="51">
        <f t="shared" si="13"/>
        <v>0</v>
      </c>
      <c r="O25" s="51">
        <f t="shared" si="7"/>
        <v>0</v>
      </c>
      <c r="P25" s="51">
        <f t="shared" si="0"/>
        <v>0</v>
      </c>
      <c r="Q25" s="51">
        <f t="shared" si="1"/>
        <v>0</v>
      </c>
      <c r="S25" s="31">
        <f t="shared" si="8"/>
        <v>0</v>
      </c>
      <c r="T25" s="31">
        <f t="shared" si="9"/>
        <v>0</v>
      </c>
      <c r="U25" s="31">
        <f t="shared" si="10"/>
        <v>0</v>
      </c>
      <c r="W25" s="31">
        <f t="shared" si="16"/>
        <v>0</v>
      </c>
      <c r="X25" s="31">
        <f t="shared" si="17"/>
        <v>0</v>
      </c>
    </row>
    <row r="26" spans="2:24" x14ac:dyDescent="0.25">
      <c r="E26" s="2">
        <f t="shared" ref="E26:F26" si="19">E25+1</f>
        <v>23</v>
      </c>
      <c r="F26" s="2">
        <f t="shared" si="19"/>
        <v>2051</v>
      </c>
      <c r="G26" s="50">
        <f>_xlfn.XLOOKUP(F26,'6-Traffic Data'!$F$9:$F$48,'6-Traffic Data'!$T$9:$T$48)</f>
        <v>0</v>
      </c>
      <c r="I26" s="51">
        <f t="shared" si="3"/>
        <v>0</v>
      </c>
      <c r="J26" s="51">
        <f t="shared" si="4"/>
        <v>0</v>
      </c>
      <c r="K26" s="51">
        <f t="shared" si="5"/>
        <v>0</v>
      </c>
      <c r="L26" s="59">
        <f t="shared" si="15"/>
        <v>0</v>
      </c>
      <c r="N26" s="51">
        <f t="shared" si="13"/>
        <v>0</v>
      </c>
      <c r="O26" s="51">
        <f t="shared" si="7"/>
        <v>0</v>
      </c>
      <c r="P26" s="51">
        <f t="shared" si="0"/>
        <v>0</v>
      </c>
      <c r="Q26" s="51">
        <f t="shared" si="1"/>
        <v>0</v>
      </c>
      <c r="S26" s="31">
        <f t="shared" si="8"/>
        <v>0</v>
      </c>
      <c r="T26" s="31">
        <f t="shared" si="9"/>
        <v>0</v>
      </c>
      <c r="U26" s="31">
        <f t="shared" si="10"/>
        <v>0</v>
      </c>
      <c r="W26" s="31">
        <f t="shared" si="16"/>
        <v>0</v>
      </c>
      <c r="X26" s="31">
        <f t="shared" si="17"/>
        <v>0</v>
      </c>
    </row>
    <row r="27" spans="2:24" x14ac:dyDescent="0.25">
      <c r="E27" s="2">
        <f t="shared" ref="E27:F27" si="20">E26+1</f>
        <v>24</v>
      </c>
      <c r="F27" s="2">
        <f t="shared" si="20"/>
        <v>2052</v>
      </c>
      <c r="G27" s="50">
        <f>_xlfn.XLOOKUP(F27,'6-Traffic Data'!$F$9:$F$48,'6-Traffic Data'!$T$9:$T$48)</f>
        <v>0</v>
      </c>
      <c r="I27" s="51">
        <f t="shared" si="3"/>
        <v>0</v>
      </c>
      <c r="J27" s="51">
        <f t="shared" si="4"/>
        <v>0</v>
      </c>
      <c r="K27" s="51">
        <f t="shared" si="5"/>
        <v>0</v>
      </c>
      <c r="L27" s="59">
        <f t="shared" si="15"/>
        <v>0</v>
      </c>
      <c r="N27" s="51">
        <f t="shared" si="13"/>
        <v>0</v>
      </c>
      <c r="O27" s="51">
        <f t="shared" si="7"/>
        <v>0</v>
      </c>
      <c r="P27" s="51">
        <f t="shared" si="0"/>
        <v>0</v>
      </c>
      <c r="Q27" s="51">
        <f t="shared" si="1"/>
        <v>0</v>
      </c>
      <c r="S27" s="31">
        <f t="shared" si="8"/>
        <v>0</v>
      </c>
      <c r="T27" s="31">
        <f t="shared" si="9"/>
        <v>0</v>
      </c>
      <c r="U27" s="31">
        <f t="shared" si="10"/>
        <v>0</v>
      </c>
      <c r="W27" s="31">
        <f t="shared" si="16"/>
        <v>0</v>
      </c>
      <c r="X27" s="31">
        <f t="shared" si="17"/>
        <v>0</v>
      </c>
    </row>
    <row r="28" spans="2:24" x14ac:dyDescent="0.25">
      <c r="E28" s="2">
        <f t="shared" ref="E28:F28" si="21">E27+1</f>
        <v>25</v>
      </c>
      <c r="F28" s="2">
        <f t="shared" si="21"/>
        <v>2053</v>
      </c>
      <c r="G28" s="50">
        <f>_xlfn.XLOOKUP(F28,'6-Traffic Data'!$F$9:$F$48,'6-Traffic Data'!$T$9:$T$48)</f>
        <v>0</v>
      </c>
      <c r="I28" s="51">
        <f t="shared" si="3"/>
        <v>0</v>
      </c>
      <c r="J28" s="51">
        <f t="shared" si="4"/>
        <v>0</v>
      </c>
      <c r="K28" s="51">
        <f t="shared" si="5"/>
        <v>0</v>
      </c>
      <c r="L28" s="59">
        <f t="shared" si="15"/>
        <v>0</v>
      </c>
      <c r="N28" s="51">
        <f t="shared" si="13"/>
        <v>0</v>
      </c>
      <c r="O28" s="51">
        <f t="shared" si="7"/>
        <v>0</v>
      </c>
      <c r="P28" s="51">
        <f t="shared" si="0"/>
        <v>0</v>
      </c>
      <c r="Q28" s="51">
        <f t="shared" si="1"/>
        <v>0</v>
      </c>
      <c r="S28" s="31">
        <f t="shared" si="8"/>
        <v>0</v>
      </c>
      <c r="T28" s="31">
        <f t="shared" si="9"/>
        <v>0</v>
      </c>
      <c r="U28" s="31">
        <f t="shared" si="10"/>
        <v>0</v>
      </c>
      <c r="W28" s="31">
        <f t="shared" si="16"/>
        <v>0</v>
      </c>
      <c r="X28" s="31">
        <f t="shared" si="17"/>
        <v>0</v>
      </c>
    </row>
    <row r="29" spans="2:24" x14ac:dyDescent="0.25">
      <c r="E29" s="2">
        <f t="shared" ref="E29:F29" si="22">E28+1</f>
        <v>26</v>
      </c>
      <c r="F29" s="2">
        <f t="shared" si="22"/>
        <v>2054</v>
      </c>
      <c r="G29" s="50">
        <f>_xlfn.XLOOKUP(F29,'6-Traffic Data'!$F$9:$F$48,'6-Traffic Data'!$T$9:$T$48)</f>
        <v>0</v>
      </c>
      <c r="I29" s="51">
        <f t="shared" si="3"/>
        <v>0</v>
      </c>
      <c r="J29" s="51">
        <f t="shared" si="4"/>
        <v>0</v>
      </c>
      <c r="K29" s="51">
        <f t="shared" si="5"/>
        <v>0</v>
      </c>
      <c r="L29" s="59">
        <f t="shared" si="15"/>
        <v>0</v>
      </c>
      <c r="N29" s="51">
        <f t="shared" si="13"/>
        <v>0</v>
      </c>
      <c r="O29" s="51">
        <f t="shared" si="7"/>
        <v>0</v>
      </c>
      <c r="P29" s="51">
        <f t="shared" si="0"/>
        <v>0</v>
      </c>
      <c r="Q29" s="51">
        <f t="shared" si="1"/>
        <v>0</v>
      </c>
      <c r="S29" s="31">
        <f t="shared" si="8"/>
        <v>0</v>
      </c>
      <c r="T29" s="31">
        <f t="shared" si="9"/>
        <v>0</v>
      </c>
      <c r="U29" s="31">
        <f t="shared" si="10"/>
        <v>0</v>
      </c>
      <c r="W29" s="31">
        <f t="shared" si="16"/>
        <v>0</v>
      </c>
      <c r="X29" s="31">
        <f t="shared" si="17"/>
        <v>0</v>
      </c>
    </row>
    <row r="30" spans="2:24" x14ac:dyDescent="0.25">
      <c r="E30" s="2">
        <f t="shared" ref="E30:F30" si="23">E29+1</f>
        <v>27</v>
      </c>
      <c r="F30" s="2">
        <f t="shared" si="23"/>
        <v>2055</v>
      </c>
      <c r="G30" s="50">
        <f>_xlfn.XLOOKUP(F30,'6-Traffic Data'!$F$9:$F$48,'6-Traffic Data'!$T$9:$T$48)</f>
        <v>0</v>
      </c>
      <c r="I30" s="51">
        <f t="shared" si="3"/>
        <v>0</v>
      </c>
      <c r="J30" s="51">
        <f t="shared" si="4"/>
        <v>0</v>
      </c>
      <c r="K30" s="51">
        <f t="shared" si="5"/>
        <v>0</v>
      </c>
      <c r="L30" s="59">
        <f t="shared" si="15"/>
        <v>0</v>
      </c>
      <c r="N30" s="51">
        <f t="shared" si="13"/>
        <v>0</v>
      </c>
      <c r="O30" s="51">
        <f t="shared" si="7"/>
        <v>0</v>
      </c>
      <c r="P30" s="51">
        <f t="shared" si="0"/>
        <v>0</v>
      </c>
      <c r="Q30" s="51">
        <f t="shared" si="1"/>
        <v>0</v>
      </c>
      <c r="S30" s="31">
        <f t="shared" si="8"/>
        <v>0</v>
      </c>
      <c r="T30" s="31">
        <f t="shared" si="9"/>
        <v>0</v>
      </c>
      <c r="U30" s="31">
        <f t="shared" si="10"/>
        <v>0</v>
      </c>
      <c r="W30" s="31">
        <f t="shared" si="16"/>
        <v>0</v>
      </c>
      <c r="X30" s="31">
        <f t="shared" si="17"/>
        <v>0</v>
      </c>
    </row>
    <row r="31" spans="2:24" x14ac:dyDescent="0.25">
      <c r="E31" s="2">
        <f t="shared" ref="E31:F31" si="24">E30+1</f>
        <v>28</v>
      </c>
      <c r="F31" s="2">
        <f t="shared" si="24"/>
        <v>2056</v>
      </c>
      <c r="G31" s="50">
        <f>_xlfn.XLOOKUP(F31,'6-Traffic Data'!$F$9:$F$48,'6-Traffic Data'!$T$9:$T$48)</f>
        <v>0</v>
      </c>
      <c r="I31" s="51">
        <f t="shared" si="3"/>
        <v>0</v>
      </c>
      <c r="J31" s="51">
        <f t="shared" si="4"/>
        <v>0</v>
      </c>
      <c r="K31" s="51">
        <f t="shared" si="5"/>
        <v>0</v>
      </c>
      <c r="L31" s="59">
        <f t="shared" si="15"/>
        <v>0</v>
      </c>
      <c r="N31" s="51">
        <f t="shared" si="13"/>
        <v>0</v>
      </c>
      <c r="O31" s="51">
        <f t="shared" si="7"/>
        <v>0</v>
      </c>
      <c r="P31" s="51">
        <f t="shared" si="0"/>
        <v>0</v>
      </c>
      <c r="Q31" s="51">
        <f t="shared" si="1"/>
        <v>0</v>
      </c>
      <c r="S31" s="31">
        <f t="shared" si="8"/>
        <v>0</v>
      </c>
      <c r="T31" s="31">
        <f t="shared" si="9"/>
        <v>0</v>
      </c>
      <c r="U31" s="31">
        <f t="shared" si="10"/>
        <v>0</v>
      </c>
      <c r="W31" s="31">
        <f t="shared" si="16"/>
        <v>0</v>
      </c>
      <c r="X31" s="31">
        <f t="shared" si="17"/>
        <v>0</v>
      </c>
    </row>
    <row r="32" spans="2:24" x14ac:dyDescent="0.25">
      <c r="E32" s="2">
        <f t="shared" ref="E32:F33" si="25">E31+1</f>
        <v>29</v>
      </c>
      <c r="F32" s="2">
        <f t="shared" si="25"/>
        <v>2057</v>
      </c>
      <c r="G32" s="50">
        <f>_xlfn.XLOOKUP(F32,'6-Traffic Data'!$F$9:$F$48,'6-Traffic Data'!$T$9:$T$48)</f>
        <v>0</v>
      </c>
      <c r="I32" s="51">
        <f t="shared" si="3"/>
        <v>0</v>
      </c>
      <c r="J32" s="51">
        <f t="shared" si="4"/>
        <v>0</v>
      </c>
      <c r="K32" s="51">
        <f t="shared" si="5"/>
        <v>0</v>
      </c>
      <c r="L32" s="59">
        <f t="shared" si="15"/>
        <v>0</v>
      </c>
      <c r="N32" s="51">
        <f t="shared" si="13"/>
        <v>0</v>
      </c>
      <c r="O32" s="51">
        <f t="shared" si="7"/>
        <v>0</v>
      </c>
      <c r="P32" s="51">
        <f t="shared" si="0"/>
        <v>0</v>
      </c>
      <c r="Q32" s="51">
        <f t="shared" si="1"/>
        <v>0</v>
      </c>
      <c r="S32" s="31">
        <f t="shared" si="8"/>
        <v>0</v>
      </c>
      <c r="T32" s="31">
        <f t="shared" si="9"/>
        <v>0</v>
      </c>
      <c r="U32" s="31">
        <f t="shared" si="10"/>
        <v>0</v>
      </c>
      <c r="W32" s="31">
        <f t="shared" si="16"/>
        <v>0</v>
      </c>
      <c r="X32" s="31">
        <f t="shared" si="17"/>
        <v>0</v>
      </c>
    </row>
    <row r="33" spans="5:24" x14ac:dyDescent="0.25">
      <c r="E33" s="2">
        <f t="shared" si="25"/>
        <v>30</v>
      </c>
      <c r="F33" s="2">
        <f t="shared" si="25"/>
        <v>2058</v>
      </c>
      <c r="G33" s="50">
        <f>_xlfn.XLOOKUP(F33,'6-Traffic Data'!$F$9:$F$48,'6-Traffic Data'!$T$9:$T$48)</f>
        <v>0</v>
      </c>
      <c r="I33" s="51">
        <f t="shared" si="3"/>
        <v>0</v>
      </c>
      <c r="J33" s="51">
        <f t="shared" si="4"/>
        <v>0</v>
      </c>
      <c r="K33" s="51">
        <f t="shared" si="5"/>
        <v>0</v>
      </c>
      <c r="L33" s="59">
        <f t="shared" ref="L33" si="26">K33+J33+I33</f>
        <v>0</v>
      </c>
      <c r="N33" s="51">
        <f t="shared" si="13"/>
        <v>0</v>
      </c>
      <c r="O33" s="51">
        <f t="shared" si="7"/>
        <v>0</v>
      </c>
      <c r="P33" s="51">
        <f t="shared" si="0"/>
        <v>0</v>
      </c>
      <c r="Q33" s="51">
        <f t="shared" si="1"/>
        <v>0</v>
      </c>
      <c r="S33" s="31">
        <f t="shared" si="8"/>
        <v>0</v>
      </c>
      <c r="T33" s="31">
        <f t="shared" si="9"/>
        <v>0</v>
      </c>
      <c r="U33" s="31">
        <f t="shared" si="10"/>
        <v>0</v>
      </c>
      <c r="W33" s="31">
        <f t="shared" ref="W33" si="27">U33+T33+S33</f>
        <v>0</v>
      </c>
      <c r="X33" s="31">
        <f t="shared" ref="X33" si="28">W33/((1+$C$3)^($F33-$C$4))</f>
        <v>0</v>
      </c>
    </row>
    <row r="34" spans="5:24" x14ac:dyDescent="0.25">
      <c r="G34" s="56" t="s">
        <v>156</v>
      </c>
      <c r="I34" s="62">
        <f>SUM(I4:I33)</f>
        <v>0.14129518905164634</v>
      </c>
      <c r="J34" s="62">
        <f t="shared" ref="J34:W34" si="29">SUM(J4:J33)</f>
        <v>2.340474690811678</v>
      </c>
      <c r="K34" s="62">
        <f t="shared" si="29"/>
        <v>5.6711081935600243</v>
      </c>
      <c r="L34" s="62">
        <f t="shared" si="29"/>
        <v>8.1528780734233486</v>
      </c>
      <c r="M34" s="62"/>
      <c r="N34" s="62">
        <f t="shared" si="29"/>
        <v>7.0647594525823244E-3</v>
      </c>
      <c r="O34" s="62">
        <f t="shared" si="29"/>
        <v>0.11702373454058401</v>
      </c>
      <c r="P34" s="62">
        <f t="shared" si="29"/>
        <v>0.28355540967800141</v>
      </c>
      <c r="Q34" s="62">
        <f t="shared" si="29"/>
        <v>0.40764390367116776</v>
      </c>
      <c r="R34" s="62"/>
      <c r="S34" s="57">
        <f>SUM(S4:S33)</f>
        <v>99068.415327616691</v>
      </c>
      <c r="T34" s="57">
        <f t="shared" si="29"/>
        <v>36628.428911202791</v>
      </c>
      <c r="U34" s="57">
        <f t="shared" si="29"/>
        <v>2580.354228069813</v>
      </c>
      <c r="V34" s="62"/>
      <c r="W34" s="57">
        <f t="shared" si="29"/>
        <v>138277.1984668893</v>
      </c>
      <c r="X34" s="57">
        <f>SUM(X4:X33)</f>
        <v>97977.089090584617</v>
      </c>
    </row>
    <row r="36" spans="5:24" x14ac:dyDescent="0.25">
      <c r="E36" s="5" t="s">
        <v>247</v>
      </c>
    </row>
    <row r="37" spans="5:24" ht="54" x14ac:dyDescent="0.25">
      <c r="E37" s="49" t="s">
        <v>178</v>
      </c>
      <c r="F37" s="49" t="s">
        <v>174</v>
      </c>
      <c r="G37" s="49" t="s">
        <v>501</v>
      </c>
      <c r="I37" s="49" t="s">
        <v>452</v>
      </c>
      <c r="J37" s="49" t="s">
        <v>453</v>
      </c>
      <c r="K37" s="49" t="s">
        <v>454</v>
      </c>
      <c r="L37" s="49" t="s">
        <v>156</v>
      </c>
      <c r="N37" s="49" t="s">
        <v>452</v>
      </c>
      <c r="O37" s="49" t="s">
        <v>453</v>
      </c>
      <c r="P37" s="49" t="s">
        <v>454</v>
      </c>
      <c r="Q37" s="49" t="s">
        <v>156</v>
      </c>
      <c r="S37" s="49" t="s">
        <v>452</v>
      </c>
      <c r="T37" s="49" t="s">
        <v>453</v>
      </c>
      <c r="U37" s="49" t="s">
        <v>454</v>
      </c>
      <c r="W37" s="32" t="s">
        <v>170</v>
      </c>
      <c r="X37" s="32" t="s">
        <v>250</v>
      </c>
    </row>
    <row r="38" spans="5:24" x14ac:dyDescent="0.25">
      <c r="E38" s="2">
        <v>1</v>
      </c>
      <c r="F38" s="2">
        <f>$C$5</f>
        <v>2029</v>
      </c>
      <c r="G38" s="50">
        <f>_xlfn.XLOOKUP(F38,'6-Traffic Data'!$F$9:$F$48,'6-Traffic Data'!$U$9:$U$48)</f>
        <v>490343.58593953052</v>
      </c>
      <c r="I38" s="51">
        <f>($G38/$C$6)*$C$18</f>
        <v>9.5126655672268922E-3</v>
      </c>
      <c r="J38" s="51">
        <f>($G38/$C$6)*$C$19</f>
        <v>0.15757191134166812</v>
      </c>
      <c r="K38" s="51">
        <f>($G38/$C$6)*$C$20</f>
        <v>0.3818060331918155</v>
      </c>
      <c r="L38" s="59">
        <f>K38+J38+I38</f>
        <v>0.5488906101007105</v>
      </c>
      <c r="N38" s="51">
        <f>I38*(1-$C$16)</f>
        <v>4.7563327836134503E-4</v>
      </c>
      <c r="O38" s="51">
        <f t="shared" ref="O38:O67" si="30">J38*(1-$C$16)</f>
        <v>7.8785955670834136E-3</v>
      </c>
      <c r="P38" s="51">
        <f t="shared" ref="P38:P67" si="31">K38*(1-$C$16)</f>
        <v>1.9090301659590792E-2</v>
      </c>
      <c r="Q38" s="51">
        <f t="shared" ref="Q38:Q67" si="32">L38*(1-$C$16)</f>
        <v>2.744453050503555E-2</v>
      </c>
      <c r="S38" s="31">
        <f>N38*$C$15</f>
        <v>6669.7578991333048</v>
      </c>
      <c r="T38" s="31">
        <f>O38*$C$14</f>
        <v>2466.0004124971083</v>
      </c>
      <c r="U38" s="31">
        <f>P38*$C$13</f>
        <v>173.7217451022762</v>
      </c>
      <c r="W38" s="31">
        <f t="shared" ref="W38:W57" si="33">U38+T38+S38</f>
        <v>9309.4800567326893</v>
      </c>
      <c r="X38" s="31">
        <f>W38/((1+$C$3)^($F38-$C$4))</f>
        <v>7518.2154803720596</v>
      </c>
    </row>
    <row r="39" spans="5:24" x14ac:dyDescent="0.25">
      <c r="E39" s="2">
        <f>E38+1</f>
        <v>2</v>
      </c>
      <c r="F39" s="2">
        <f>F38+1</f>
        <v>2030</v>
      </c>
      <c r="G39" s="50">
        <f>_xlfn.XLOOKUP(F39,'6-Traffic Data'!$F$9:$F$48,'6-Traffic Data'!$U$9:$U$48)</f>
        <v>1004007.6618671785</v>
      </c>
      <c r="I39" s="51">
        <f t="shared" ref="I39:I67" si="34">($G39/$C$6)*$C$18</f>
        <v>1.9477748640223263E-2</v>
      </c>
      <c r="J39" s="51">
        <f t="shared" ref="J39:J67" si="35">($G39/$C$6)*$C$19</f>
        <v>0.32263786214101781</v>
      </c>
      <c r="K39" s="51">
        <f t="shared" ref="K39:K67" si="36">($G39/$C$6)*$C$20</f>
        <v>0.78177056591287875</v>
      </c>
      <c r="L39" s="59">
        <f t="shared" ref="L39:L57" si="37">K39+J39+I39</f>
        <v>1.1238861766941199</v>
      </c>
      <c r="N39" s="51">
        <f t="shared" ref="N39:N67" si="38">I39*(1-$C$16)</f>
        <v>9.7388743201116403E-4</v>
      </c>
      <c r="O39" s="51">
        <f t="shared" si="30"/>
        <v>1.6131893107050904E-2</v>
      </c>
      <c r="P39" s="51">
        <f t="shared" si="31"/>
        <v>3.9088528295643972E-2</v>
      </c>
      <c r="Q39" s="51">
        <f t="shared" si="32"/>
        <v>5.6194308834706046E-2</v>
      </c>
      <c r="S39" s="31">
        <f>N39*$C$15</f>
        <v>13656.726070349352</v>
      </c>
      <c r="T39" s="31">
        <f t="shared" ref="T39:T67" si="39">O39*$C$14</f>
        <v>5049.2825425069332</v>
      </c>
      <c r="U39" s="31">
        <f t="shared" ref="U39:U67" si="40">P39*$C$13</f>
        <v>355.70560749036014</v>
      </c>
      <c r="W39" s="31">
        <f t="shared" si="33"/>
        <v>19061.714220346646</v>
      </c>
      <c r="X39" s="31">
        <f t="shared" ref="X39:X57" si="41">W39/((1+$C$3)^($F39-$C$4))</f>
        <v>14931.128458921148</v>
      </c>
    </row>
    <row r="40" spans="5:24" x14ac:dyDescent="0.25">
      <c r="E40" s="2">
        <f t="shared" ref="E40:F57" si="42">E39+1</f>
        <v>3</v>
      </c>
      <c r="F40" s="2">
        <f t="shared" si="42"/>
        <v>2031</v>
      </c>
      <c r="G40" s="50">
        <f>_xlfn.XLOOKUP(F40,'6-Traffic Data'!$F$9:$F$48,'6-Traffic Data'!$U$9:$U$48)</f>
        <v>1027882.7071394685</v>
      </c>
      <c r="I40" s="51">
        <f t="shared" si="34"/>
        <v>1.9940924518505689E-2</v>
      </c>
      <c r="J40" s="51">
        <f t="shared" si="35"/>
        <v>0.33031010793926818</v>
      </c>
      <c r="K40" s="51">
        <f t="shared" si="36"/>
        <v>0.80036086991414723</v>
      </c>
      <c r="L40" s="59">
        <f t="shared" si="37"/>
        <v>1.150611902371921</v>
      </c>
      <c r="N40" s="51">
        <f t="shared" si="38"/>
        <v>9.9704622592528534E-4</v>
      </c>
      <c r="O40" s="51">
        <f t="shared" si="30"/>
        <v>1.6515505396963424E-2</v>
      </c>
      <c r="P40" s="51">
        <f t="shared" si="31"/>
        <v>4.0018043495707395E-2</v>
      </c>
      <c r="Q40" s="51">
        <f t="shared" si="32"/>
        <v>5.7530595118596102E-2</v>
      </c>
      <c r="S40" s="31">
        <f t="shared" ref="S40:S67" si="43">N40*$C$15</f>
        <v>13981.479521527684</v>
      </c>
      <c r="T40" s="31">
        <f t="shared" si="39"/>
        <v>5169.3531892495512</v>
      </c>
      <c r="U40" s="31">
        <f t="shared" si="40"/>
        <v>364.16419581093731</v>
      </c>
      <c r="W40" s="31">
        <f t="shared" si="33"/>
        <v>19514.996906588174</v>
      </c>
      <c r="X40" s="31">
        <f t="shared" si="41"/>
        <v>14826.56340715658</v>
      </c>
    </row>
    <row r="41" spans="5:24" x14ac:dyDescent="0.25">
      <c r="E41" s="2">
        <f t="shared" si="42"/>
        <v>4</v>
      </c>
      <c r="F41" s="2">
        <f t="shared" si="42"/>
        <v>2032</v>
      </c>
      <c r="G41" s="50">
        <f>_xlfn.XLOOKUP(F41,'6-Traffic Data'!$F$9:$F$48,'6-Traffic Data'!$U$9:$U$48)</f>
        <v>1052325.4948786777</v>
      </c>
      <c r="I41" s="51">
        <f t="shared" si="34"/>
        <v>2.0415114600646343E-2</v>
      </c>
      <c r="J41" s="51">
        <f t="shared" si="35"/>
        <v>0.338164797779263</v>
      </c>
      <c r="K41" s="51">
        <f t="shared" si="36"/>
        <v>0.81939324658728241</v>
      </c>
      <c r="L41" s="59">
        <f t="shared" si="37"/>
        <v>1.1779731589671918</v>
      </c>
      <c r="N41" s="51">
        <f t="shared" si="38"/>
        <v>1.0207557300323182E-3</v>
      </c>
      <c r="O41" s="51">
        <f t="shared" si="30"/>
        <v>1.6908239888963165E-2</v>
      </c>
      <c r="P41" s="51">
        <f t="shared" si="31"/>
        <v>4.0969662329364158E-2</v>
      </c>
      <c r="Q41" s="51">
        <f t="shared" si="32"/>
        <v>5.8898657948359641E-2</v>
      </c>
      <c r="S41" s="31">
        <f t="shared" si="43"/>
        <v>14313.955526670194</v>
      </c>
      <c r="T41" s="31">
        <f t="shared" si="39"/>
        <v>5292.2790852454709</v>
      </c>
      <c r="U41" s="31">
        <f t="shared" si="40"/>
        <v>372.82392719721383</v>
      </c>
      <c r="W41" s="31">
        <f t="shared" si="33"/>
        <v>19979.058539112877</v>
      </c>
      <c r="X41" s="31">
        <f t="shared" si="41"/>
        <v>14722.730640971136</v>
      </c>
    </row>
    <row r="42" spans="5:24" x14ac:dyDescent="0.25">
      <c r="E42" s="2">
        <f t="shared" si="42"/>
        <v>5</v>
      </c>
      <c r="F42" s="2">
        <f t="shared" si="42"/>
        <v>2033</v>
      </c>
      <c r="G42" s="50">
        <f>_xlfn.XLOOKUP(F42,'6-Traffic Data'!$F$9:$F$48,'6-Traffic Data'!$U$9:$U$48)</f>
        <v>1077349.5258553827</v>
      </c>
      <c r="I42" s="51">
        <f t="shared" si="34"/>
        <v>2.0900580801594425E-2</v>
      </c>
      <c r="J42" s="51">
        <f t="shared" si="35"/>
        <v>0.3462062701336272</v>
      </c>
      <c r="K42" s="51">
        <f t="shared" si="36"/>
        <v>0.83887820830729387</v>
      </c>
      <c r="L42" s="59">
        <f t="shared" si="37"/>
        <v>1.2059850592425156</v>
      </c>
      <c r="N42" s="51">
        <f t="shared" si="38"/>
        <v>1.0450290400797221E-3</v>
      </c>
      <c r="O42" s="51">
        <f t="shared" si="30"/>
        <v>1.7310313506681375E-2</v>
      </c>
      <c r="P42" s="51">
        <f t="shared" si="31"/>
        <v>4.194391041536473E-2</v>
      </c>
      <c r="Q42" s="51">
        <f t="shared" si="32"/>
        <v>6.0299252962125835E-2</v>
      </c>
      <c r="S42" s="31">
        <f t="shared" si="43"/>
        <v>14654.337726133936</v>
      </c>
      <c r="T42" s="31">
        <f t="shared" si="39"/>
        <v>5418.1281275912706</v>
      </c>
      <c r="U42" s="31">
        <f t="shared" si="40"/>
        <v>381.68958477981903</v>
      </c>
      <c r="W42" s="31">
        <f t="shared" si="33"/>
        <v>20454.155438505026</v>
      </c>
      <c r="X42" s="31">
        <f t="shared" si="41"/>
        <v>14619.625032053205</v>
      </c>
    </row>
    <row r="43" spans="5:24" x14ac:dyDescent="0.25">
      <c r="E43" s="2">
        <f t="shared" si="42"/>
        <v>6</v>
      </c>
      <c r="F43" s="2">
        <f t="shared" si="42"/>
        <v>2034</v>
      </c>
      <c r="G43" s="50">
        <f>_xlfn.XLOOKUP(F43,'6-Traffic Data'!$F$9:$F$48,'6-Traffic Data'!$U$9:$U$48)</f>
        <v>1102968.6218850308</v>
      </c>
      <c r="I43" s="51">
        <f t="shared" si="34"/>
        <v>2.1397591264569596E-2</v>
      </c>
      <c r="J43" s="51">
        <f t="shared" si="35"/>
        <v>0.35443896664275465</v>
      </c>
      <c r="K43" s="51">
        <f t="shared" si="36"/>
        <v>0.85882651743077931</v>
      </c>
      <c r="L43" s="59">
        <f t="shared" si="37"/>
        <v>1.2346630753381036</v>
      </c>
      <c r="N43" s="51">
        <f t="shared" si="38"/>
        <v>1.0698795632284807E-3</v>
      </c>
      <c r="O43" s="51">
        <f t="shared" si="30"/>
        <v>1.7721948332137749E-2</v>
      </c>
      <c r="P43" s="51">
        <f t="shared" si="31"/>
        <v>4.2941325871539003E-2</v>
      </c>
      <c r="Q43" s="51">
        <f t="shared" si="32"/>
        <v>6.1733153766905233E-2</v>
      </c>
      <c r="S43" s="31">
        <f t="shared" si="43"/>
        <v>15002.814127196662</v>
      </c>
      <c r="T43" s="31">
        <f t="shared" si="39"/>
        <v>5546.9698279591157</v>
      </c>
      <c r="U43" s="31">
        <f t="shared" si="40"/>
        <v>390.7660654310049</v>
      </c>
      <c r="W43" s="31">
        <f t="shared" si="33"/>
        <v>20940.550020586783</v>
      </c>
      <c r="X43" s="31">
        <f t="shared" si="41"/>
        <v>14517.241488005546</v>
      </c>
    </row>
    <row r="44" spans="5:24" x14ac:dyDescent="0.25">
      <c r="E44" s="2">
        <f t="shared" si="42"/>
        <v>7</v>
      </c>
      <c r="F44" s="2">
        <f t="shared" si="42"/>
        <v>2035</v>
      </c>
      <c r="G44" s="50">
        <f>_xlfn.XLOOKUP(F44,'6-Traffic Data'!$F$9:$F$48,'6-Traffic Data'!$U$9:$U$48)</f>
        <v>1129196.9334623027</v>
      </c>
      <c r="I44" s="51">
        <f t="shared" si="34"/>
        <v>2.1906420509168668E-2</v>
      </c>
      <c r="J44" s="51">
        <f t="shared" si="35"/>
        <v>0.36286743456811094</v>
      </c>
      <c r="K44" s="51">
        <f t="shared" si="36"/>
        <v>0.87924919224042208</v>
      </c>
      <c r="L44" s="59">
        <f t="shared" si="37"/>
        <v>1.2640230473177017</v>
      </c>
      <c r="N44" s="51">
        <f t="shared" si="38"/>
        <v>1.0953210254584344E-3</v>
      </c>
      <c r="O44" s="51">
        <f t="shared" si="30"/>
        <v>1.8143371728405563E-2</v>
      </c>
      <c r="P44" s="51">
        <f t="shared" si="31"/>
        <v>4.3962459612021144E-2</v>
      </c>
      <c r="Q44" s="51">
        <f t="shared" si="32"/>
        <v>6.3201152365885138E-2</v>
      </c>
      <c r="S44" s="31">
        <f t="shared" si="43"/>
        <v>15359.57720790108</v>
      </c>
      <c r="T44" s="31">
        <f t="shared" si="39"/>
        <v>5678.8753509909411</v>
      </c>
      <c r="U44" s="31">
        <f t="shared" si="40"/>
        <v>400.05838246939243</v>
      </c>
      <c r="W44" s="31">
        <f t="shared" si="33"/>
        <v>21438.510941361412</v>
      </c>
      <c r="X44" s="31">
        <f t="shared" si="41"/>
        <v>14415.574952093781</v>
      </c>
    </row>
    <row r="45" spans="5:24" x14ac:dyDescent="0.25">
      <c r="E45" s="2">
        <f t="shared" si="42"/>
        <v>8</v>
      </c>
      <c r="F45" s="2">
        <f t="shared" si="42"/>
        <v>2036</v>
      </c>
      <c r="G45" s="50">
        <f>_xlfn.XLOOKUP(F45,'6-Traffic Data'!$F$9:$F$48,'6-Traffic Data'!$U$9:$U$48)</f>
        <v>1156048.9475770218</v>
      </c>
      <c r="I45" s="51">
        <f t="shared" si="34"/>
        <v>2.2427349582994225E-2</v>
      </c>
      <c r="J45" s="51">
        <f t="shared" si="35"/>
        <v>0.37149632930387594</v>
      </c>
      <c r="K45" s="51">
        <f t="shared" si="36"/>
        <v>0.90015751303084812</v>
      </c>
      <c r="L45" s="59">
        <f t="shared" si="37"/>
        <v>1.2940811919177184</v>
      </c>
      <c r="N45" s="51">
        <f t="shared" si="38"/>
        <v>1.1213674791497122E-3</v>
      </c>
      <c r="O45" s="51">
        <f t="shared" si="30"/>
        <v>1.8574816465193815E-2</v>
      </c>
      <c r="P45" s="51">
        <f t="shared" si="31"/>
        <v>4.5007875651542448E-2</v>
      </c>
      <c r="Q45" s="51">
        <f t="shared" si="32"/>
        <v>6.4704059595885974E-2</v>
      </c>
      <c r="S45" s="31">
        <f t="shared" si="43"/>
        <v>15724.824023368499</v>
      </c>
      <c r="T45" s="31">
        <f t="shared" si="39"/>
        <v>5813.9175536056637</v>
      </c>
      <c r="U45" s="31">
        <f t="shared" si="40"/>
        <v>409.57166842903627</v>
      </c>
      <c r="W45" s="31">
        <f t="shared" si="33"/>
        <v>21948.313245403198</v>
      </c>
      <c r="X45" s="31">
        <f t="shared" si="41"/>
        <v>14314.620402996656</v>
      </c>
    </row>
    <row r="46" spans="5:24" x14ac:dyDescent="0.25">
      <c r="E46" s="2">
        <f t="shared" si="42"/>
        <v>9</v>
      </c>
      <c r="F46" s="2">
        <f t="shared" si="42"/>
        <v>2037</v>
      </c>
      <c r="G46" s="50">
        <f>_xlfn.XLOOKUP(F46,'6-Traffic Data'!$F$9:$F$48,'6-Traffic Data'!$U$9:$U$48)</f>
        <v>1183539.4957159222</v>
      </c>
      <c r="I46" s="51">
        <f t="shared" si="34"/>
        <v>2.296066621688889E-2</v>
      </c>
      <c r="J46" s="51">
        <f t="shared" si="35"/>
        <v>0.3803304169483116</v>
      </c>
      <c r="K46" s="51">
        <f t="shared" si="36"/>
        <v>0.92156302833920301</v>
      </c>
      <c r="L46" s="59">
        <f t="shared" si="37"/>
        <v>1.3248541115044035</v>
      </c>
      <c r="N46" s="51">
        <f t="shared" si="38"/>
        <v>1.1480333108444456E-3</v>
      </c>
      <c r="O46" s="51">
        <f t="shared" si="30"/>
        <v>1.9016520847415598E-2</v>
      </c>
      <c r="P46" s="51">
        <f t="shared" si="31"/>
        <v>4.6078151416960193E-2</v>
      </c>
      <c r="Q46" s="51">
        <f t="shared" si="32"/>
        <v>6.6242705575220232E-2</v>
      </c>
      <c r="S46" s="31">
        <f t="shared" si="43"/>
        <v>16098.756314640576</v>
      </c>
      <c r="T46" s="31">
        <f t="shared" si="39"/>
        <v>5952.1710252410821</v>
      </c>
      <c r="U46" s="31">
        <f t="shared" si="40"/>
        <v>419.31117789433773</v>
      </c>
      <c r="W46" s="31">
        <f t="shared" si="33"/>
        <v>22470.238517775993</v>
      </c>
      <c r="X46" s="31">
        <f t="shared" si="41"/>
        <v>14214.372854557996</v>
      </c>
    </row>
    <row r="47" spans="5:24" x14ac:dyDescent="0.25">
      <c r="E47" s="2">
        <f t="shared" si="42"/>
        <v>10</v>
      </c>
      <c r="F47" s="2">
        <f t="shared" si="42"/>
        <v>2038</v>
      </c>
      <c r="G47" s="50">
        <f>_xlfn.XLOOKUP(F47,'6-Traffic Data'!$F$9:$F$48,'6-Traffic Data'!$U$9:$U$48)</f>
        <v>1211683.7620546978</v>
      </c>
      <c r="I47" s="51">
        <f t="shared" si="34"/>
        <v>2.3506664983861138E-2</v>
      </c>
      <c r="J47" s="51">
        <f t="shared" si="35"/>
        <v>0.38937457693627714</v>
      </c>
      <c r="K47" s="51">
        <f t="shared" si="36"/>
        <v>0.9434775613238906</v>
      </c>
      <c r="L47" s="59">
        <f t="shared" si="37"/>
        <v>1.3563588032440288</v>
      </c>
      <c r="N47" s="51">
        <f t="shared" si="38"/>
        <v>1.1753332491930579E-3</v>
      </c>
      <c r="O47" s="51">
        <f t="shared" si="30"/>
        <v>1.9468728846813874E-2</v>
      </c>
      <c r="P47" s="51">
        <f t="shared" si="31"/>
        <v>4.7173878066194573E-2</v>
      </c>
      <c r="Q47" s="51">
        <f t="shared" si="32"/>
        <v>6.7817940162201495E-2</v>
      </c>
      <c r="S47" s="31">
        <f t="shared" si="43"/>
        <v>16481.580620109333</v>
      </c>
      <c r="T47" s="31">
        <f t="shared" si="39"/>
        <v>6093.7121290527421</v>
      </c>
      <c r="U47" s="31">
        <f t="shared" si="40"/>
        <v>429.28229040237062</v>
      </c>
      <c r="W47" s="31">
        <f t="shared" si="33"/>
        <v>23004.575039564446</v>
      </c>
      <c r="X47" s="31">
        <f t="shared" si="41"/>
        <v>14114.827355540498</v>
      </c>
    </row>
    <row r="48" spans="5:24" x14ac:dyDescent="0.25">
      <c r="E48" s="2">
        <f t="shared" si="42"/>
        <v>11</v>
      </c>
      <c r="F48" s="2">
        <f t="shared" si="42"/>
        <v>2039</v>
      </c>
      <c r="G48" s="50">
        <f>_xlfn.XLOOKUP(F48,'6-Traffic Data'!$F$9:$F$48,'6-Traffic Data'!$U$9:$U$48)</f>
        <v>1240497.2918448539</v>
      </c>
      <c r="I48" s="51">
        <f t="shared" si="34"/>
        <v>2.4065647461790168E-2</v>
      </c>
      <c r="J48" s="51">
        <f t="shared" si="35"/>
        <v>0.39863380473434379</v>
      </c>
      <c r="K48" s="51">
        <f t="shared" si="36"/>
        <v>0.9659132162949956</v>
      </c>
      <c r="L48" s="59">
        <f t="shared" si="37"/>
        <v>1.3886126684911295</v>
      </c>
      <c r="N48" s="51">
        <f t="shared" si="38"/>
        <v>1.2032823730895096E-3</v>
      </c>
      <c r="O48" s="51">
        <f t="shared" si="30"/>
        <v>1.9931690236717207E-2</v>
      </c>
      <c r="P48" s="51">
        <f t="shared" si="31"/>
        <v>4.829566081474982E-2</v>
      </c>
      <c r="Q48" s="51">
        <f t="shared" si="32"/>
        <v>6.9430633424556534E-2</v>
      </c>
      <c r="S48" s="31">
        <f t="shared" si="43"/>
        <v>16873.508389596882</v>
      </c>
      <c r="T48" s="31">
        <f t="shared" si="39"/>
        <v>6238.6190440924856</v>
      </c>
      <c r="U48" s="31">
        <f t="shared" si="40"/>
        <v>439.49051341422336</v>
      </c>
      <c r="W48" s="31">
        <f t="shared" si="33"/>
        <v>23551.61794710359</v>
      </c>
      <c r="X48" s="31">
        <f t="shared" si="41"/>
        <v>14015.978989381128</v>
      </c>
    </row>
    <row r="49" spans="5:24" x14ac:dyDescent="0.25">
      <c r="E49" s="2">
        <f t="shared" si="42"/>
        <v>12</v>
      </c>
      <c r="F49" s="2">
        <f t="shared" si="42"/>
        <v>2040</v>
      </c>
      <c r="G49" s="50">
        <f>_xlfn.XLOOKUP(F49,'6-Traffic Data'!$F$9:$F$48,'6-Traffic Data'!$U$9:$U$48)</f>
        <v>1269995.9999999986</v>
      </c>
      <c r="I49" s="51">
        <f t="shared" si="34"/>
        <v>2.463792239999997E-2</v>
      </c>
      <c r="J49" s="51">
        <f t="shared" si="35"/>
        <v>0.4081132145999995</v>
      </c>
      <c r="K49" s="51">
        <f t="shared" si="36"/>
        <v>0.98888238539999906</v>
      </c>
      <c r="L49" s="59">
        <f t="shared" si="37"/>
        <v>1.4216335223999985</v>
      </c>
      <c r="N49" s="51">
        <f t="shared" si="38"/>
        <v>1.2318961199999996E-3</v>
      </c>
      <c r="O49" s="51">
        <f t="shared" si="30"/>
        <v>2.0405660729999994E-2</v>
      </c>
      <c r="P49" s="51">
        <f t="shared" si="31"/>
        <v>4.9444119269999996E-2</v>
      </c>
      <c r="Q49" s="51">
        <f t="shared" si="32"/>
        <v>7.1081676119999992E-2</v>
      </c>
      <c r="S49" s="31">
        <f t="shared" si="43"/>
        <v>17274.756101147996</v>
      </c>
      <c r="T49" s="31">
        <f t="shared" si="39"/>
        <v>6386.9718084899978</v>
      </c>
      <c r="U49" s="31">
        <f t="shared" si="40"/>
        <v>449.94148535699998</v>
      </c>
      <c r="W49" s="31">
        <f t="shared" si="33"/>
        <v>24111.669394994991</v>
      </c>
      <c r="X49" s="31">
        <f t="shared" si="41"/>
        <v>13917.822873948333</v>
      </c>
    </row>
    <row r="50" spans="5:24" x14ac:dyDescent="0.25">
      <c r="E50" s="2">
        <f t="shared" si="42"/>
        <v>13</v>
      </c>
      <c r="F50" s="2">
        <f t="shared" si="42"/>
        <v>2041</v>
      </c>
      <c r="G50" s="50">
        <f>_xlfn.XLOOKUP(F50,'6-Traffic Data'!$F$9:$F$48,'6-Traffic Data'!$U$9:$U$48)</f>
        <v>1300196.1798863136</v>
      </c>
      <c r="I50" s="51">
        <f t="shared" si="34"/>
        <v>2.5223805889794483E-2</v>
      </c>
      <c r="J50" s="51">
        <f t="shared" si="35"/>
        <v>0.41781804240646686</v>
      </c>
      <c r="K50" s="51">
        <f t="shared" si="36"/>
        <v>1.0123977554684782</v>
      </c>
      <c r="L50" s="59">
        <f t="shared" si="37"/>
        <v>1.4554396037647395</v>
      </c>
      <c r="N50" s="51">
        <f t="shared" si="38"/>
        <v>1.2611902944897253E-3</v>
      </c>
      <c r="O50" s="51">
        <f t="shared" si="30"/>
        <v>2.0890902120323362E-2</v>
      </c>
      <c r="P50" s="51">
        <f t="shared" si="31"/>
        <v>5.0619887773423952E-2</v>
      </c>
      <c r="Q50" s="51">
        <f t="shared" si="32"/>
        <v>7.2771980188237037E-2</v>
      </c>
      <c r="S50" s="31">
        <f t="shared" si="43"/>
        <v>17685.545380599968</v>
      </c>
      <c r="T50" s="31">
        <f t="shared" si="39"/>
        <v>6538.8523636612126</v>
      </c>
      <c r="U50" s="31">
        <f t="shared" si="40"/>
        <v>460.64097873815797</v>
      </c>
      <c r="W50" s="31">
        <f t="shared" si="33"/>
        <v>24685.038722999339</v>
      </c>
      <c r="X50" s="31">
        <f t="shared" si="41"/>
        <v>13820.354161300902</v>
      </c>
    </row>
    <row r="51" spans="5:24" x14ac:dyDescent="0.25">
      <c r="E51" s="2">
        <f t="shared" si="42"/>
        <v>14</v>
      </c>
      <c r="F51" s="2">
        <f t="shared" si="42"/>
        <v>2042</v>
      </c>
      <c r="G51" s="50">
        <f>_xlfn.XLOOKUP(F51,'6-Traffic Data'!$F$9:$F$48,'6-Traffic Data'!$U$9:$U$48)</f>
        <v>1331114.5123220587</v>
      </c>
      <c r="I51" s="51">
        <f t="shared" si="34"/>
        <v>2.5823621539047936E-2</v>
      </c>
      <c r="J51" s="51">
        <f t="shared" si="35"/>
        <v>0.4277536485346935</v>
      </c>
      <c r="K51" s="51">
        <f t="shared" si="36"/>
        <v>1.0364723150195712</v>
      </c>
      <c r="L51" s="59">
        <f t="shared" si="37"/>
        <v>1.4900495850933126</v>
      </c>
      <c r="N51" s="51">
        <f t="shared" si="38"/>
        <v>1.291181076952398E-3</v>
      </c>
      <c r="O51" s="51">
        <f t="shared" si="30"/>
        <v>2.1387682426734694E-2</v>
      </c>
      <c r="P51" s="51">
        <f t="shared" si="31"/>
        <v>5.1823615750978602E-2</v>
      </c>
      <c r="Q51" s="51">
        <f t="shared" si="32"/>
        <v>7.4502479254665702E-2</v>
      </c>
      <c r="S51" s="31">
        <f t="shared" si="43"/>
        <v>18106.103123995781</v>
      </c>
      <c r="T51" s="31">
        <f t="shared" si="39"/>
        <v>6694.3445995679594</v>
      </c>
      <c r="U51" s="31">
        <f t="shared" si="40"/>
        <v>471.59490333390528</v>
      </c>
      <c r="W51" s="31">
        <f t="shared" si="33"/>
        <v>25272.042626897644</v>
      </c>
      <c r="X51" s="31">
        <f t="shared" si="41"/>
        <v>13723.568037448511</v>
      </c>
    </row>
    <row r="52" spans="5:24" x14ac:dyDescent="0.25">
      <c r="E52" s="2">
        <f t="shared" si="42"/>
        <v>15</v>
      </c>
      <c r="F52" s="2">
        <f t="shared" si="42"/>
        <v>2043</v>
      </c>
      <c r="G52" s="50">
        <f>_xlfn.XLOOKUP(F52,'6-Traffic Data'!$F$9:$F$48,'6-Traffic Data'!$U$9:$U$48)</f>
        <v>1362768.0747910826</v>
      </c>
      <c r="I52" s="51">
        <f t="shared" si="34"/>
        <v>2.6437700650947003E-2</v>
      </c>
      <c r="J52" s="51">
        <f t="shared" si="35"/>
        <v>0.4379255208341144</v>
      </c>
      <c r="K52" s="51">
        <f t="shared" si="36"/>
        <v>1.0611193614360765</v>
      </c>
      <c r="L52" s="59">
        <f t="shared" si="37"/>
        <v>1.525482582921138</v>
      </c>
      <c r="N52" s="51">
        <f t="shared" si="38"/>
        <v>1.3218850325473514E-3</v>
      </c>
      <c r="O52" s="51">
        <f t="shared" si="30"/>
        <v>2.1896276041705739E-2</v>
      </c>
      <c r="P52" s="51">
        <f t="shared" si="31"/>
        <v>5.3055968071803877E-2</v>
      </c>
      <c r="Q52" s="51">
        <f t="shared" si="32"/>
        <v>7.6274129146056968E-2</v>
      </c>
      <c r="S52" s="31">
        <f t="shared" si="43"/>
        <v>18536.661622908254</v>
      </c>
      <c r="T52" s="31">
        <f t="shared" si="39"/>
        <v>6853.5344010538965</v>
      </c>
      <c r="U52" s="31">
        <f t="shared" si="40"/>
        <v>482.80930945341527</v>
      </c>
      <c r="W52" s="31">
        <f t="shared" si="33"/>
        <v>25873.005333415567</v>
      </c>
      <c r="X52" s="31">
        <f t="shared" si="41"/>
        <v>13627.459722113983</v>
      </c>
    </row>
    <row r="53" spans="5:24" x14ac:dyDescent="0.25">
      <c r="E53" s="2">
        <f t="shared" si="42"/>
        <v>16</v>
      </c>
      <c r="F53" s="2">
        <f t="shared" si="42"/>
        <v>2044</v>
      </c>
      <c r="G53" s="50">
        <f>_xlfn.XLOOKUP(F53,'6-Traffic Data'!$F$9:$F$48,'6-Traffic Data'!$U$9:$U$48)</f>
        <v>1395174.350875431</v>
      </c>
      <c r="I53" s="51">
        <f t="shared" si="34"/>
        <v>2.706638240698336E-2</v>
      </c>
      <c r="J53" s="51">
        <f t="shared" si="35"/>
        <v>0.44833927765381976</v>
      </c>
      <c r="K53" s="51">
        <f t="shared" si="36"/>
        <v>1.0863525083091545</v>
      </c>
      <c r="L53" s="59">
        <f t="shared" si="37"/>
        <v>1.5617581683699577</v>
      </c>
      <c r="N53" s="51">
        <f t="shared" si="38"/>
        <v>1.3533191203491692E-3</v>
      </c>
      <c r="O53" s="51">
        <f t="shared" si="30"/>
        <v>2.2416963882691009E-2</v>
      </c>
      <c r="P53" s="51">
        <f t="shared" si="31"/>
        <v>5.4317625415457774E-2</v>
      </c>
      <c r="Q53" s="51">
        <f t="shared" si="32"/>
        <v>7.8087908418497956E-2</v>
      </c>
      <c r="S53" s="31">
        <f t="shared" si="43"/>
        <v>18977.458692744363</v>
      </c>
      <c r="T53" s="31">
        <f t="shared" si="39"/>
        <v>7016.509695282286</v>
      </c>
      <c r="U53" s="31">
        <f t="shared" si="40"/>
        <v>494.29039128066574</v>
      </c>
      <c r="W53" s="31">
        <f t="shared" si="33"/>
        <v>26488.258779307314</v>
      </c>
      <c r="X53" s="31">
        <f t="shared" si="41"/>
        <v>13532.024468497164</v>
      </c>
    </row>
    <row r="54" spans="5:24" x14ac:dyDescent="0.25">
      <c r="E54" s="2">
        <f t="shared" si="42"/>
        <v>17</v>
      </c>
      <c r="F54" s="2">
        <f t="shared" si="42"/>
        <v>2045</v>
      </c>
      <c r="G54" s="50">
        <f>_xlfn.XLOOKUP(F54,'6-Traffic Data'!$F$9:$F$48,'6-Traffic Data'!$U$9:$U$48)</f>
        <v>1428351.2399122554</v>
      </c>
      <c r="I54" s="51">
        <f t="shared" si="34"/>
        <v>2.7710014054297755E-2</v>
      </c>
      <c r="J54" s="51">
        <f t="shared" si="35"/>
        <v>0.45900067094580327</v>
      </c>
      <c r="K54" s="51">
        <f t="shared" si="36"/>
        <v>1.1121856929576779</v>
      </c>
      <c r="L54" s="59">
        <f t="shared" si="37"/>
        <v>1.5988963779577789</v>
      </c>
      <c r="N54" s="51">
        <f t="shared" si="38"/>
        <v>1.3855007027148889E-3</v>
      </c>
      <c r="O54" s="51">
        <f t="shared" si="30"/>
        <v>2.2950033547290184E-2</v>
      </c>
      <c r="P54" s="51">
        <f t="shared" si="31"/>
        <v>5.5609284647883943E-2</v>
      </c>
      <c r="Q54" s="51">
        <f t="shared" si="32"/>
        <v>7.9944818897889014E-2</v>
      </c>
      <c r="S54" s="31">
        <f t="shared" si="43"/>
        <v>19428.737804100616</v>
      </c>
      <c r="T54" s="31">
        <f t="shared" si="39"/>
        <v>7183.3605003018274</v>
      </c>
      <c r="U54" s="31">
        <f t="shared" si="40"/>
        <v>506.04449029574386</v>
      </c>
      <c r="W54" s="31">
        <f t="shared" si="33"/>
        <v>27118.142794698186</v>
      </c>
      <c r="X54" s="31">
        <f t="shared" si="41"/>
        <v>13437.257563040504</v>
      </c>
    </row>
    <row r="55" spans="5:24" x14ac:dyDescent="0.25">
      <c r="E55" s="2">
        <f t="shared" si="42"/>
        <v>18</v>
      </c>
      <c r="F55" s="2">
        <f t="shared" si="42"/>
        <v>2046</v>
      </c>
      <c r="G55" s="50">
        <f>_xlfn.XLOOKUP(F55,'6-Traffic Data'!$F$9:$F$48,'6-Traffic Data'!$U$9:$U$48)</f>
        <v>1462317.0668803649</v>
      </c>
      <c r="I55" s="51">
        <f t="shared" si="34"/>
        <v>2.836895109747908E-2</v>
      </c>
      <c r="J55" s="51">
        <f t="shared" si="35"/>
        <v>0.46991558944200523</v>
      </c>
      <c r="K55" s="51">
        <f t="shared" si="36"/>
        <v>1.1386331841263964</v>
      </c>
      <c r="L55" s="59">
        <f t="shared" si="37"/>
        <v>1.6369177246658808</v>
      </c>
      <c r="N55" s="51">
        <f t="shared" si="38"/>
        <v>1.4184475548739554E-3</v>
      </c>
      <c r="O55" s="51">
        <f t="shared" si="30"/>
        <v>2.3495779472100284E-2</v>
      </c>
      <c r="P55" s="51">
        <f t="shared" si="31"/>
        <v>5.6931659206319866E-2</v>
      </c>
      <c r="Q55" s="51">
        <f t="shared" si="32"/>
        <v>8.1845886233294113E-2</v>
      </c>
      <c r="S55" s="31">
        <f t="shared" si="43"/>
        <v>19890.748217241988</v>
      </c>
      <c r="T55" s="31">
        <f t="shared" si="39"/>
        <v>7354.1789747673893</v>
      </c>
      <c r="U55" s="31">
        <f t="shared" si="40"/>
        <v>518.07809877751083</v>
      </c>
      <c r="W55" s="31">
        <f t="shared" si="33"/>
        <v>27763.005290786889</v>
      </c>
      <c r="X55" s="31">
        <f t="shared" si="41"/>
        <v>13343.154325196241</v>
      </c>
    </row>
    <row r="56" spans="5:24" x14ac:dyDescent="0.25">
      <c r="E56" s="2">
        <f t="shared" si="42"/>
        <v>19</v>
      </c>
      <c r="F56" s="2">
        <f t="shared" si="42"/>
        <v>2047</v>
      </c>
      <c r="G56" s="50">
        <f>_xlfn.XLOOKUP(F56,'6-Traffic Data'!$F$9:$F$48,'6-Traffic Data'!$U$9:$U$48)</f>
        <v>1497090.5925218752</v>
      </c>
      <c r="I56" s="51">
        <f t="shared" si="34"/>
        <v>2.9043557494924377E-2</v>
      </c>
      <c r="J56" s="51">
        <f t="shared" si="35"/>
        <v>0.48109006190690456</v>
      </c>
      <c r="K56" s="51">
        <f t="shared" si="36"/>
        <v>1.1657095898671583</v>
      </c>
      <c r="L56" s="59">
        <f t="shared" si="37"/>
        <v>1.6758432092689872</v>
      </c>
      <c r="N56" s="51">
        <f t="shared" si="38"/>
        <v>1.4521778747462201E-3</v>
      </c>
      <c r="O56" s="51">
        <f t="shared" si="30"/>
        <v>2.405450309534525E-2</v>
      </c>
      <c r="P56" s="51">
        <f t="shared" si="31"/>
        <v>5.8285479493357967E-2</v>
      </c>
      <c r="Q56" s="51">
        <f t="shared" si="32"/>
        <v>8.3792160463449436E-2</v>
      </c>
      <c r="S56" s="31">
        <f t="shared" si="43"/>
        <v>20363.74511977877</v>
      </c>
      <c r="T56" s="31">
        <f t="shared" si="39"/>
        <v>7529.0594688430638</v>
      </c>
      <c r="U56" s="31">
        <f t="shared" si="40"/>
        <v>530.39786338955753</v>
      </c>
      <c r="W56" s="31">
        <f t="shared" si="33"/>
        <v>28423.202452011392</v>
      </c>
      <c r="X56" s="31">
        <f t="shared" si="41"/>
        <v>13249.710107195211</v>
      </c>
    </row>
    <row r="57" spans="5:24" x14ac:dyDescent="0.25">
      <c r="E57" s="2">
        <f t="shared" si="42"/>
        <v>20</v>
      </c>
      <c r="F57" s="2">
        <f t="shared" si="42"/>
        <v>2048</v>
      </c>
      <c r="G57" s="50">
        <f>_xlfn.XLOOKUP(F57,'6-Traffic Data'!$F$9:$F$48,'6-Traffic Data'!$U$9:$U$48)</f>
        <v>1532691.0237045488</v>
      </c>
      <c r="I57" s="51">
        <f t="shared" si="34"/>
        <v>2.9734205859868246E-2</v>
      </c>
      <c r="J57" s="51">
        <f t="shared" si="35"/>
        <v>0.49253026046745674</v>
      </c>
      <c r="K57" s="51">
        <f t="shared" si="36"/>
        <v>1.193429865607547</v>
      </c>
      <c r="L57" s="59">
        <f t="shared" si="37"/>
        <v>1.7156943319348721</v>
      </c>
      <c r="N57" s="51">
        <f t="shared" si="38"/>
        <v>1.4867102929934136E-3</v>
      </c>
      <c r="O57" s="51">
        <f t="shared" si="30"/>
        <v>2.4626513023372858E-2</v>
      </c>
      <c r="P57" s="51">
        <f t="shared" si="31"/>
        <v>5.9671493280377408E-2</v>
      </c>
      <c r="Q57" s="51">
        <f t="shared" si="32"/>
        <v>8.5784716596743679E-2</v>
      </c>
      <c r="S57" s="31">
        <f t="shared" si="43"/>
        <v>20847.989767617339</v>
      </c>
      <c r="T57" s="31">
        <f t="shared" si="39"/>
        <v>7708.098576315705</v>
      </c>
      <c r="U57" s="31">
        <f t="shared" si="40"/>
        <v>543.01058885143436</v>
      </c>
      <c r="W57" s="31">
        <f t="shared" si="33"/>
        <v>29099.09893278448</v>
      </c>
      <c r="X57" s="31">
        <f t="shared" si="41"/>
        <v>13156.920293817337</v>
      </c>
    </row>
    <row r="58" spans="5:24" x14ac:dyDescent="0.25">
      <c r="E58" s="2">
        <f t="shared" ref="E58:F58" si="44">E57+1</f>
        <v>21</v>
      </c>
      <c r="F58" s="2">
        <f t="shared" si="44"/>
        <v>2049</v>
      </c>
      <c r="G58" s="50">
        <f>_xlfn.XLOOKUP(F58,'6-Traffic Data'!$F$9:$F$48,'6-Traffic Data'!$U$9:$U$48)</f>
        <v>1569138.0240305481</v>
      </c>
      <c r="I58" s="51">
        <f t="shared" si="34"/>
        <v>3.0441277666192635E-2</v>
      </c>
      <c r="J58" s="51">
        <f t="shared" si="35"/>
        <v>0.5042425040222166</v>
      </c>
      <c r="K58" s="51">
        <f t="shared" si="36"/>
        <v>1.2218093224113864</v>
      </c>
      <c r="L58" s="59">
        <f t="shared" ref="L58:L67" si="45">K58+J58+I58</f>
        <v>1.7564931040997955</v>
      </c>
      <c r="N58" s="51">
        <f t="shared" si="38"/>
        <v>1.5220638833096331E-3</v>
      </c>
      <c r="O58" s="51">
        <f t="shared" si="30"/>
        <v>2.5212125201110852E-2</v>
      </c>
      <c r="P58" s="51">
        <f t="shared" si="31"/>
        <v>6.1090466120569377E-2</v>
      </c>
      <c r="Q58" s="51">
        <f t="shared" si="32"/>
        <v>8.782465520498986E-2</v>
      </c>
      <c r="S58" s="31">
        <f t="shared" si="43"/>
        <v>21343.749629262653</v>
      </c>
      <c r="T58" s="31">
        <f t="shared" si="39"/>
        <v>7891.3951879476963</v>
      </c>
      <c r="U58" s="31">
        <f t="shared" si="40"/>
        <v>555.92324169718131</v>
      </c>
      <c r="W58" s="31">
        <f t="shared" ref="W58:W67" si="46">U58+T58+S58</f>
        <v>29791.068058907531</v>
      </c>
      <c r="X58" s="31">
        <f t="shared" ref="X58:X67" si="47">W58/((1+$C$3)^($F58-$C$4))</f>
        <v>13064.780302163637</v>
      </c>
    </row>
    <row r="59" spans="5:24" x14ac:dyDescent="0.25">
      <c r="E59" s="2">
        <f t="shared" ref="E59:F59" si="48">E58+1</f>
        <v>22</v>
      </c>
      <c r="F59" s="2">
        <f t="shared" si="48"/>
        <v>2050</v>
      </c>
      <c r="G59" s="50">
        <f>_xlfn.XLOOKUP(F59,'6-Traffic Data'!$F$9:$F$48,'6-Traffic Data'!$U$9:$U$48)</f>
        <v>1606451.7246974632</v>
      </c>
      <c r="I59" s="51">
        <f t="shared" si="34"/>
        <v>3.1165163459130785E-2</v>
      </c>
      <c r="J59" s="51">
        <f t="shared" si="35"/>
        <v>0.51623326173152972</v>
      </c>
      <c r="K59" s="51">
        <f t="shared" si="36"/>
        <v>1.2508636354356799</v>
      </c>
      <c r="L59" s="59">
        <f t="shared" si="45"/>
        <v>1.7982620606263404</v>
      </c>
      <c r="N59" s="51">
        <f t="shared" si="38"/>
        <v>1.5582581729565407E-3</v>
      </c>
      <c r="O59" s="51">
        <f t="shared" si="30"/>
        <v>2.5811663086576508E-2</v>
      </c>
      <c r="P59" s="51">
        <f t="shared" si="31"/>
        <v>6.2543181771784057E-2</v>
      </c>
      <c r="Q59" s="51">
        <f t="shared" si="32"/>
        <v>8.9913103031317096E-2</v>
      </c>
      <c r="S59" s="31">
        <f t="shared" si="43"/>
        <v>21851.298533552275</v>
      </c>
      <c r="T59" s="31">
        <f t="shared" si="39"/>
        <v>8079.0505460984468</v>
      </c>
      <c r="U59" s="31">
        <f t="shared" si="40"/>
        <v>569.14295412323486</v>
      </c>
      <c r="W59" s="31">
        <f t="shared" si="46"/>
        <v>30499.492033773957</v>
      </c>
      <c r="X59" s="31">
        <f t="shared" si="47"/>
        <v>12973.285581429906</v>
      </c>
    </row>
    <row r="60" spans="5:24" x14ac:dyDescent="0.25">
      <c r="E60" s="2">
        <f t="shared" ref="E60:F60" si="49">E59+1</f>
        <v>23</v>
      </c>
      <c r="F60" s="2">
        <f t="shared" si="49"/>
        <v>2051</v>
      </c>
      <c r="G60" s="50">
        <f>_xlfn.XLOOKUP(F60,'6-Traffic Data'!$F$9:$F$48,'6-Traffic Data'!$U$9:$U$48)</f>
        <v>1644652.7356176113</v>
      </c>
      <c r="I60" s="51">
        <f t="shared" si="34"/>
        <v>3.1906263070981655E-2</v>
      </c>
      <c r="J60" s="51">
        <f t="shared" si="35"/>
        <v>0.52850915659071929</v>
      </c>
      <c r="K60" s="51">
        <f t="shared" si="36"/>
        <v>1.2806088525886532</v>
      </c>
      <c r="L60" s="59">
        <f t="shared" si="45"/>
        <v>1.8410242722503543</v>
      </c>
      <c r="N60" s="51">
        <f t="shared" si="38"/>
        <v>1.5953131535490842E-3</v>
      </c>
      <c r="O60" s="51">
        <f t="shared" si="30"/>
        <v>2.6425457829535988E-2</v>
      </c>
      <c r="P60" s="51">
        <f t="shared" si="31"/>
        <v>6.4030442629432721E-2</v>
      </c>
      <c r="Q60" s="51">
        <f t="shared" si="32"/>
        <v>9.2051213612517793E-2</v>
      </c>
      <c r="S60" s="31">
        <f t="shared" si="43"/>
        <v>22370.916820903451</v>
      </c>
      <c r="T60" s="31">
        <f t="shared" si="39"/>
        <v>8271.1683006447638</v>
      </c>
      <c r="U60" s="31">
        <f t="shared" si="40"/>
        <v>582.6770279278378</v>
      </c>
      <c r="W60" s="31">
        <f t="shared" si="46"/>
        <v>31224.762149476053</v>
      </c>
      <c r="X60" s="31">
        <f t="shared" si="47"/>
        <v>12882.431612681934</v>
      </c>
    </row>
    <row r="61" spans="5:24" x14ac:dyDescent="0.25">
      <c r="E61" s="2">
        <f t="shared" ref="E61:F61" si="50">E60+1</f>
        <v>24</v>
      </c>
      <c r="F61" s="2">
        <f t="shared" si="50"/>
        <v>2052</v>
      </c>
      <c r="G61" s="50">
        <f>_xlfn.XLOOKUP(F61,'6-Traffic Data'!$F$9:$F$48,'6-Traffic Data'!$U$9:$U$48)</f>
        <v>0</v>
      </c>
      <c r="I61" s="51">
        <f t="shared" si="34"/>
        <v>0</v>
      </c>
      <c r="J61" s="51">
        <f t="shared" si="35"/>
        <v>0</v>
      </c>
      <c r="K61" s="51">
        <f t="shared" si="36"/>
        <v>0</v>
      </c>
      <c r="L61" s="59">
        <f t="shared" si="45"/>
        <v>0</v>
      </c>
      <c r="N61" s="51">
        <f t="shared" si="38"/>
        <v>0</v>
      </c>
      <c r="O61" s="51">
        <f t="shared" si="30"/>
        <v>0</v>
      </c>
      <c r="P61" s="51">
        <f t="shared" si="31"/>
        <v>0</v>
      </c>
      <c r="Q61" s="51">
        <f t="shared" si="32"/>
        <v>0</v>
      </c>
      <c r="S61" s="31">
        <f t="shared" si="43"/>
        <v>0</v>
      </c>
      <c r="T61" s="31">
        <f t="shared" si="39"/>
        <v>0</v>
      </c>
      <c r="U61" s="31">
        <f t="shared" si="40"/>
        <v>0</v>
      </c>
      <c r="W61" s="31">
        <f t="shared" si="46"/>
        <v>0</v>
      </c>
      <c r="X61" s="31">
        <f t="shared" si="47"/>
        <v>0</v>
      </c>
    </row>
    <row r="62" spans="5:24" x14ac:dyDescent="0.25">
      <c r="E62" s="2">
        <f t="shared" ref="E62:F62" si="51">E61+1</f>
        <v>25</v>
      </c>
      <c r="F62" s="2">
        <f t="shared" si="51"/>
        <v>2053</v>
      </c>
      <c r="G62" s="50">
        <f>_xlfn.XLOOKUP(F62,'6-Traffic Data'!$F$9:$F$48,'6-Traffic Data'!$U$9:$U$48)</f>
        <v>0</v>
      </c>
      <c r="I62" s="51">
        <f t="shared" si="34"/>
        <v>0</v>
      </c>
      <c r="J62" s="51">
        <f t="shared" si="35"/>
        <v>0</v>
      </c>
      <c r="K62" s="51">
        <f t="shared" si="36"/>
        <v>0</v>
      </c>
      <c r="L62" s="59">
        <f t="shared" si="45"/>
        <v>0</v>
      </c>
      <c r="N62" s="51">
        <f t="shared" si="38"/>
        <v>0</v>
      </c>
      <c r="O62" s="51">
        <f t="shared" si="30"/>
        <v>0</v>
      </c>
      <c r="P62" s="51">
        <f t="shared" si="31"/>
        <v>0</v>
      </c>
      <c r="Q62" s="51">
        <f t="shared" si="32"/>
        <v>0</v>
      </c>
      <c r="S62" s="31">
        <f t="shared" si="43"/>
        <v>0</v>
      </c>
      <c r="T62" s="31">
        <f t="shared" si="39"/>
        <v>0</v>
      </c>
      <c r="U62" s="31">
        <f t="shared" si="40"/>
        <v>0</v>
      </c>
      <c r="W62" s="31">
        <f t="shared" si="46"/>
        <v>0</v>
      </c>
      <c r="X62" s="31">
        <f t="shared" si="47"/>
        <v>0</v>
      </c>
    </row>
    <row r="63" spans="5:24" x14ac:dyDescent="0.25">
      <c r="E63" s="2">
        <f t="shared" ref="E63:F63" si="52">E62+1</f>
        <v>26</v>
      </c>
      <c r="F63" s="2">
        <f t="shared" si="52"/>
        <v>2054</v>
      </c>
      <c r="G63" s="50">
        <f>_xlfn.XLOOKUP(F63,'6-Traffic Data'!$F$9:$F$48,'6-Traffic Data'!$U$9:$U$48)</f>
        <v>0</v>
      </c>
      <c r="I63" s="51">
        <f t="shared" si="34"/>
        <v>0</v>
      </c>
      <c r="J63" s="51">
        <f t="shared" si="35"/>
        <v>0</v>
      </c>
      <c r="K63" s="51">
        <f t="shared" si="36"/>
        <v>0</v>
      </c>
      <c r="L63" s="59">
        <f t="shared" si="45"/>
        <v>0</v>
      </c>
      <c r="N63" s="51">
        <f t="shared" si="38"/>
        <v>0</v>
      </c>
      <c r="O63" s="51">
        <f t="shared" si="30"/>
        <v>0</v>
      </c>
      <c r="P63" s="51">
        <f t="shared" si="31"/>
        <v>0</v>
      </c>
      <c r="Q63" s="51">
        <f t="shared" si="32"/>
        <v>0</v>
      </c>
      <c r="S63" s="31">
        <f t="shared" si="43"/>
        <v>0</v>
      </c>
      <c r="T63" s="31">
        <f t="shared" si="39"/>
        <v>0</v>
      </c>
      <c r="U63" s="31">
        <f t="shared" si="40"/>
        <v>0</v>
      </c>
      <c r="W63" s="31">
        <f t="shared" si="46"/>
        <v>0</v>
      </c>
      <c r="X63" s="31">
        <f t="shared" si="47"/>
        <v>0</v>
      </c>
    </row>
    <row r="64" spans="5:24" x14ac:dyDescent="0.25">
      <c r="E64" s="2">
        <f t="shared" ref="E64:F64" si="53">E63+1</f>
        <v>27</v>
      </c>
      <c r="F64" s="2">
        <f t="shared" si="53"/>
        <v>2055</v>
      </c>
      <c r="G64" s="50">
        <f>_xlfn.XLOOKUP(F64,'6-Traffic Data'!$F$9:$F$48,'6-Traffic Data'!$U$9:$U$48)</f>
        <v>0</v>
      </c>
      <c r="I64" s="51">
        <f t="shared" si="34"/>
        <v>0</v>
      </c>
      <c r="J64" s="51">
        <f t="shared" si="35"/>
        <v>0</v>
      </c>
      <c r="K64" s="51">
        <f t="shared" si="36"/>
        <v>0</v>
      </c>
      <c r="L64" s="59">
        <f t="shared" si="45"/>
        <v>0</v>
      </c>
      <c r="N64" s="51">
        <f t="shared" si="38"/>
        <v>0</v>
      </c>
      <c r="O64" s="51">
        <f t="shared" si="30"/>
        <v>0</v>
      </c>
      <c r="P64" s="51">
        <f t="shared" si="31"/>
        <v>0</v>
      </c>
      <c r="Q64" s="51">
        <f t="shared" si="32"/>
        <v>0</v>
      </c>
      <c r="S64" s="31">
        <f t="shared" si="43"/>
        <v>0</v>
      </c>
      <c r="T64" s="31">
        <f t="shared" si="39"/>
        <v>0</v>
      </c>
      <c r="U64" s="31">
        <f t="shared" si="40"/>
        <v>0</v>
      </c>
      <c r="W64" s="31">
        <f t="shared" si="46"/>
        <v>0</v>
      </c>
      <c r="X64" s="31">
        <f t="shared" si="47"/>
        <v>0</v>
      </c>
    </row>
    <row r="65" spans="5:24" x14ac:dyDescent="0.25">
      <c r="E65" s="2">
        <f t="shared" ref="E65:F65" si="54">E64+1</f>
        <v>28</v>
      </c>
      <c r="F65" s="2">
        <f t="shared" si="54"/>
        <v>2056</v>
      </c>
      <c r="G65" s="50">
        <f>_xlfn.XLOOKUP(F65,'6-Traffic Data'!$F$9:$F$48,'6-Traffic Data'!$U$9:$U$48)</f>
        <v>0</v>
      </c>
      <c r="I65" s="51">
        <f t="shared" si="34"/>
        <v>0</v>
      </c>
      <c r="J65" s="51">
        <f t="shared" si="35"/>
        <v>0</v>
      </c>
      <c r="K65" s="51">
        <f t="shared" si="36"/>
        <v>0</v>
      </c>
      <c r="L65" s="59">
        <f t="shared" si="45"/>
        <v>0</v>
      </c>
      <c r="N65" s="51">
        <f t="shared" si="38"/>
        <v>0</v>
      </c>
      <c r="O65" s="51">
        <f t="shared" si="30"/>
        <v>0</v>
      </c>
      <c r="P65" s="51">
        <f t="shared" si="31"/>
        <v>0</v>
      </c>
      <c r="Q65" s="51">
        <f t="shared" si="32"/>
        <v>0</v>
      </c>
      <c r="S65" s="31">
        <f t="shared" si="43"/>
        <v>0</v>
      </c>
      <c r="T65" s="31">
        <f t="shared" si="39"/>
        <v>0</v>
      </c>
      <c r="U65" s="31">
        <f t="shared" si="40"/>
        <v>0</v>
      </c>
      <c r="W65" s="31">
        <f t="shared" si="46"/>
        <v>0</v>
      </c>
      <c r="X65" s="31">
        <f t="shared" si="47"/>
        <v>0</v>
      </c>
    </row>
    <row r="66" spans="5:24" x14ac:dyDescent="0.25">
      <c r="E66" s="2">
        <f t="shared" ref="E66:F66" si="55">E65+1</f>
        <v>29</v>
      </c>
      <c r="F66" s="2">
        <f t="shared" si="55"/>
        <v>2057</v>
      </c>
      <c r="G66" s="50">
        <f>_xlfn.XLOOKUP(F66,'6-Traffic Data'!$F$9:$F$48,'6-Traffic Data'!$U$9:$U$48)</f>
        <v>0</v>
      </c>
      <c r="I66" s="51">
        <f t="shared" si="34"/>
        <v>0</v>
      </c>
      <c r="J66" s="51">
        <f t="shared" si="35"/>
        <v>0</v>
      </c>
      <c r="K66" s="51">
        <f t="shared" si="36"/>
        <v>0</v>
      </c>
      <c r="L66" s="59">
        <f t="shared" si="45"/>
        <v>0</v>
      </c>
      <c r="N66" s="51">
        <f t="shared" si="38"/>
        <v>0</v>
      </c>
      <c r="O66" s="51">
        <f t="shared" si="30"/>
        <v>0</v>
      </c>
      <c r="P66" s="51">
        <f t="shared" si="31"/>
        <v>0</v>
      </c>
      <c r="Q66" s="51">
        <f t="shared" si="32"/>
        <v>0</v>
      </c>
      <c r="S66" s="31">
        <f t="shared" si="43"/>
        <v>0</v>
      </c>
      <c r="T66" s="31">
        <f t="shared" si="39"/>
        <v>0</v>
      </c>
      <c r="U66" s="31">
        <f t="shared" si="40"/>
        <v>0</v>
      </c>
      <c r="W66" s="31">
        <f t="shared" si="46"/>
        <v>0</v>
      </c>
      <c r="X66" s="31">
        <f t="shared" si="47"/>
        <v>0</v>
      </c>
    </row>
    <row r="67" spans="5:24" x14ac:dyDescent="0.25">
      <c r="E67" s="2">
        <f t="shared" ref="E67:F67" si="56">E66+1</f>
        <v>30</v>
      </c>
      <c r="F67" s="2">
        <f t="shared" si="56"/>
        <v>2058</v>
      </c>
      <c r="G67" s="50">
        <f>_xlfn.XLOOKUP(F67,'6-Traffic Data'!$F$9:$F$48,'6-Traffic Data'!$U$9:$U$48)</f>
        <v>0</v>
      </c>
      <c r="I67" s="51">
        <f t="shared" si="34"/>
        <v>0</v>
      </c>
      <c r="J67" s="51">
        <f t="shared" si="35"/>
        <v>0</v>
      </c>
      <c r="K67" s="51">
        <f t="shared" si="36"/>
        <v>0</v>
      </c>
      <c r="L67" s="59">
        <f t="shared" si="45"/>
        <v>0</v>
      </c>
      <c r="N67" s="51">
        <f t="shared" si="38"/>
        <v>0</v>
      </c>
      <c r="O67" s="51">
        <f t="shared" si="30"/>
        <v>0</v>
      </c>
      <c r="P67" s="51">
        <f t="shared" si="31"/>
        <v>0</v>
      </c>
      <c r="Q67" s="51">
        <f t="shared" si="32"/>
        <v>0</v>
      </c>
      <c r="S67" s="31">
        <f t="shared" si="43"/>
        <v>0</v>
      </c>
      <c r="T67" s="31">
        <f t="shared" si="39"/>
        <v>0</v>
      </c>
      <c r="U67" s="31">
        <f t="shared" si="40"/>
        <v>0</v>
      </c>
      <c r="W67" s="31">
        <f t="shared" si="46"/>
        <v>0</v>
      </c>
      <c r="X67" s="31">
        <f t="shared" si="47"/>
        <v>0</v>
      </c>
    </row>
    <row r="68" spans="5:24" x14ac:dyDescent="0.25">
      <c r="G68" s="56" t="s">
        <v>156</v>
      </c>
      <c r="I68" s="62">
        <f>SUM(I38:I67)</f>
        <v>0.56407023973711656</v>
      </c>
      <c r="J68" s="62">
        <f t="shared" ref="J68:L68" si="57">SUM(J38:J67)</f>
        <v>9.3435036876042492</v>
      </c>
      <c r="K68" s="62">
        <f t="shared" si="57"/>
        <v>22.639860421201337</v>
      </c>
      <c r="L68" s="62">
        <f t="shared" si="57"/>
        <v>32.547434348542701</v>
      </c>
      <c r="N68" s="62">
        <f>SUM(N38:N67)</f>
        <v>2.8203511986855851E-2</v>
      </c>
      <c r="O68" s="62">
        <f t="shared" ref="O68:Q68" si="58">SUM(O38:O67)</f>
        <v>0.46717518438021283</v>
      </c>
      <c r="P68" s="62">
        <f t="shared" si="58"/>
        <v>1.1319930210600677</v>
      </c>
      <c r="Q68" s="62">
        <f t="shared" si="58"/>
        <v>1.6273717174271367</v>
      </c>
      <c r="S68" s="57">
        <f>SUM(S38:S67)</f>
        <v>395495.02824048098</v>
      </c>
      <c r="T68" s="57">
        <f t="shared" ref="T68:U68" si="59">SUM(T38:T67)</f>
        <v>146225.8327110066</v>
      </c>
      <c r="U68" s="57">
        <f t="shared" si="59"/>
        <v>10301.136491646617</v>
      </c>
      <c r="W68" s="57">
        <f>SUM(W38:W67)</f>
        <v>552021.9974431342</v>
      </c>
      <c r="X68" s="57">
        <f>SUM(X38:X67)</f>
        <v>312939.64811088343</v>
      </c>
    </row>
    <row r="70" spans="5:24" x14ac:dyDescent="0.25">
      <c r="U70" s="241" t="s">
        <v>668</v>
      </c>
      <c r="W70" s="31">
        <f>W68+W34</f>
        <v>690299.19591002353</v>
      </c>
      <c r="X70" s="31">
        <f>X68+X34</f>
        <v>410916.73720146803</v>
      </c>
    </row>
  </sheetData>
  <sheetProtection algorithmName="SHA-512" hashValue="obnQvS85e/b5I855A6Tzh8W0uzUo0T9B0c/scjHuN6fAhuOCw/VMIrWEKRnEId7HJWPeIbIklgKJS4uuBcIZ3A==" saltValue="xxUcgOYk2CGVEt/BZ0H39A==" spinCount="100000" sheet="1" objects="1" scenarios="1"/>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9621F-871A-4E5D-8305-116B0F8098A6}">
  <sheetPr>
    <tabColor theme="3" tint="0.89999084444715716"/>
  </sheetPr>
  <dimension ref="A1:P70"/>
  <sheetViews>
    <sheetView topLeftCell="A25" zoomScale="78" zoomScaleNormal="78" workbookViewId="0">
      <selection activeCell="M70" sqref="M70"/>
    </sheetView>
  </sheetViews>
  <sheetFormatPr defaultColWidth="9" defaultRowHeight="13.5" x14ac:dyDescent="0.25"/>
  <cols>
    <col min="1" max="1" width="4.375" style="5" customWidth="1"/>
    <col min="2" max="2" width="53.625" style="5" customWidth="1"/>
    <col min="3" max="3" width="13.375" style="5" bestFit="1" customWidth="1"/>
    <col min="4" max="4" width="9" style="5"/>
    <col min="5" max="5" width="11.375" style="5" customWidth="1"/>
    <col min="6" max="6" width="12.125" style="5" customWidth="1"/>
    <col min="7" max="7" width="14.375" style="5" customWidth="1"/>
    <col min="8" max="8" width="3.375" style="5" customWidth="1"/>
    <col min="9" max="9" width="15" style="5" customWidth="1"/>
    <col min="10" max="10" width="15" style="58" customWidth="1"/>
    <col min="11" max="11" width="3.125" style="5" customWidth="1"/>
    <col min="12" max="12" width="14.125" style="5" customWidth="1"/>
    <col min="13" max="13" width="14.125" style="58" customWidth="1"/>
    <col min="14" max="14" width="3.375" style="5" customWidth="1"/>
    <col min="15" max="15" width="15.125" style="5" customWidth="1"/>
    <col min="16" max="16" width="13.875" style="58" customWidth="1"/>
    <col min="17" max="16384" width="9" style="5"/>
  </cols>
  <sheetData>
    <row r="1" spans="1:16" ht="15" x14ac:dyDescent="0.25">
      <c r="A1"/>
      <c r="B1"/>
    </row>
    <row r="2" spans="1:16" x14ac:dyDescent="0.25">
      <c r="B2" s="47" t="s">
        <v>157</v>
      </c>
      <c r="C2" s="47" t="s">
        <v>34</v>
      </c>
      <c r="E2" s="5" t="s">
        <v>179</v>
      </c>
    </row>
    <row r="3" spans="1:16" ht="50.25" customHeight="1" x14ac:dyDescent="0.25">
      <c r="B3" s="5" t="str">
        <f>'3-Inputs'!B4</f>
        <v>Discount Rate</v>
      </c>
      <c r="C3" s="48">
        <f>'3-Inputs'!C4</f>
        <v>3.1E-2</v>
      </c>
      <c r="E3" s="49" t="s">
        <v>178</v>
      </c>
      <c r="F3" s="49" t="s">
        <v>174</v>
      </c>
      <c r="G3" s="49" t="s">
        <v>248</v>
      </c>
      <c r="I3" s="49" t="s">
        <v>251</v>
      </c>
      <c r="J3" s="32" t="s">
        <v>250</v>
      </c>
      <c r="L3" s="49" t="s">
        <v>252</v>
      </c>
      <c r="M3" s="32" t="s">
        <v>250</v>
      </c>
      <c r="O3" s="49" t="s">
        <v>253</v>
      </c>
      <c r="P3" s="32" t="s">
        <v>250</v>
      </c>
    </row>
    <row r="4" spans="1:16" x14ac:dyDescent="0.25">
      <c r="B4" s="5" t="str">
        <f>'3-Inputs'!B6</f>
        <v>Discount Year</v>
      </c>
      <c r="C4" s="5">
        <f>'3-Inputs'!C6</f>
        <v>2022</v>
      </c>
      <c r="E4" s="2">
        <v>1</v>
      </c>
      <c r="F4" s="2">
        <f>$C$5</f>
        <v>2029</v>
      </c>
      <c r="G4" s="50">
        <f>_xlfn.XLOOKUP(F4,'6-Traffic Data'!$F$9:$F$48,'6-Traffic Data'!$Q$9:$Q$48)</f>
        <v>0</v>
      </c>
      <c r="I4" s="31">
        <f>$G4*$C$10</f>
        <v>0</v>
      </c>
      <c r="J4" s="31">
        <f>I4/((1+$C$3)^($F4-$C$4))</f>
        <v>0</v>
      </c>
      <c r="K4" s="58"/>
      <c r="L4" s="31">
        <f>$G4*$C$11</f>
        <v>0</v>
      </c>
      <c r="M4" s="31">
        <f>L4/((1+$C$3)^($F4-$C$4))</f>
        <v>0</v>
      </c>
      <c r="N4" s="58"/>
      <c r="O4" s="31">
        <f>$G4*$C$9</f>
        <v>0</v>
      </c>
      <c r="P4" s="31">
        <f>O4/((1+$C$3)^($F4-$C$4))</f>
        <v>0</v>
      </c>
    </row>
    <row r="5" spans="1:16" x14ac:dyDescent="0.25">
      <c r="B5" s="5" t="str">
        <f>'3-Inputs'!B9</f>
        <v>Project Start Year</v>
      </c>
      <c r="C5" s="5">
        <f>'3-Inputs'!C9</f>
        <v>2029</v>
      </c>
      <c r="E5" s="2">
        <f>E4+1</f>
        <v>2</v>
      </c>
      <c r="F5" s="2">
        <f>F4+1</f>
        <v>2030</v>
      </c>
      <c r="G5" s="50">
        <f>_xlfn.XLOOKUP(F5,'6-Traffic Data'!$F$9:$F$48,'6-Traffic Data'!$Q$9:$Q$48)</f>
        <v>0</v>
      </c>
      <c r="I5" s="31">
        <f t="shared" ref="I5:I33" si="0">$G5*$C$10</f>
        <v>0</v>
      </c>
      <c r="J5" s="31">
        <f t="shared" ref="J5:J23" si="1">I5/((1+$C$3)^($F5-$C$4))</f>
        <v>0</v>
      </c>
      <c r="K5" s="58"/>
      <c r="L5" s="31">
        <f t="shared" ref="L5:L33" si="2">$G5*$C$11</f>
        <v>0</v>
      </c>
      <c r="M5" s="31">
        <f t="shared" ref="M5:M23" si="3">L5/((1+$C$3)^($F5-$C$4))</f>
        <v>0</v>
      </c>
      <c r="N5" s="58"/>
      <c r="O5" s="31">
        <f t="shared" ref="O5:O33" si="4">$G5*$C$9</f>
        <v>0</v>
      </c>
      <c r="P5" s="31">
        <f t="shared" ref="P5:P23" si="5">O5/((1+$C$3)^($F5-$C$4))</f>
        <v>0</v>
      </c>
    </row>
    <row r="6" spans="1:16" x14ac:dyDescent="0.25">
      <c r="B6" s="5" t="str">
        <f>'3-Inputs'!B24</f>
        <v>Million multiplier</v>
      </c>
      <c r="C6" s="28">
        <f>'3-Inputs'!C24</f>
        <v>1000000</v>
      </c>
      <c r="E6" s="2">
        <f t="shared" ref="E6:F23" si="6">E5+1</f>
        <v>3</v>
      </c>
      <c r="F6" s="2">
        <f t="shared" si="6"/>
        <v>2031</v>
      </c>
      <c r="G6" s="50">
        <f>_xlfn.XLOOKUP(F6,'6-Traffic Data'!$F$9:$F$48,'6-Traffic Data'!$Q$9:$Q$48)</f>
        <v>0</v>
      </c>
      <c r="I6" s="31">
        <f t="shared" si="0"/>
        <v>0</v>
      </c>
      <c r="J6" s="31">
        <f t="shared" si="1"/>
        <v>0</v>
      </c>
      <c r="K6" s="58"/>
      <c r="L6" s="31">
        <f t="shared" si="2"/>
        <v>0</v>
      </c>
      <c r="M6" s="31">
        <f t="shared" si="3"/>
        <v>0</v>
      </c>
      <c r="N6" s="58"/>
      <c r="O6" s="31">
        <f t="shared" si="4"/>
        <v>0</v>
      </c>
      <c r="P6" s="31">
        <f t="shared" si="5"/>
        <v>0</v>
      </c>
    </row>
    <row r="7" spans="1:16" x14ac:dyDescent="0.25">
      <c r="E7" s="2">
        <f t="shared" si="6"/>
        <v>4</v>
      </c>
      <c r="F7" s="2">
        <f t="shared" si="6"/>
        <v>2032</v>
      </c>
      <c r="G7" s="50">
        <f>_xlfn.XLOOKUP(F7,'6-Traffic Data'!$F$9:$F$48,'6-Traffic Data'!$Q$9:$Q$48)</f>
        <v>0</v>
      </c>
      <c r="I7" s="31">
        <f t="shared" si="0"/>
        <v>0</v>
      </c>
      <c r="J7" s="31">
        <f t="shared" si="1"/>
        <v>0</v>
      </c>
      <c r="K7" s="58"/>
      <c r="L7" s="31">
        <f t="shared" si="2"/>
        <v>0</v>
      </c>
      <c r="M7" s="31">
        <f t="shared" si="3"/>
        <v>0</v>
      </c>
      <c r="N7" s="58"/>
      <c r="O7" s="31">
        <f t="shared" si="4"/>
        <v>0</v>
      </c>
      <c r="P7" s="31">
        <f t="shared" si="5"/>
        <v>0</v>
      </c>
    </row>
    <row r="8" spans="1:16" x14ac:dyDescent="0.25">
      <c r="B8" s="5" t="s">
        <v>179</v>
      </c>
      <c r="E8" s="2">
        <f t="shared" si="6"/>
        <v>5</v>
      </c>
      <c r="F8" s="2">
        <f t="shared" si="6"/>
        <v>2033</v>
      </c>
      <c r="G8" s="50">
        <f>_xlfn.XLOOKUP(F8,'6-Traffic Data'!$F$9:$F$48,'6-Traffic Data'!$Q$9:$Q$48)</f>
        <v>0</v>
      </c>
      <c r="I8" s="31">
        <f t="shared" si="0"/>
        <v>0</v>
      </c>
      <c r="J8" s="31">
        <f t="shared" si="1"/>
        <v>0</v>
      </c>
      <c r="K8" s="58"/>
      <c r="L8" s="31">
        <f t="shared" si="2"/>
        <v>0</v>
      </c>
      <c r="M8" s="31">
        <f t="shared" si="3"/>
        <v>0</v>
      </c>
      <c r="N8" s="58"/>
      <c r="O8" s="31">
        <f t="shared" si="4"/>
        <v>0</v>
      </c>
      <c r="P8" s="31">
        <f t="shared" si="5"/>
        <v>0</v>
      </c>
    </row>
    <row r="9" spans="1:16" x14ac:dyDescent="0.25">
      <c r="B9" s="5" t="str">
        <f>'3-Inputs'!B58</f>
        <v>Marginal Pavement Costs per VMT ($/mile) - Truck/Rural (2022$)</v>
      </c>
      <c r="C9" s="52">
        <f>'3-Inputs'!C58</f>
        <v>9.0027268971216101E-2</v>
      </c>
      <c r="E9" s="2">
        <f t="shared" si="6"/>
        <v>6</v>
      </c>
      <c r="F9" s="2">
        <f t="shared" si="6"/>
        <v>2034</v>
      </c>
      <c r="G9" s="50">
        <f>_xlfn.XLOOKUP(F9,'6-Traffic Data'!$F$9:$F$48,'6-Traffic Data'!$Q$9:$Q$48)</f>
        <v>0</v>
      </c>
      <c r="I9" s="31">
        <f t="shared" si="0"/>
        <v>0</v>
      </c>
      <c r="J9" s="31">
        <f t="shared" si="1"/>
        <v>0</v>
      </c>
      <c r="K9" s="58"/>
      <c r="L9" s="31">
        <f t="shared" si="2"/>
        <v>0</v>
      </c>
      <c r="M9" s="31">
        <f t="shared" si="3"/>
        <v>0</v>
      </c>
      <c r="N9" s="58"/>
      <c r="O9" s="31">
        <f t="shared" si="4"/>
        <v>0</v>
      </c>
      <c r="P9" s="31">
        <f t="shared" si="5"/>
        <v>0</v>
      </c>
    </row>
    <row r="10" spans="1:16" x14ac:dyDescent="0.25">
      <c r="B10" s="5" t="str">
        <f>'3-Inputs'!B60</f>
        <v>Marginal Congestion Costs per VMT ($/mile) - Truck/Rural (2022$)</v>
      </c>
      <c r="C10" s="52">
        <f>'3-Inputs'!C60</f>
        <v>7.4999999999999997E-2</v>
      </c>
      <c r="E10" s="2">
        <f t="shared" si="6"/>
        <v>7</v>
      </c>
      <c r="F10" s="2">
        <f t="shared" si="6"/>
        <v>2035</v>
      </c>
      <c r="G10" s="50">
        <f>_xlfn.XLOOKUP(F10,'6-Traffic Data'!$F$9:$F$48,'6-Traffic Data'!$Q$9:$Q$48)</f>
        <v>0</v>
      </c>
      <c r="I10" s="31">
        <f t="shared" si="0"/>
        <v>0</v>
      </c>
      <c r="J10" s="31">
        <f t="shared" si="1"/>
        <v>0</v>
      </c>
      <c r="K10" s="58"/>
      <c r="L10" s="31">
        <f t="shared" si="2"/>
        <v>0</v>
      </c>
      <c r="M10" s="31">
        <f t="shared" si="3"/>
        <v>0</v>
      </c>
      <c r="N10" s="58"/>
      <c r="O10" s="31">
        <f t="shared" si="4"/>
        <v>0</v>
      </c>
      <c r="P10" s="31">
        <f t="shared" si="5"/>
        <v>0</v>
      </c>
    </row>
    <row r="11" spans="1:16" x14ac:dyDescent="0.25">
      <c r="B11" s="5" t="str">
        <f>'3-Inputs'!B62</f>
        <v>Marginal Noise Costs per VMT ($/mile)  - Truck/Rural (2022$)</v>
      </c>
      <c r="C11" s="52">
        <f>'3-Inputs'!C62</f>
        <v>3.7000000000000002E-3</v>
      </c>
      <c r="E11" s="2">
        <f t="shared" si="6"/>
        <v>8</v>
      </c>
      <c r="F11" s="2">
        <f t="shared" si="6"/>
        <v>2036</v>
      </c>
      <c r="G11" s="50">
        <f>_xlfn.XLOOKUP(F11,'6-Traffic Data'!$F$9:$F$48,'6-Traffic Data'!$Q$9:$Q$48)</f>
        <v>0</v>
      </c>
      <c r="I11" s="31">
        <f t="shared" si="0"/>
        <v>0</v>
      </c>
      <c r="J11" s="31">
        <f t="shared" si="1"/>
        <v>0</v>
      </c>
      <c r="K11" s="58"/>
      <c r="L11" s="31">
        <f t="shared" si="2"/>
        <v>0</v>
      </c>
      <c r="M11" s="31">
        <f t="shared" si="3"/>
        <v>0</v>
      </c>
      <c r="N11" s="58"/>
      <c r="O11" s="31">
        <f t="shared" si="4"/>
        <v>0</v>
      </c>
      <c r="P11" s="31">
        <f t="shared" si="5"/>
        <v>0</v>
      </c>
    </row>
    <row r="12" spans="1:16" x14ac:dyDescent="0.25">
      <c r="C12" s="58"/>
      <c r="E12" s="2">
        <f t="shared" si="6"/>
        <v>9</v>
      </c>
      <c r="F12" s="2">
        <f t="shared" si="6"/>
        <v>2037</v>
      </c>
      <c r="G12" s="50">
        <f>_xlfn.XLOOKUP(F12,'6-Traffic Data'!$F$9:$F$48,'6-Traffic Data'!$Q$9:$Q$48)</f>
        <v>0</v>
      </c>
      <c r="I12" s="31">
        <f t="shared" si="0"/>
        <v>0</v>
      </c>
      <c r="J12" s="31">
        <f t="shared" si="1"/>
        <v>0</v>
      </c>
      <c r="K12" s="58"/>
      <c r="L12" s="31">
        <f t="shared" si="2"/>
        <v>0</v>
      </c>
      <c r="M12" s="31">
        <f t="shared" si="3"/>
        <v>0</v>
      </c>
      <c r="N12" s="58"/>
      <c r="O12" s="31">
        <f t="shared" si="4"/>
        <v>0</v>
      </c>
      <c r="P12" s="31">
        <f t="shared" si="5"/>
        <v>0</v>
      </c>
    </row>
    <row r="13" spans="1:16" x14ac:dyDescent="0.25">
      <c r="B13" s="5" t="s">
        <v>494</v>
      </c>
      <c r="C13" s="58"/>
      <c r="E13" s="2">
        <f t="shared" si="6"/>
        <v>10</v>
      </c>
      <c r="F13" s="2">
        <f t="shared" si="6"/>
        <v>2038</v>
      </c>
      <c r="G13" s="50">
        <f>_xlfn.XLOOKUP(F13,'6-Traffic Data'!$F$9:$F$48,'6-Traffic Data'!$Q$9:$Q$48)</f>
        <v>12756848.373047907</v>
      </c>
      <c r="I13" s="31">
        <f t="shared" si="0"/>
        <v>956763.62797859299</v>
      </c>
      <c r="J13" s="31">
        <f t="shared" si="1"/>
        <v>587037.7264414836</v>
      </c>
      <c r="K13" s="58"/>
      <c r="L13" s="31">
        <f t="shared" si="2"/>
        <v>47200.338980277258</v>
      </c>
      <c r="M13" s="31">
        <f t="shared" si="3"/>
        <v>28960.52783777986</v>
      </c>
      <c r="N13" s="58"/>
      <c r="O13" s="31">
        <f t="shared" si="4"/>
        <v>1148464.2197054045</v>
      </c>
      <c r="P13" s="31">
        <f t="shared" si="5"/>
        <v>704658.71059464838</v>
      </c>
    </row>
    <row r="14" spans="1:16" x14ac:dyDescent="0.25">
      <c r="B14" s="5" t="str">
        <f>'3-Inputs'!B56</f>
        <v>Marginal Pavement Costs per VMT ($/mile) - Light Duty/Rural (2022$)</v>
      </c>
      <c r="C14" s="52">
        <f>'3-Inputs'!C56</f>
        <v>0</v>
      </c>
      <c r="E14" s="2">
        <f t="shared" si="6"/>
        <v>11</v>
      </c>
      <c r="F14" s="2">
        <f t="shared" si="6"/>
        <v>2039</v>
      </c>
      <c r="G14" s="50">
        <f>_xlfn.XLOOKUP(F14,'6-Traffic Data'!$F$9:$F$48,'6-Traffic Data'!$Q$9:$Q$48)</f>
        <v>13060158.398907108</v>
      </c>
      <c r="I14" s="31">
        <f t="shared" si="0"/>
        <v>979511.87991803302</v>
      </c>
      <c r="J14" s="31">
        <f t="shared" si="1"/>
        <v>582924.61943018017</v>
      </c>
      <c r="K14" s="58"/>
      <c r="L14" s="31">
        <f t="shared" si="2"/>
        <v>48322.5860759563</v>
      </c>
      <c r="M14" s="31">
        <f t="shared" si="3"/>
        <v>28757.614558555557</v>
      </c>
      <c r="N14" s="58"/>
      <c r="O14" s="31">
        <f t="shared" si="4"/>
        <v>1175770.3929850974</v>
      </c>
      <c r="P14" s="31">
        <f t="shared" si="5"/>
        <v>699721.48671179498</v>
      </c>
    </row>
    <row r="15" spans="1:16" x14ac:dyDescent="0.25">
      <c r="B15" s="5" t="str">
        <f>'3-Inputs'!B59</f>
        <v>Marginal Congestion Costs per VMT ($/mile) - Light Duty/Rural (2022$)</v>
      </c>
      <c r="C15" s="52">
        <f>'3-Inputs'!C59</f>
        <v>2.9000000000000001E-2</v>
      </c>
      <c r="E15" s="2">
        <f t="shared" si="6"/>
        <v>12</v>
      </c>
      <c r="F15" s="2">
        <f t="shared" si="6"/>
        <v>2040</v>
      </c>
      <c r="G15" s="50">
        <f>_xlfn.XLOOKUP(F15,'6-Traffic Data'!$F$9:$F$48,'6-Traffic Data'!$Q$9:$Q$48)</f>
        <v>13370679.999999976</v>
      </c>
      <c r="I15" s="31">
        <f t="shared" si="0"/>
        <v>1002800.9999999981</v>
      </c>
      <c r="J15" s="31">
        <f t="shared" si="1"/>
        <v>578840.33109359641</v>
      </c>
      <c r="K15" s="58"/>
      <c r="L15" s="31">
        <f t="shared" si="2"/>
        <v>49471.515999999916</v>
      </c>
      <c r="M15" s="31">
        <f t="shared" si="3"/>
        <v>28556.123000617426</v>
      </c>
      <c r="N15" s="58"/>
      <c r="O15" s="31">
        <f t="shared" si="4"/>
        <v>1203725.8046880576</v>
      </c>
      <c r="P15" s="31">
        <f t="shared" si="5"/>
        <v>694818.85571667994</v>
      </c>
    </row>
    <row r="16" spans="1:16" x14ac:dyDescent="0.25">
      <c r="B16" s="5" t="str">
        <f>'3-Inputs'!B61</f>
        <v>Marginal Noise Costs per VMT ($/mile)  - Light Duty/Rural (2022$)</v>
      </c>
      <c r="C16" s="52">
        <f>'3-Inputs'!C61</f>
        <v>2.0000000000000001E-4</v>
      </c>
      <c r="E16" s="2">
        <f t="shared" si="6"/>
        <v>13</v>
      </c>
      <c r="F16" s="2">
        <f t="shared" si="6"/>
        <v>2041</v>
      </c>
      <c r="G16" s="50">
        <f>_xlfn.XLOOKUP(F16,'6-Traffic Data'!$F$9:$F$48,'6-Traffic Data'!$Q$9:$Q$48)</f>
        <v>13688584.640547659</v>
      </c>
      <c r="I16" s="31">
        <f t="shared" si="0"/>
        <v>1026643.8480410744</v>
      </c>
      <c r="J16" s="31">
        <f t="shared" si="1"/>
        <v>574784.65951235336</v>
      </c>
      <c r="K16" s="58"/>
      <c r="L16" s="31">
        <f t="shared" si="2"/>
        <v>50647.763170026345</v>
      </c>
      <c r="M16" s="31">
        <f t="shared" si="3"/>
        <v>28356.043202609439</v>
      </c>
      <c r="N16" s="58"/>
      <c r="O16" s="31">
        <f t="shared" si="4"/>
        <v>1232345.8912698417</v>
      </c>
      <c r="P16" s="31">
        <f t="shared" si="5"/>
        <v>689950.57523263351</v>
      </c>
    </row>
    <row r="17" spans="3:16" x14ac:dyDescent="0.25">
      <c r="C17" s="61"/>
      <c r="E17" s="2">
        <f t="shared" si="6"/>
        <v>14</v>
      </c>
      <c r="F17" s="2">
        <f t="shared" si="6"/>
        <v>2042</v>
      </c>
      <c r="G17" s="50">
        <f>_xlfn.XLOOKUP(F17,'6-Traffic Data'!$F$9:$F$48,'6-Traffic Data'!$Q$9:$Q$48)</f>
        <v>14014047.861547625</v>
      </c>
      <c r="I17" s="31">
        <f t="shared" si="0"/>
        <v>1051053.5896160719</v>
      </c>
      <c r="J17" s="31">
        <f t="shared" si="1"/>
        <v>570757.40418182965</v>
      </c>
      <c r="K17" s="58"/>
      <c r="L17" s="31">
        <f t="shared" si="2"/>
        <v>51851.977087726213</v>
      </c>
      <c r="M17" s="31">
        <f t="shared" si="3"/>
        <v>28157.365272970263</v>
      </c>
      <c r="N17" s="58"/>
      <c r="O17" s="31">
        <f t="shared" si="4"/>
        <v>1261646.4562070437</v>
      </c>
      <c r="P17" s="31">
        <f t="shared" si="5"/>
        <v>685116.40458120906</v>
      </c>
    </row>
    <row r="18" spans="3:16" x14ac:dyDescent="0.25">
      <c r="C18" s="61"/>
      <c r="E18" s="2">
        <f t="shared" si="6"/>
        <v>15</v>
      </c>
      <c r="F18" s="2">
        <f t="shared" si="6"/>
        <v>2043</v>
      </c>
      <c r="G18" s="50">
        <f>_xlfn.XLOOKUP(F18,'6-Traffic Data'!$F$9:$F$48,'6-Traffic Data'!$Q$9:$Q$48)</f>
        <v>14347249.377704121</v>
      </c>
      <c r="I18" s="31">
        <f t="shared" si="0"/>
        <v>1076043.703327809</v>
      </c>
      <c r="J18" s="31">
        <f t="shared" si="1"/>
        <v>566758.36600224918</v>
      </c>
      <c r="K18" s="58"/>
      <c r="L18" s="31">
        <f t="shared" si="2"/>
        <v>53084.822697505253</v>
      </c>
      <c r="M18" s="31">
        <f t="shared" si="3"/>
        <v>27960.079389444298</v>
      </c>
      <c r="N18" s="58"/>
      <c r="O18" s="31">
        <f t="shared" si="4"/>
        <v>1291643.6787236817</v>
      </c>
      <c r="P18" s="31">
        <f t="shared" si="5"/>
        <v>680316.10477028566</v>
      </c>
    </row>
    <row r="19" spans="3:16" x14ac:dyDescent="0.25">
      <c r="C19" s="61"/>
      <c r="E19" s="2">
        <f t="shared" si="6"/>
        <v>16</v>
      </c>
      <c r="F19" s="2">
        <f t="shared" si="6"/>
        <v>2044</v>
      </c>
      <c r="G19" s="50">
        <f>_xlfn.XLOOKUP(F19,'6-Traffic Data'!$F$9:$F$48,'6-Traffic Data'!$Q$9:$Q$48)</f>
        <v>14688373.176663263</v>
      </c>
      <c r="I19" s="31">
        <f t="shared" si="0"/>
        <v>1101627.9882497448</v>
      </c>
      <c r="J19" s="31">
        <f t="shared" si="1"/>
        <v>562787.34726883727</v>
      </c>
      <c r="K19" s="58"/>
      <c r="L19" s="31">
        <f t="shared" si="2"/>
        <v>54346.980753654076</v>
      </c>
      <c r="M19" s="31">
        <f t="shared" si="3"/>
        <v>27764.17579859597</v>
      </c>
      <c r="N19" s="58"/>
      <c r="O19" s="31">
        <f t="shared" si="4"/>
        <v>1322354.1227250595</v>
      </c>
      <c r="P19" s="31">
        <f t="shared" si="5"/>
        <v>675549.43848225079</v>
      </c>
    </row>
    <row r="20" spans="3:16" x14ac:dyDescent="0.25">
      <c r="E20" s="2">
        <f t="shared" si="6"/>
        <v>17</v>
      </c>
      <c r="F20" s="2">
        <f t="shared" si="6"/>
        <v>2045</v>
      </c>
      <c r="G20" s="50">
        <f>_xlfn.XLOOKUP(F20,'6-Traffic Data'!$F$9:$F$48,'6-Traffic Data'!$Q$9:$Q$48)</f>
        <v>15037607.620607575</v>
      </c>
      <c r="I20" s="31">
        <f t="shared" si="0"/>
        <v>1127820.5715455681</v>
      </c>
      <c r="J20" s="31">
        <f t="shared" si="1"/>
        <v>558844.15166204656</v>
      </c>
      <c r="K20" s="58"/>
      <c r="L20" s="31">
        <f t="shared" si="2"/>
        <v>55639.148196248032</v>
      </c>
      <c r="M20" s="31">
        <f t="shared" si="3"/>
        <v>27569.644815327636</v>
      </c>
      <c r="N20" s="58"/>
      <c r="O20" s="31">
        <f t="shared" si="4"/>
        <v>1353794.7459440471</v>
      </c>
      <c r="P20" s="31">
        <f t="shared" si="5"/>
        <v>670816.17006226873</v>
      </c>
    </row>
    <row r="21" spans="3:16" x14ac:dyDescent="0.25">
      <c r="E21" s="2">
        <f t="shared" si="6"/>
        <v>18</v>
      </c>
      <c r="F21" s="2">
        <f t="shared" si="6"/>
        <v>2046</v>
      </c>
      <c r="G21" s="50">
        <f>_xlfn.XLOOKUP(F21,'6-Traffic Data'!$F$9:$F$48,'6-Traffic Data'!$Q$9:$Q$48)</f>
        <v>15395145.55026608</v>
      </c>
      <c r="I21" s="31">
        <f t="shared" si="0"/>
        <v>1154635.9162699559</v>
      </c>
      <c r="J21" s="31">
        <f t="shared" si="1"/>
        <v>554928.58423785283</v>
      </c>
      <c r="K21" s="58"/>
      <c r="L21" s="31">
        <f t="shared" si="2"/>
        <v>56962.038535984495</v>
      </c>
      <c r="M21" s="31">
        <f t="shared" si="3"/>
        <v>27376.476822400742</v>
      </c>
      <c r="N21" s="58"/>
      <c r="O21" s="31">
        <f t="shared" si="4"/>
        <v>1385982.9093048251</v>
      </c>
      <c r="P21" s="31">
        <f t="shared" si="5"/>
        <v>666116.06550663116</v>
      </c>
    </row>
    <row r="22" spans="3:16" x14ac:dyDescent="0.25">
      <c r="E22" s="2">
        <f t="shared" si="6"/>
        <v>19</v>
      </c>
      <c r="F22" s="2">
        <f t="shared" si="6"/>
        <v>2047</v>
      </c>
      <c r="G22" s="50">
        <f>_xlfn.XLOOKUP(F22,'6-Traffic Data'!$F$9:$F$48,'6-Traffic Data'!$Q$9:$Q$48)</f>
        <v>15761184.391397318</v>
      </c>
      <c r="I22" s="31">
        <f t="shared" si="0"/>
        <v>1182088.8293547989</v>
      </c>
      <c r="J22" s="31">
        <f t="shared" si="1"/>
        <v>551040.45141811506</v>
      </c>
      <c r="K22" s="58"/>
      <c r="L22" s="31">
        <f t="shared" si="2"/>
        <v>58316.382248170077</v>
      </c>
      <c r="M22" s="31">
        <f t="shared" si="3"/>
        <v>27184.662269960343</v>
      </c>
      <c r="N22" s="58"/>
      <c r="O22" s="31">
        <f t="shared" si="4"/>
        <v>1418936.3865092592</v>
      </c>
      <c r="P22" s="31">
        <f t="shared" si="5"/>
        <v>661448.89245118643</v>
      </c>
    </row>
    <row r="23" spans="3:16" x14ac:dyDescent="0.25">
      <c r="E23" s="2">
        <f t="shared" si="6"/>
        <v>20</v>
      </c>
      <c r="F23" s="2">
        <f t="shared" si="6"/>
        <v>2048</v>
      </c>
      <c r="G23" s="50">
        <f>_xlfn.XLOOKUP(F23,'6-Traffic Data'!$F$9:$F$48,'6-Traffic Data'!$Q$9:$Q$48)</f>
        <v>16135926.263804175</v>
      </c>
      <c r="I23" s="31">
        <f t="shared" si="0"/>
        <v>1210194.4697853131</v>
      </c>
      <c r="J23" s="31">
        <f t="shared" si="1"/>
        <v>547179.56098100694</v>
      </c>
      <c r="K23" s="58"/>
      <c r="L23" s="31">
        <f t="shared" si="2"/>
        <v>59702.927176075449</v>
      </c>
      <c r="M23" s="31">
        <f t="shared" si="3"/>
        <v>26994.191675063008</v>
      </c>
      <c r="N23" s="58"/>
      <c r="O23" s="31">
        <f t="shared" si="4"/>
        <v>1452673.3738512085</v>
      </c>
      <c r="P23" s="31">
        <f t="shared" si="5"/>
        <v>656814.42015985399</v>
      </c>
    </row>
    <row r="24" spans="3:16" x14ac:dyDescent="0.25">
      <c r="E24" s="2">
        <f t="shared" ref="E24:F24" si="7">E23+1</f>
        <v>21</v>
      </c>
      <c r="F24" s="2">
        <f t="shared" si="7"/>
        <v>2049</v>
      </c>
      <c r="G24" s="50">
        <f>_xlfn.XLOOKUP(F24,'6-Traffic Data'!$F$9:$F$48,'6-Traffic Data'!$Q$9:$Q$48)</f>
        <v>16519578.092940658</v>
      </c>
      <c r="I24" s="31">
        <f t="shared" si="0"/>
        <v>1238968.3569705493</v>
      </c>
      <c r="J24" s="31">
        <f t="shared" ref="J24:J33" si="8">I24/((1+$C$3)^($F24-$C$4))</f>
        <v>543345.72205151303</v>
      </c>
      <c r="K24" s="58"/>
      <c r="L24" s="31">
        <f t="shared" si="2"/>
        <v>61122.438943880436</v>
      </c>
      <c r="M24" s="31">
        <f t="shared" ref="M24:M33" si="9">L24/((1+$C$3)^($F24-$C$4))</f>
        <v>26805.055621207975</v>
      </c>
      <c r="N24" s="58"/>
      <c r="O24" s="31">
        <f t="shared" si="4"/>
        <v>1487212.5002641778</v>
      </c>
      <c r="P24" s="31">
        <f t="shared" ref="P24:P33" si="10">O24/((1+$C$3)^($F24-$C$4))</f>
        <v>652212.41951321578</v>
      </c>
    </row>
    <row r="25" spans="3:16" x14ac:dyDescent="0.25">
      <c r="E25" s="2">
        <f t="shared" ref="E25:F25" si="11">E24+1</f>
        <v>22</v>
      </c>
      <c r="F25" s="2">
        <f t="shared" si="11"/>
        <v>2050</v>
      </c>
      <c r="G25" s="50">
        <f>_xlfn.XLOOKUP(F25,'6-Traffic Data'!$F$9:$F$48,'6-Traffic Data'!$Q$9:$Q$48)</f>
        <v>16912351.724172257</v>
      </c>
      <c r="I25" s="31">
        <f t="shared" si="0"/>
        <v>1268426.3793129192</v>
      </c>
      <c r="J25" s="31">
        <f t="shared" si="8"/>
        <v>539538.7450919929</v>
      </c>
      <c r="K25" s="58"/>
      <c r="L25" s="31">
        <f t="shared" si="2"/>
        <v>62575.701379437356</v>
      </c>
      <c r="M25" s="31">
        <f t="shared" si="9"/>
        <v>26617.244757871653</v>
      </c>
      <c r="N25" s="58"/>
      <c r="O25" s="31">
        <f t="shared" si="4"/>
        <v>1522572.8376078662</v>
      </c>
      <c r="P25" s="31">
        <f t="shared" si="10"/>
        <v>647642.66299718991</v>
      </c>
    </row>
    <row r="26" spans="3:16" x14ac:dyDescent="0.25">
      <c r="E26" s="2">
        <f t="shared" ref="E26:F26" si="12">E25+1</f>
        <v>23</v>
      </c>
      <c r="F26" s="2">
        <f t="shared" si="12"/>
        <v>2051</v>
      </c>
      <c r="G26" s="50">
        <f>_xlfn.XLOOKUP(F26,'6-Traffic Data'!$F$9:$F$48,'6-Traffic Data'!$Q$9:$Q$48)</f>
        <v>17314464.03975299</v>
      </c>
      <c r="I26" s="31">
        <f t="shared" si="0"/>
        <v>1298584.8029814742</v>
      </c>
      <c r="J26" s="31">
        <f t="shared" si="8"/>
        <v>535758.44189281017</v>
      </c>
      <c r="K26" s="58"/>
      <c r="L26" s="31">
        <f t="shared" si="2"/>
        <v>64063.516947086064</v>
      </c>
      <c r="M26" s="31">
        <f t="shared" si="9"/>
        <v>26430.749800045302</v>
      </c>
      <c r="N26" s="58"/>
      <c r="O26" s="31">
        <f t="shared" si="4"/>
        <v>1558773.9111992912</v>
      </c>
      <c r="P26" s="31">
        <f t="shared" si="10"/>
        <v>643104.92469178233</v>
      </c>
    </row>
    <row r="27" spans="3:16" x14ac:dyDescent="0.25">
      <c r="E27" s="2">
        <f t="shared" ref="E27:F27" si="13">E26+1</f>
        <v>24</v>
      </c>
      <c r="F27" s="2">
        <f t="shared" si="13"/>
        <v>2052</v>
      </c>
      <c r="G27" s="50">
        <f>_xlfn.XLOOKUP(F27,'6-Traffic Data'!$F$9:$F$48,'6-Traffic Data'!$Q$9:$Q$48)</f>
        <v>17726137.078583736</v>
      </c>
      <c r="I27" s="31">
        <f t="shared" si="0"/>
        <v>1329460.2808937801</v>
      </c>
      <c r="J27" s="31">
        <f t="shared" si="8"/>
        <v>532004.62556302792</v>
      </c>
      <c r="K27" s="58"/>
      <c r="L27" s="31">
        <f t="shared" si="2"/>
        <v>65586.707190759829</v>
      </c>
      <c r="M27" s="31">
        <f t="shared" si="9"/>
        <v>26245.561527776048</v>
      </c>
      <c r="N27" s="58"/>
      <c r="O27" s="31">
        <f t="shared" si="4"/>
        <v>1595835.7105943048</v>
      </c>
      <c r="P27" s="31">
        <f t="shared" si="10"/>
        <v>638598.98025991768</v>
      </c>
    </row>
    <row r="28" spans="3:16" x14ac:dyDescent="0.25">
      <c r="E28" s="2">
        <f t="shared" ref="E28:F28" si="14">E27+1</f>
        <v>25</v>
      </c>
      <c r="F28" s="2">
        <f t="shared" si="14"/>
        <v>2053</v>
      </c>
      <c r="G28" s="50">
        <f>_xlfn.XLOOKUP(F28,'6-Traffic Data'!$F$9:$F$48,'6-Traffic Data'!$Q$9:$Q$48)</f>
        <v>18147598.158817958</v>
      </c>
      <c r="I28" s="31">
        <f t="shared" si="0"/>
        <v>1361069.8619113469</v>
      </c>
      <c r="J28" s="31">
        <f t="shared" si="8"/>
        <v>528277.11052116926</v>
      </c>
      <c r="K28" s="58"/>
      <c r="L28" s="31">
        <f t="shared" si="2"/>
        <v>67146.113187626441</v>
      </c>
      <c r="M28" s="31">
        <f t="shared" si="9"/>
        <v>26061.670785711012</v>
      </c>
      <c r="N28" s="58"/>
      <c r="O28" s="31">
        <f t="shared" si="4"/>
        <v>1633778.7006254504</v>
      </c>
      <c r="P28" s="31">
        <f t="shared" si="10"/>
        <v>634124.60693634872</v>
      </c>
    </row>
    <row r="29" spans="3:16" x14ac:dyDescent="0.25">
      <c r="E29" s="2">
        <f t="shared" ref="E29:F29" si="15">E28+1</f>
        <v>26</v>
      </c>
      <c r="F29" s="2">
        <f t="shared" si="15"/>
        <v>2054</v>
      </c>
      <c r="G29" s="50">
        <f>_xlfn.XLOOKUP(F29,'6-Traffic Data'!$F$9:$F$48,'6-Traffic Data'!$Q$9:$Q$48)</f>
        <v>18579080.003382541</v>
      </c>
      <c r="I29" s="31">
        <f t="shared" si="0"/>
        <v>1393431.0002536906</v>
      </c>
      <c r="J29" s="31">
        <f t="shared" si="8"/>
        <v>524575.71248604241</v>
      </c>
      <c r="K29" s="58"/>
      <c r="L29" s="31">
        <f t="shared" si="2"/>
        <v>68742.596012515409</v>
      </c>
      <c r="M29" s="31">
        <f t="shared" si="9"/>
        <v>25879.068482644758</v>
      </c>
      <c r="N29" s="58"/>
      <c r="O29" s="31">
        <f t="shared" si="4"/>
        <v>1672623.8327022626</v>
      </c>
      <c r="P29" s="31">
        <f t="shared" si="10"/>
        <v>629681.5835166435</v>
      </c>
    </row>
    <row r="30" spans="3:16" x14ac:dyDescent="0.25">
      <c r="E30" s="2">
        <f t="shared" ref="E30:F30" si="16">E29+1</f>
        <v>27</v>
      </c>
      <c r="F30" s="2">
        <f t="shared" si="16"/>
        <v>2055</v>
      </c>
      <c r="G30" s="50">
        <f>_xlfn.XLOOKUP(F30,'6-Traffic Data'!$F$9:$F$48,'6-Traffic Data'!$Q$9:$Q$48)</f>
        <v>19020820.868483044</v>
      </c>
      <c r="I30" s="31">
        <f t="shared" si="0"/>
        <v>1426561.5651362282</v>
      </c>
      <c r="J30" s="31">
        <f t="shared" si="8"/>
        <v>520900.24846763076</v>
      </c>
      <c r="K30" s="58"/>
      <c r="L30" s="31">
        <f t="shared" si="2"/>
        <v>70377.037213387273</v>
      </c>
      <c r="M30" s="31">
        <f t="shared" si="9"/>
        <v>25697.74559106979</v>
      </c>
      <c r="N30" s="58"/>
      <c r="O30" s="31">
        <f t="shared" si="4"/>
        <v>1712392.5563802433</v>
      </c>
      <c r="P30" s="31">
        <f t="shared" si="10"/>
        <v>625269.69034624926</v>
      </c>
    </row>
    <row r="31" spans="3:16" x14ac:dyDescent="0.25">
      <c r="E31" s="2">
        <f t="shared" ref="E31:F31" si="17">E30+1</f>
        <v>28</v>
      </c>
      <c r="F31" s="2">
        <f t="shared" si="17"/>
        <v>2056</v>
      </c>
      <c r="G31" s="50">
        <f>_xlfn.XLOOKUP(F31,'6-Traffic Data'!$F$9:$F$48,'6-Traffic Data'!$Q$9:$Q$48)</f>
        <v>19473064.675164305</v>
      </c>
      <c r="I31" s="31">
        <f t="shared" si="0"/>
        <v>1460479.8506373228</v>
      </c>
      <c r="J31" s="31">
        <f t="shared" si="8"/>
        <v>517250.53675804532</v>
      </c>
      <c r="K31" s="58"/>
      <c r="L31" s="31">
        <f t="shared" si="2"/>
        <v>72050.339298107923</v>
      </c>
      <c r="M31" s="31">
        <f t="shared" si="9"/>
        <v>25517.693146730235</v>
      </c>
      <c r="N31" s="58"/>
      <c r="O31" s="31">
        <f t="shared" si="4"/>
        <v>1753106.8312049038</v>
      </c>
      <c r="P31" s="31">
        <f t="shared" si="10"/>
        <v>620888.70930963266</v>
      </c>
    </row>
    <row r="32" spans="3:16" x14ac:dyDescent="0.25">
      <c r="E32" s="2">
        <f t="shared" ref="E32:F32" si="18">E31+1</f>
        <v>29</v>
      </c>
      <c r="F32" s="2">
        <f t="shared" si="18"/>
        <v>2057</v>
      </c>
      <c r="G32" s="50">
        <f>_xlfn.XLOOKUP(F32,'6-Traffic Data'!$F$9:$F$48,'6-Traffic Data'!$Q$9:$Q$48)</f>
        <v>19936061.143999092</v>
      </c>
      <c r="I32" s="31">
        <f t="shared" si="0"/>
        <v>1495204.5857999318</v>
      </c>
      <c r="J32" s="31">
        <f t="shared" si="8"/>
        <v>513626.39692254184</v>
      </c>
      <c r="K32" s="58"/>
      <c r="L32" s="31">
        <f t="shared" si="2"/>
        <v>73763.426232796643</v>
      </c>
      <c r="M32" s="31">
        <f t="shared" si="9"/>
        <v>25338.902248178732</v>
      </c>
      <c r="N32" s="58"/>
      <c r="O32" s="31">
        <f t="shared" si="4"/>
        <v>1794789.1388374164</v>
      </c>
      <c r="P32" s="31">
        <f t="shared" si="10"/>
        <v>616538.42381949711</v>
      </c>
    </row>
    <row r="33" spans="5:16" x14ac:dyDescent="0.25">
      <c r="E33" s="2">
        <f t="shared" ref="E33:F33" si="19">E32+1</f>
        <v>30</v>
      </c>
      <c r="F33" s="2">
        <f t="shared" si="19"/>
        <v>2058</v>
      </c>
      <c r="G33" s="50">
        <f>_xlfn.XLOOKUP(F33,'6-Traffic Data'!$F$9:$F$48,'6-Traffic Data'!$Q$9:$Q$48)</f>
        <v>10205032.966489566</v>
      </c>
      <c r="I33" s="31">
        <f t="shared" si="0"/>
        <v>765377.47248671751</v>
      </c>
      <c r="J33" s="31">
        <f t="shared" si="8"/>
        <v>255013.82489530029</v>
      </c>
      <c r="K33" s="58"/>
      <c r="L33" s="31">
        <f t="shared" si="2"/>
        <v>37758.621976011396</v>
      </c>
      <c r="M33" s="31">
        <f t="shared" si="9"/>
        <v>12580.682028168147</v>
      </c>
      <c r="N33" s="58"/>
      <c r="O33" s="31">
        <f t="shared" si="4"/>
        <v>918731.24773428356</v>
      </c>
      <c r="P33" s="31">
        <f t="shared" si="10"/>
        <v>306109.30940303736</v>
      </c>
    </row>
    <row r="34" spans="5:16" x14ac:dyDescent="0.25">
      <c r="G34" s="56" t="s">
        <v>156</v>
      </c>
      <c r="I34" s="57">
        <f>SUM(I4:I33)</f>
        <v>24906749.580470916</v>
      </c>
      <c r="J34" s="57">
        <f>SUM(J4:J33)</f>
        <v>11246174.566879623</v>
      </c>
      <c r="K34" s="58"/>
      <c r="L34" s="57">
        <f>SUM(L4:L33)</f>
        <v>1228732.9793032324</v>
      </c>
      <c r="M34" s="57">
        <f>SUM(M4:M33)</f>
        <v>554811.27863272815</v>
      </c>
      <c r="N34" s="58"/>
      <c r="O34" s="57">
        <f>SUM(O4:O33)</f>
        <v>29897155.249063723</v>
      </c>
      <c r="P34" s="57">
        <f>SUM(P4:P33)</f>
        <v>13499498.435062956</v>
      </c>
    </row>
    <row r="36" spans="5:16" x14ac:dyDescent="0.25">
      <c r="E36" s="5" t="s">
        <v>247</v>
      </c>
    </row>
    <row r="37" spans="5:16" ht="40.5" x14ac:dyDescent="0.25">
      <c r="E37" s="49" t="s">
        <v>178</v>
      </c>
      <c r="F37" s="49" t="s">
        <v>174</v>
      </c>
      <c r="G37" s="49" t="s">
        <v>498</v>
      </c>
      <c r="I37" s="49" t="str">
        <f>I3</f>
        <v>Congestion Total (2022$)</v>
      </c>
      <c r="J37" s="49" t="str">
        <f>J3</f>
        <v>Discounted 3.1%</v>
      </c>
      <c r="L37" s="49" t="str">
        <f>L3</f>
        <v>Noise Total (2022$)</v>
      </c>
      <c r="M37" s="49" t="str">
        <f>M3</f>
        <v>Discounted 3.1%</v>
      </c>
      <c r="O37" s="49" t="str">
        <f>O3</f>
        <v>Pavement Wear Total (2022$)</v>
      </c>
      <c r="P37" s="49" t="str">
        <f>P3</f>
        <v>Discounted 3.1%</v>
      </c>
    </row>
    <row r="38" spans="5:16" x14ac:dyDescent="0.25">
      <c r="E38" s="2">
        <v>1</v>
      </c>
      <c r="F38" s="2">
        <f>$C$5</f>
        <v>2029</v>
      </c>
      <c r="G38" s="50">
        <f>_xlfn.XLOOKUP(F38,'6-Traffic Data'!$F$9:$F$48,'6-Traffic Data'!$R$9:$R$48)</f>
        <v>0</v>
      </c>
      <c r="I38" s="31">
        <f>$G38*$C$15</f>
        <v>0</v>
      </c>
      <c r="J38" s="31">
        <f>I38/((1+$C$3)^($F38-$C$4))</f>
        <v>0</v>
      </c>
      <c r="K38" s="58"/>
      <c r="L38" s="31">
        <f>$G38*$C$16</f>
        <v>0</v>
      </c>
      <c r="M38" s="31">
        <f>L38/((1+$C$3)^($F38-$C$4))</f>
        <v>0</v>
      </c>
      <c r="N38" s="58"/>
      <c r="O38" s="31">
        <f>$G38*$C$14</f>
        <v>0</v>
      </c>
      <c r="P38" s="31">
        <f>O38/((1+$C$3)^($F38-$C$4))</f>
        <v>0</v>
      </c>
    </row>
    <row r="39" spans="5:16" x14ac:dyDescent="0.25">
      <c r="E39" s="2">
        <f>E38+1</f>
        <v>2</v>
      </c>
      <c r="F39" s="2">
        <f>F38+1</f>
        <v>2030</v>
      </c>
      <c r="G39" s="50">
        <f>_xlfn.XLOOKUP(F39,'6-Traffic Data'!$F$9:$F$48,'6-Traffic Data'!$R$9:$R$48)</f>
        <v>0</v>
      </c>
      <c r="I39" s="31">
        <f t="shared" ref="I39:I67" si="20">$G39*$C$15</f>
        <v>0</v>
      </c>
      <c r="J39" s="31">
        <f t="shared" ref="J39:J57" si="21">I39/((1+$C$3)^($F39-$C$4))</f>
        <v>0</v>
      </c>
      <c r="K39" s="58"/>
      <c r="L39" s="31">
        <f t="shared" ref="L39:L67" si="22">$G39*$C$16</f>
        <v>0</v>
      </c>
      <c r="M39" s="31">
        <f t="shared" ref="M39:M57" si="23">L39/((1+$C$3)^($F39-$C$4))</f>
        <v>0</v>
      </c>
      <c r="N39" s="58"/>
      <c r="O39" s="31">
        <f t="shared" ref="O39:O67" si="24">$G39*$C$14</f>
        <v>0</v>
      </c>
      <c r="P39" s="31">
        <f t="shared" ref="P39:P57" si="25">O39/((1+$C$3)^($F39-$C$4))</f>
        <v>0</v>
      </c>
    </row>
    <row r="40" spans="5:16" x14ac:dyDescent="0.25">
      <c r="E40" s="2">
        <f t="shared" ref="E40:F57" si="26">E39+1</f>
        <v>3</v>
      </c>
      <c r="F40" s="2">
        <f t="shared" si="26"/>
        <v>2031</v>
      </c>
      <c r="G40" s="50">
        <f>_xlfn.XLOOKUP(F40,'6-Traffic Data'!$F$9:$F$48,'6-Traffic Data'!$R$9:$R$48)</f>
        <v>0</v>
      </c>
      <c r="I40" s="31">
        <f t="shared" si="20"/>
        <v>0</v>
      </c>
      <c r="J40" s="31">
        <f t="shared" si="21"/>
        <v>0</v>
      </c>
      <c r="K40" s="58"/>
      <c r="L40" s="31">
        <f t="shared" si="22"/>
        <v>0</v>
      </c>
      <c r="M40" s="31">
        <f t="shared" si="23"/>
        <v>0</v>
      </c>
      <c r="N40" s="58"/>
      <c r="O40" s="31">
        <f t="shared" si="24"/>
        <v>0</v>
      </c>
      <c r="P40" s="31">
        <f t="shared" si="25"/>
        <v>0</v>
      </c>
    </row>
    <row r="41" spans="5:16" x14ac:dyDescent="0.25">
      <c r="E41" s="2">
        <f t="shared" si="26"/>
        <v>4</v>
      </c>
      <c r="F41" s="2">
        <f t="shared" si="26"/>
        <v>2032</v>
      </c>
      <c r="G41" s="50">
        <f>_xlfn.XLOOKUP(F41,'6-Traffic Data'!$F$9:$F$48,'6-Traffic Data'!$R$9:$R$48)</f>
        <v>0</v>
      </c>
      <c r="I41" s="31">
        <f t="shared" si="20"/>
        <v>0</v>
      </c>
      <c r="J41" s="31">
        <f t="shared" si="21"/>
        <v>0</v>
      </c>
      <c r="K41" s="58"/>
      <c r="L41" s="31">
        <f t="shared" si="22"/>
        <v>0</v>
      </c>
      <c r="M41" s="31">
        <f t="shared" si="23"/>
        <v>0</v>
      </c>
      <c r="N41" s="58"/>
      <c r="O41" s="31">
        <f t="shared" si="24"/>
        <v>0</v>
      </c>
      <c r="P41" s="31">
        <f t="shared" si="25"/>
        <v>0</v>
      </c>
    </row>
    <row r="42" spans="5:16" x14ac:dyDescent="0.25">
      <c r="E42" s="2">
        <f t="shared" si="26"/>
        <v>5</v>
      </c>
      <c r="F42" s="2">
        <f t="shared" si="26"/>
        <v>2033</v>
      </c>
      <c r="G42" s="50">
        <f>_xlfn.XLOOKUP(F42,'6-Traffic Data'!$F$9:$F$48,'6-Traffic Data'!$R$9:$R$48)</f>
        <v>0</v>
      </c>
      <c r="I42" s="31">
        <f t="shared" si="20"/>
        <v>0</v>
      </c>
      <c r="J42" s="31">
        <f t="shared" si="21"/>
        <v>0</v>
      </c>
      <c r="K42" s="58"/>
      <c r="L42" s="31">
        <f t="shared" si="22"/>
        <v>0</v>
      </c>
      <c r="M42" s="31">
        <f t="shared" si="23"/>
        <v>0</v>
      </c>
      <c r="N42" s="58"/>
      <c r="O42" s="31">
        <f t="shared" si="24"/>
        <v>0</v>
      </c>
      <c r="P42" s="31">
        <f t="shared" si="25"/>
        <v>0</v>
      </c>
    </row>
    <row r="43" spans="5:16" x14ac:dyDescent="0.25">
      <c r="E43" s="2">
        <f t="shared" si="26"/>
        <v>6</v>
      </c>
      <c r="F43" s="2">
        <f t="shared" si="26"/>
        <v>2034</v>
      </c>
      <c r="G43" s="50">
        <f>_xlfn.XLOOKUP(F43,'6-Traffic Data'!$F$9:$F$48,'6-Traffic Data'!$R$9:$R$48)</f>
        <v>0</v>
      </c>
      <c r="I43" s="31">
        <f t="shared" si="20"/>
        <v>0</v>
      </c>
      <c r="J43" s="31">
        <f t="shared" si="21"/>
        <v>0</v>
      </c>
      <c r="K43" s="58"/>
      <c r="L43" s="31">
        <f t="shared" si="22"/>
        <v>0</v>
      </c>
      <c r="M43" s="31">
        <f t="shared" si="23"/>
        <v>0</v>
      </c>
      <c r="N43" s="58"/>
      <c r="O43" s="31">
        <f t="shared" si="24"/>
        <v>0</v>
      </c>
      <c r="P43" s="31">
        <f t="shared" si="25"/>
        <v>0</v>
      </c>
    </row>
    <row r="44" spans="5:16" x14ac:dyDescent="0.25">
      <c r="E44" s="2">
        <f t="shared" si="26"/>
        <v>7</v>
      </c>
      <c r="F44" s="2">
        <f t="shared" si="26"/>
        <v>2035</v>
      </c>
      <c r="G44" s="50">
        <f>_xlfn.XLOOKUP(F44,'6-Traffic Data'!$F$9:$F$48,'6-Traffic Data'!$R$9:$R$48)</f>
        <v>0</v>
      </c>
      <c r="I44" s="31">
        <f t="shared" si="20"/>
        <v>0</v>
      </c>
      <c r="J44" s="31">
        <f t="shared" si="21"/>
        <v>0</v>
      </c>
      <c r="K44" s="58"/>
      <c r="L44" s="31">
        <f t="shared" si="22"/>
        <v>0</v>
      </c>
      <c r="M44" s="31">
        <f t="shared" si="23"/>
        <v>0</v>
      </c>
      <c r="N44" s="58"/>
      <c r="O44" s="31">
        <f t="shared" si="24"/>
        <v>0</v>
      </c>
      <c r="P44" s="31">
        <f t="shared" si="25"/>
        <v>0</v>
      </c>
    </row>
    <row r="45" spans="5:16" x14ac:dyDescent="0.25">
      <c r="E45" s="2">
        <f t="shared" si="26"/>
        <v>8</v>
      </c>
      <c r="F45" s="2">
        <f t="shared" si="26"/>
        <v>2036</v>
      </c>
      <c r="G45" s="50">
        <f>_xlfn.XLOOKUP(F45,'6-Traffic Data'!$F$9:$F$48,'6-Traffic Data'!$R$9:$R$48)</f>
        <v>0</v>
      </c>
      <c r="I45" s="31">
        <f t="shared" si="20"/>
        <v>0</v>
      </c>
      <c r="J45" s="31">
        <f t="shared" si="21"/>
        <v>0</v>
      </c>
      <c r="K45" s="58"/>
      <c r="L45" s="31">
        <f t="shared" si="22"/>
        <v>0</v>
      </c>
      <c r="M45" s="31">
        <f t="shared" si="23"/>
        <v>0</v>
      </c>
      <c r="N45" s="58"/>
      <c r="O45" s="31">
        <f t="shared" si="24"/>
        <v>0</v>
      </c>
      <c r="P45" s="31">
        <f t="shared" si="25"/>
        <v>0</v>
      </c>
    </row>
    <row r="46" spans="5:16" x14ac:dyDescent="0.25">
      <c r="E46" s="2">
        <f t="shared" si="26"/>
        <v>9</v>
      </c>
      <c r="F46" s="2">
        <f t="shared" si="26"/>
        <v>2037</v>
      </c>
      <c r="G46" s="50">
        <f>_xlfn.XLOOKUP(F46,'6-Traffic Data'!$F$9:$F$48,'6-Traffic Data'!$R$9:$R$48)</f>
        <v>0</v>
      </c>
      <c r="I46" s="31">
        <f t="shared" si="20"/>
        <v>0</v>
      </c>
      <c r="J46" s="31">
        <f t="shared" si="21"/>
        <v>0</v>
      </c>
      <c r="K46" s="58"/>
      <c r="L46" s="31">
        <f t="shared" si="22"/>
        <v>0</v>
      </c>
      <c r="M46" s="31">
        <f t="shared" si="23"/>
        <v>0</v>
      </c>
      <c r="N46" s="58"/>
      <c r="O46" s="31">
        <f t="shared" si="24"/>
        <v>0</v>
      </c>
      <c r="P46" s="31">
        <f t="shared" si="25"/>
        <v>0</v>
      </c>
    </row>
    <row r="47" spans="5:16" x14ac:dyDescent="0.25">
      <c r="E47" s="2">
        <f t="shared" si="26"/>
        <v>10</v>
      </c>
      <c r="F47" s="2">
        <f t="shared" si="26"/>
        <v>2038</v>
      </c>
      <c r="G47" s="50">
        <f>_xlfn.XLOOKUP(F47,'6-Traffic Data'!$F$9:$F$48,'6-Traffic Data'!$R$9:$R$48)</f>
        <v>0</v>
      </c>
      <c r="I47" s="31">
        <f t="shared" si="20"/>
        <v>0</v>
      </c>
      <c r="J47" s="31">
        <f t="shared" si="21"/>
        <v>0</v>
      </c>
      <c r="K47" s="58"/>
      <c r="L47" s="31">
        <f t="shared" si="22"/>
        <v>0</v>
      </c>
      <c r="M47" s="31">
        <f t="shared" si="23"/>
        <v>0</v>
      </c>
      <c r="N47" s="58"/>
      <c r="O47" s="31">
        <f t="shared" si="24"/>
        <v>0</v>
      </c>
      <c r="P47" s="31">
        <f t="shared" si="25"/>
        <v>0</v>
      </c>
    </row>
    <row r="48" spans="5:16" x14ac:dyDescent="0.25">
      <c r="E48" s="2">
        <f t="shared" si="26"/>
        <v>11</v>
      </c>
      <c r="F48" s="2">
        <f t="shared" si="26"/>
        <v>2039</v>
      </c>
      <c r="G48" s="50">
        <f>_xlfn.XLOOKUP(F48,'6-Traffic Data'!$F$9:$F$48,'6-Traffic Data'!$R$9:$R$48)</f>
        <v>0</v>
      </c>
      <c r="I48" s="31">
        <f t="shared" si="20"/>
        <v>0</v>
      </c>
      <c r="J48" s="31">
        <f t="shared" si="21"/>
        <v>0</v>
      </c>
      <c r="K48" s="58"/>
      <c r="L48" s="31">
        <f t="shared" si="22"/>
        <v>0</v>
      </c>
      <c r="M48" s="31">
        <f t="shared" si="23"/>
        <v>0</v>
      </c>
      <c r="N48" s="58"/>
      <c r="O48" s="31">
        <f t="shared" si="24"/>
        <v>0</v>
      </c>
      <c r="P48" s="31">
        <f t="shared" si="25"/>
        <v>0</v>
      </c>
    </row>
    <row r="49" spans="5:16" x14ac:dyDescent="0.25">
      <c r="E49" s="2">
        <f t="shared" si="26"/>
        <v>12</v>
      </c>
      <c r="F49" s="2">
        <f t="shared" si="26"/>
        <v>2040</v>
      </c>
      <c r="G49" s="50">
        <f>_xlfn.XLOOKUP(F49,'6-Traffic Data'!$F$9:$F$48,'6-Traffic Data'!$R$9:$R$48)</f>
        <v>0</v>
      </c>
      <c r="I49" s="31">
        <f t="shared" si="20"/>
        <v>0</v>
      </c>
      <c r="J49" s="31">
        <f t="shared" si="21"/>
        <v>0</v>
      </c>
      <c r="K49" s="58"/>
      <c r="L49" s="31">
        <f t="shared" si="22"/>
        <v>0</v>
      </c>
      <c r="M49" s="31">
        <f t="shared" si="23"/>
        <v>0</v>
      </c>
      <c r="N49" s="58"/>
      <c r="O49" s="31">
        <f t="shared" si="24"/>
        <v>0</v>
      </c>
      <c r="P49" s="31">
        <f t="shared" si="25"/>
        <v>0</v>
      </c>
    </row>
    <row r="50" spans="5:16" x14ac:dyDescent="0.25">
      <c r="E50" s="2">
        <f t="shared" si="26"/>
        <v>13</v>
      </c>
      <c r="F50" s="2">
        <f t="shared" si="26"/>
        <v>2041</v>
      </c>
      <c r="G50" s="50">
        <f>_xlfn.XLOOKUP(F50,'6-Traffic Data'!$F$9:$F$48,'6-Traffic Data'!$R$9:$R$48)</f>
        <v>0</v>
      </c>
      <c r="I50" s="31">
        <f t="shared" si="20"/>
        <v>0</v>
      </c>
      <c r="J50" s="31">
        <f t="shared" si="21"/>
        <v>0</v>
      </c>
      <c r="K50" s="58"/>
      <c r="L50" s="31">
        <f t="shared" si="22"/>
        <v>0</v>
      </c>
      <c r="M50" s="31">
        <f t="shared" si="23"/>
        <v>0</v>
      </c>
      <c r="N50" s="58"/>
      <c r="O50" s="31">
        <f t="shared" si="24"/>
        <v>0</v>
      </c>
      <c r="P50" s="31">
        <f t="shared" si="25"/>
        <v>0</v>
      </c>
    </row>
    <row r="51" spans="5:16" x14ac:dyDescent="0.25">
      <c r="E51" s="2">
        <f t="shared" si="26"/>
        <v>14</v>
      </c>
      <c r="F51" s="2">
        <f t="shared" si="26"/>
        <v>2042</v>
      </c>
      <c r="G51" s="50">
        <f>_xlfn.XLOOKUP(F51,'6-Traffic Data'!$F$9:$F$48,'6-Traffic Data'!$R$9:$R$48)</f>
        <v>0</v>
      </c>
      <c r="I51" s="31">
        <f t="shared" si="20"/>
        <v>0</v>
      </c>
      <c r="J51" s="31">
        <f t="shared" si="21"/>
        <v>0</v>
      </c>
      <c r="K51" s="58"/>
      <c r="L51" s="31">
        <f t="shared" si="22"/>
        <v>0</v>
      </c>
      <c r="M51" s="31">
        <f t="shared" si="23"/>
        <v>0</v>
      </c>
      <c r="N51" s="58"/>
      <c r="O51" s="31">
        <f t="shared" si="24"/>
        <v>0</v>
      </c>
      <c r="P51" s="31">
        <f t="shared" si="25"/>
        <v>0</v>
      </c>
    </row>
    <row r="52" spans="5:16" x14ac:dyDescent="0.25">
      <c r="E52" s="2">
        <f t="shared" si="26"/>
        <v>15</v>
      </c>
      <c r="F52" s="2">
        <f t="shared" si="26"/>
        <v>2043</v>
      </c>
      <c r="G52" s="50">
        <f>_xlfn.XLOOKUP(F52,'6-Traffic Data'!$F$9:$F$48,'6-Traffic Data'!$R$9:$R$48)</f>
        <v>0</v>
      </c>
      <c r="I52" s="31">
        <f t="shared" si="20"/>
        <v>0</v>
      </c>
      <c r="J52" s="31">
        <f t="shared" si="21"/>
        <v>0</v>
      </c>
      <c r="K52" s="58"/>
      <c r="L52" s="31">
        <f t="shared" si="22"/>
        <v>0</v>
      </c>
      <c r="M52" s="31">
        <f t="shared" si="23"/>
        <v>0</v>
      </c>
      <c r="N52" s="58"/>
      <c r="O52" s="31">
        <f t="shared" si="24"/>
        <v>0</v>
      </c>
      <c r="P52" s="31">
        <f t="shared" si="25"/>
        <v>0</v>
      </c>
    </row>
    <row r="53" spans="5:16" x14ac:dyDescent="0.25">
      <c r="E53" s="2">
        <f t="shared" si="26"/>
        <v>16</v>
      </c>
      <c r="F53" s="2">
        <f t="shared" si="26"/>
        <v>2044</v>
      </c>
      <c r="G53" s="50">
        <f>_xlfn.XLOOKUP(F53,'6-Traffic Data'!$F$9:$F$48,'6-Traffic Data'!$R$9:$R$48)</f>
        <v>0</v>
      </c>
      <c r="I53" s="31">
        <f t="shared" si="20"/>
        <v>0</v>
      </c>
      <c r="J53" s="31">
        <f t="shared" si="21"/>
        <v>0</v>
      </c>
      <c r="K53" s="58"/>
      <c r="L53" s="31">
        <f t="shared" si="22"/>
        <v>0</v>
      </c>
      <c r="M53" s="31">
        <f t="shared" si="23"/>
        <v>0</v>
      </c>
      <c r="N53" s="58"/>
      <c r="O53" s="31">
        <f t="shared" si="24"/>
        <v>0</v>
      </c>
      <c r="P53" s="31">
        <f t="shared" si="25"/>
        <v>0</v>
      </c>
    </row>
    <row r="54" spans="5:16" x14ac:dyDescent="0.25">
      <c r="E54" s="2">
        <f t="shared" si="26"/>
        <v>17</v>
      </c>
      <c r="F54" s="2">
        <f t="shared" si="26"/>
        <v>2045</v>
      </c>
      <c r="G54" s="50">
        <f>_xlfn.XLOOKUP(F54,'6-Traffic Data'!$F$9:$F$48,'6-Traffic Data'!$R$9:$R$48)</f>
        <v>0</v>
      </c>
      <c r="I54" s="31">
        <f t="shared" si="20"/>
        <v>0</v>
      </c>
      <c r="J54" s="31">
        <f t="shared" si="21"/>
        <v>0</v>
      </c>
      <c r="K54" s="58"/>
      <c r="L54" s="31">
        <f t="shared" si="22"/>
        <v>0</v>
      </c>
      <c r="M54" s="31">
        <f t="shared" si="23"/>
        <v>0</v>
      </c>
      <c r="N54" s="58"/>
      <c r="O54" s="31">
        <f t="shared" si="24"/>
        <v>0</v>
      </c>
      <c r="P54" s="31">
        <f t="shared" si="25"/>
        <v>0</v>
      </c>
    </row>
    <row r="55" spans="5:16" x14ac:dyDescent="0.25">
      <c r="E55" s="2">
        <f t="shared" si="26"/>
        <v>18</v>
      </c>
      <c r="F55" s="2">
        <f t="shared" si="26"/>
        <v>2046</v>
      </c>
      <c r="G55" s="50">
        <f>_xlfn.XLOOKUP(F55,'6-Traffic Data'!$F$9:$F$48,'6-Traffic Data'!$R$9:$R$48)</f>
        <v>0</v>
      </c>
      <c r="I55" s="31">
        <f t="shared" si="20"/>
        <v>0</v>
      </c>
      <c r="J55" s="31">
        <f t="shared" si="21"/>
        <v>0</v>
      </c>
      <c r="K55" s="58"/>
      <c r="L55" s="31">
        <f t="shared" si="22"/>
        <v>0</v>
      </c>
      <c r="M55" s="31">
        <f t="shared" si="23"/>
        <v>0</v>
      </c>
      <c r="N55" s="58"/>
      <c r="O55" s="31">
        <f t="shared" si="24"/>
        <v>0</v>
      </c>
      <c r="P55" s="31">
        <f t="shared" si="25"/>
        <v>0</v>
      </c>
    </row>
    <row r="56" spans="5:16" x14ac:dyDescent="0.25">
      <c r="E56" s="2">
        <f t="shared" si="26"/>
        <v>19</v>
      </c>
      <c r="F56" s="2">
        <f t="shared" si="26"/>
        <v>2047</v>
      </c>
      <c r="G56" s="50">
        <f>_xlfn.XLOOKUP(F56,'6-Traffic Data'!$F$9:$F$48,'6-Traffic Data'!$R$9:$R$48)</f>
        <v>0</v>
      </c>
      <c r="I56" s="31">
        <f t="shared" si="20"/>
        <v>0</v>
      </c>
      <c r="J56" s="31">
        <f t="shared" si="21"/>
        <v>0</v>
      </c>
      <c r="K56" s="58"/>
      <c r="L56" s="31">
        <f t="shared" si="22"/>
        <v>0</v>
      </c>
      <c r="M56" s="31">
        <f t="shared" si="23"/>
        <v>0</v>
      </c>
      <c r="N56" s="58"/>
      <c r="O56" s="31">
        <f t="shared" si="24"/>
        <v>0</v>
      </c>
      <c r="P56" s="31">
        <f t="shared" si="25"/>
        <v>0</v>
      </c>
    </row>
    <row r="57" spans="5:16" x14ac:dyDescent="0.25">
      <c r="E57" s="2">
        <f t="shared" si="26"/>
        <v>20</v>
      </c>
      <c r="F57" s="2">
        <f t="shared" si="26"/>
        <v>2048</v>
      </c>
      <c r="G57" s="50">
        <f>_xlfn.XLOOKUP(F57,'6-Traffic Data'!$F$9:$F$48,'6-Traffic Data'!$R$9:$R$48)</f>
        <v>0</v>
      </c>
      <c r="I57" s="31">
        <f t="shared" si="20"/>
        <v>0</v>
      </c>
      <c r="J57" s="31">
        <f t="shared" si="21"/>
        <v>0</v>
      </c>
      <c r="K57" s="58"/>
      <c r="L57" s="31">
        <f t="shared" si="22"/>
        <v>0</v>
      </c>
      <c r="M57" s="31">
        <f t="shared" si="23"/>
        <v>0</v>
      </c>
      <c r="N57" s="58"/>
      <c r="O57" s="31">
        <f t="shared" si="24"/>
        <v>0</v>
      </c>
      <c r="P57" s="31">
        <f t="shared" si="25"/>
        <v>0</v>
      </c>
    </row>
    <row r="58" spans="5:16" x14ac:dyDescent="0.25">
      <c r="E58" s="2">
        <f t="shared" ref="E58:F58" si="27">E57+1</f>
        <v>21</v>
      </c>
      <c r="F58" s="2">
        <f t="shared" si="27"/>
        <v>2049</v>
      </c>
      <c r="G58" s="50">
        <f>_xlfn.XLOOKUP(F58,'6-Traffic Data'!$F$9:$F$48,'6-Traffic Data'!$R$9:$R$48)</f>
        <v>0</v>
      </c>
      <c r="I58" s="31">
        <f t="shared" si="20"/>
        <v>0</v>
      </c>
      <c r="J58" s="31">
        <f t="shared" ref="J58:J67" si="28">I58/((1+$C$3)^($F58-$C$4))</f>
        <v>0</v>
      </c>
      <c r="K58" s="58"/>
      <c r="L58" s="31">
        <f t="shared" si="22"/>
        <v>0</v>
      </c>
      <c r="M58" s="31">
        <f t="shared" ref="M58:M67" si="29">L58/((1+$C$3)^($F58-$C$4))</f>
        <v>0</v>
      </c>
      <c r="N58" s="58"/>
      <c r="O58" s="31">
        <f t="shared" si="24"/>
        <v>0</v>
      </c>
      <c r="P58" s="31">
        <f t="shared" ref="P58:P67" si="30">O58/((1+$C$3)^($F58-$C$4))</f>
        <v>0</v>
      </c>
    </row>
    <row r="59" spans="5:16" x14ac:dyDescent="0.25">
      <c r="E59" s="2">
        <f t="shared" ref="E59:F59" si="31">E58+1</f>
        <v>22</v>
      </c>
      <c r="F59" s="2">
        <f t="shared" si="31"/>
        <v>2050</v>
      </c>
      <c r="G59" s="50">
        <f>_xlfn.XLOOKUP(F59,'6-Traffic Data'!$F$9:$F$48,'6-Traffic Data'!$R$9:$R$48)</f>
        <v>0</v>
      </c>
      <c r="I59" s="31">
        <f t="shared" si="20"/>
        <v>0</v>
      </c>
      <c r="J59" s="31">
        <f t="shared" si="28"/>
        <v>0</v>
      </c>
      <c r="K59" s="58"/>
      <c r="L59" s="31">
        <f t="shared" si="22"/>
        <v>0</v>
      </c>
      <c r="M59" s="31">
        <f t="shared" si="29"/>
        <v>0</v>
      </c>
      <c r="N59" s="58"/>
      <c r="O59" s="31">
        <f t="shared" si="24"/>
        <v>0</v>
      </c>
      <c r="P59" s="31">
        <f t="shared" si="30"/>
        <v>0</v>
      </c>
    </row>
    <row r="60" spans="5:16" x14ac:dyDescent="0.25">
      <c r="E60" s="2">
        <f t="shared" ref="E60:F60" si="32">E59+1</f>
        <v>23</v>
      </c>
      <c r="F60" s="2">
        <f t="shared" si="32"/>
        <v>2051</v>
      </c>
      <c r="G60" s="50">
        <f>_xlfn.XLOOKUP(F60,'6-Traffic Data'!$F$9:$F$48,'6-Traffic Data'!$R$9:$R$48)</f>
        <v>0</v>
      </c>
      <c r="I60" s="31">
        <f t="shared" si="20"/>
        <v>0</v>
      </c>
      <c r="J60" s="31">
        <f t="shared" si="28"/>
        <v>0</v>
      </c>
      <c r="K60" s="58"/>
      <c r="L60" s="31">
        <f t="shared" si="22"/>
        <v>0</v>
      </c>
      <c r="M60" s="31">
        <f t="shared" si="29"/>
        <v>0</v>
      </c>
      <c r="N60" s="58"/>
      <c r="O60" s="31">
        <f t="shared" si="24"/>
        <v>0</v>
      </c>
      <c r="P60" s="31">
        <f t="shared" si="30"/>
        <v>0</v>
      </c>
    </row>
    <row r="61" spans="5:16" x14ac:dyDescent="0.25">
      <c r="E61" s="2">
        <f t="shared" ref="E61:F61" si="33">E60+1</f>
        <v>24</v>
      </c>
      <c r="F61" s="2">
        <f t="shared" si="33"/>
        <v>2052</v>
      </c>
      <c r="G61" s="50">
        <f>_xlfn.XLOOKUP(F61,'6-Traffic Data'!$F$9:$F$48,'6-Traffic Data'!$R$9:$R$48)</f>
        <v>22450162.090690006</v>
      </c>
      <c r="I61" s="31">
        <f t="shared" si="20"/>
        <v>651054.70063001022</v>
      </c>
      <c r="J61" s="31">
        <f t="shared" si="28"/>
        <v>260529.86855452455</v>
      </c>
      <c r="K61" s="58"/>
      <c r="L61" s="31">
        <f t="shared" si="22"/>
        <v>4490.032418138001</v>
      </c>
      <c r="M61" s="31">
        <f t="shared" si="29"/>
        <v>1796.7577141691345</v>
      </c>
      <c r="N61" s="58"/>
      <c r="O61" s="31">
        <f t="shared" si="24"/>
        <v>0</v>
      </c>
      <c r="P61" s="31">
        <f t="shared" si="30"/>
        <v>0</v>
      </c>
    </row>
    <row r="62" spans="5:16" x14ac:dyDescent="0.25">
      <c r="E62" s="2">
        <f t="shared" ref="E62:F62" si="34">E61+1</f>
        <v>25</v>
      </c>
      <c r="F62" s="2">
        <f t="shared" si="34"/>
        <v>2053</v>
      </c>
      <c r="G62" s="50">
        <f>_xlfn.XLOOKUP(F62,'6-Traffic Data'!$F$9:$F$48,'6-Traffic Data'!$R$9:$R$48)</f>
        <v>22984021.200179935</v>
      </c>
      <c r="I62" s="31">
        <f t="shared" si="20"/>
        <v>666536.61480521818</v>
      </c>
      <c r="J62" s="31">
        <f t="shared" si="28"/>
        <v>258705.33672047267</v>
      </c>
      <c r="K62" s="58"/>
      <c r="L62" s="31">
        <f t="shared" si="22"/>
        <v>4596.8042400359873</v>
      </c>
      <c r="M62" s="31">
        <f t="shared" si="29"/>
        <v>1784.1747360032598</v>
      </c>
      <c r="N62" s="58"/>
      <c r="O62" s="31">
        <f t="shared" si="24"/>
        <v>0</v>
      </c>
      <c r="P62" s="31">
        <f t="shared" si="30"/>
        <v>0</v>
      </c>
    </row>
    <row r="63" spans="5:16" x14ac:dyDescent="0.25">
      <c r="E63" s="2">
        <f t="shared" ref="E63:F63" si="35">E62+1</f>
        <v>26</v>
      </c>
      <c r="F63" s="2">
        <f t="shared" si="35"/>
        <v>2054</v>
      </c>
      <c r="G63" s="50">
        <f>_xlfn.XLOOKUP(F63,'6-Traffic Data'!$F$9:$F$48,'6-Traffic Data'!$R$9:$R$48)</f>
        <v>23530575.342678264</v>
      </c>
      <c r="I63" s="31">
        <f t="shared" si="20"/>
        <v>682386.68493766966</v>
      </c>
      <c r="J63" s="31">
        <f t="shared" si="28"/>
        <v>256893.58237113649</v>
      </c>
      <c r="K63" s="58"/>
      <c r="L63" s="31">
        <f t="shared" si="22"/>
        <v>4706.1150685356533</v>
      </c>
      <c r="M63" s="31">
        <f t="shared" si="29"/>
        <v>1771.6798784216312</v>
      </c>
      <c r="N63" s="58"/>
      <c r="O63" s="31">
        <f t="shared" si="24"/>
        <v>0</v>
      </c>
      <c r="P63" s="31">
        <f t="shared" si="30"/>
        <v>0</v>
      </c>
    </row>
    <row r="64" spans="5:16" x14ac:dyDescent="0.25">
      <c r="E64" s="2">
        <f t="shared" ref="E64:F64" si="36">E63+1</f>
        <v>27</v>
      </c>
      <c r="F64" s="2">
        <f t="shared" si="36"/>
        <v>2055</v>
      </c>
      <c r="G64" s="50">
        <f>_xlfn.XLOOKUP(F64,'6-Traffic Data'!$F$9:$F$48,'6-Traffic Data'!$R$9:$R$48)</f>
        <v>24090126.402821269</v>
      </c>
      <c r="I64" s="31">
        <f t="shared" si="20"/>
        <v>698613.66568181687</v>
      </c>
      <c r="J64" s="31">
        <f t="shared" si="28"/>
        <v>255094.51602377192</v>
      </c>
      <c r="K64" s="58"/>
      <c r="L64" s="31">
        <f t="shared" si="22"/>
        <v>4818.025280564254</v>
      </c>
      <c r="M64" s="31">
        <f t="shared" si="29"/>
        <v>1759.2725243018754</v>
      </c>
      <c r="N64" s="58"/>
      <c r="O64" s="31">
        <f t="shared" si="24"/>
        <v>0</v>
      </c>
      <c r="P64" s="31">
        <f t="shared" si="30"/>
        <v>0</v>
      </c>
    </row>
    <row r="65" spans="5:16" x14ac:dyDescent="0.25">
      <c r="E65" s="2">
        <f t="shared" ref="E65:F65" si="37">E64+1</f>
        <v>28</v>
      </c>
      <c r="F65" s="2">
        <f t="shared" si="37"/>
        <v>2056</v>
      </c>
      <c r="G65" s="50">
        <f>_xlfn.XLOOKUP(F65,'6-Traffic Data'!$F$9:$F$48,'6-Traffic Data'!$R$9:$R$48)</f>
        <v>24662983.443984602</v>
      </c>
      <c r="I65" s="31">
        <f t="shared" si="20"/>
        <v>715226.51987555344</v>
      </c>
      <c r="J65" s="31">
        <f t="shared" si="28"/>
        <v>253308.04882229617</v>
      </c>
      <c r="K65" s="58"/>
      <c r="L65" s="31">
        <f t="shared" si="22"/>
        <v>4932.5966887969207</v>
      </c>
      <c r="M65" s="31">
        <f t="shared" si="29"/>
        <v>1746.952060843422</v>
      </c>
      <c r="N65" s="58"/>
      <c r="O65" s="31">
        <f t="shared" si="24"/>
        <v>0</v>
      </c>
      <c r="P65" s="31">
        <f t="shared" si="30"/>
        <v>0</v>
      </c>
    </row>
    <row r="66" spans="5:16" x14ac:dyDescent="0.25">
      <c r="E66" s="2">
        <f t="shared" ref="E66:F66" si="38">E65+1</f>
        <v>29</v>
      </c>
      <c r="F66" s="2">
        <f t="shared" si="38"/>
        <v>2057</v>
      </c>
      <c r="G66" s="50">
        <f>_xlfn.XLOOKUP(F66,'6-Traffic Data'!$F$9:$F$48,'6-Traffic Data'!$R$9:$R$48)</f>
        <v>25249462.878991913</v>
      </c>
      <c r="I66" s="31">
        <f t="shared" si="20"/>
        <v>732234.4234907655</v>
      </c>
      <c r="J66" s="31">
        <f t="shared" si="28"/>
        <v>251534.09253290005</v>
      </c>
      <c r="K66" s="58"/>
      <c r="L66" s="31">
        <f t="shared" si="22"/>
        <v>5049.8925757983825</v>
      </c>
      <c r="M66" s="31">
        <f t="shared" si="29"/>
        <v>1734.7178795372415</v>
      </c>
      <c r="N66" s="58"/>
      <c r="O66" s="31">
        <f t="shared" si="24"/>
        <v>0</v>
      </c>
      <c r="P66" s="31">
        <f t="shared" si="30"/>
        <v>0</v>
      </c>
    </row>
    <row r="67" spans="5:16" x14ac:dyDescent="0.25">
      <c r="E67" s="2">
        <f t="shared" ref="E67:F67" si="39">E66+1</f>
        <v>30</v>
      </c>
      <c r="F67" s="2">
        <f t="shared" si="39"/>
        <v>2058</v>
      </c>
      <c r="G67" s="50">
        <f>_xlfn.XLOOKUP(F67,'6-Traffic Data'!$F$9:$F$48,'6-Traffic Data'!$R$9:$R$48)</f>
        <v>12924944.32244141</v>
      </c>
      <c r="I67" s="31">
        <f t="shared" si="20"/>
        <v>374823.38535080093</v>
      </c>
      <c r="J67" s="31">
        <f t="shared" si="28"/>
        <v>124886.2797698447</v>
      </c>
      <c r="K67" s="58"/>
      <c r="L67" s="31">
        <f t="shared" si="22"/>
        <v>2584.9888644882822</v>
      </c>
      <c r="M67" s="31">
        <f t="shared" si="29"/>
        <v>861.28468806789442</v>
      </c>
      <c r="N67" s="58"/>
      <c r="O67" s="31">
        <f t="shared" si="24"/>
        <v>0</v>
      </c>
      <c r="P67" s="31">
        <f t="shared" si="30"/>
        <v>0</v>
      </c>
    </row>
    <row r="68" spans="5:16" x14ac:dyDescent="0.25">
      <c r="G68" s="56" t="s">
        <v>156</v>
      </c>
      <c r="I68" s="57">
        <f>SUM(I38:I67)</f>
        <v>4520875.9947718345</v>
      </c>
      <c r="J68" s="57">
        <f>SUM(J38:J67)</f>
        <v>1660951.7247949464</v>
      </c>
      <c r="K68" s="58"/>
      <c r="L68" s="57">
        <f>SUM(L38:L67)</f>
        <v>31178.455136357479</v>
      </c>
      <c r="M68" s="57">
        <f>SUM(M38:M67)</f>
        <v>11454.839481344457</v>
      </c>
      <c r="N68" s="58"/>
      <c r="O68" s="57">
        <f>SUM(O38:O67)</f>
        <v>0</v>
      </c>
      <c r="P68" s="57">
        <f>SUM(P38:P67)</f>
        <v>0</v>
      </c>
    </row>
    <row r="70" spans="5:16" x14ac:dyDescent="0.25">
      <c r="G70" s="241" t="s">
        <v>668</v>
      </c>
      <c r="I70" s="31">
        <f>I68+I34</f>
        <v>29427625.57524275</v>
      </c>
      <c r="J70" s="31">
        <f>J68+J34</f>
        <v>12907126.291674569</v>
      </c>
      <c r="L70" s="31">
        <f>L68+L34</f>
        <v>1259911.43443959</v>
      </c>
      <c r="M70" s="31">
        <f>M68+M34</f>
        <v>566266.1181140726</v>
      </c>
      <c r="O70" s="31">
        <f>O68+O34</f>
        <v>29897155.249063723</v>
      </c>
      <c r="P70" s="31">
        <f>P68+P34</f>
        <v>13499498.435062956</v>
      </c>
    </row>
  </sheetData>
  <sheetProtection algorithmName="SHA-512" hashValue="bK20XcX0KekV3BHFxZINu7doi5bfiq6w0PJ/vFav607wczRw5dhT2/RTDdLfbwUQ8fdEwR3SjXrjoOp0/arFeA==" saltValue="n4WDI4aPK3Zx07/XvmdqVw=="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5FA4-908E-4923-BC08-3F885132043A}">
  <sheetPr>
    <tabColor theme="3" tint="0.89999084444715716"/>
  </sheetPr>
  <dimension ref="A1:AC71"/>
  <sheetViews>
    <sheetView topLeftCell="C8" zoomScale="80" zoomScaleNormal="80" workbookViewId="0">
      <selection activeCell="J16" sqref="J16"/>
    </sheetView>
  </sheetViews>
  <sheetFormatPr defaultColWidth="9" defaultRowHeight="13.5" x14ac:dyDescent="0.25"/>
  <cols>
    <col min="1" max="1" width="4.375" style="5" customWidth="1"/>
    <col min="2" max="2" width="43" style="5" customWidth="1"/>
    <col min="3" max="3" width="13.375" style="5" bestFit="1" customWidth="1"/>
    <col min="4" max="4" width="9" style="5"/>
    <col min="5" max="5" width="11.375" style="5" customWidth="1"/>
    <col min="6" max="6" width="12.125" style="5" customWidth="1"/>
    <col min="7" max="7" width="14.375" style="5" customWidth="1"/>
    <col min="8" max="8" width="3.375" style="5" customWidth="1"/>
    <col min="9" max="13" width="12.625" style="5" customWidth="1"/>
    <col min="14" max="14" width="3.375" style="5" customWidth="1"/>
    <col min="15" max="19" width="12.625" style="5" customWidth="1"/>
    <col min="20" max="20" width="3.625" style="5" customWidth="1"/>
    <col min="21" max="21" width="13.125" style="58" customWidth="1"/>
    <col min="22" max="24" width="14.25" style="58" customWidth="1"/>
    <col min="25" max="25" width="15.375" style="58" customWidth="1"/>
    <col min="26" max="26" width="2.375" style="5" customWidth="1"/>
    <col min="27" max="27" width="14.875" style="58" customWidth="1"/>
    <col min="28" max="28" width="14.25" style="58" bestFit="1" customWidth="1"/>
    <col min="29" max="29" width="18.875" style="5" customWidth="1"/>
    <col min="30" max="16384" width="9" style="5"/>
  </cols>
  <sheetData>
    <row r="1" spans="1:29" ht="15" x14ac:dyDescent="0.25">
      <c r="A1"/>
    </row>
    <row r="2" spans="1:29" x14ac:dyDescent="0.25">
      <c r="B2" s="47" t="s">
        <v>157</v>
      </c>
      <c r="C2" s="47" t="s">
        <v>34</v>
      </c>
      <c r="I2" s="5" t="s">
        <v>646</v>
      </c>
    </row>
    <row r="3" spans="1:29" ht="50.25" customHeight="1" x14ac:dyDescent="0.25">
      <c r="B3" s="5" t="str">
        <f>'3-Inputs'!B4</f>
        <v>Discount Rate</v>
      </c>
      <c r="C3" s="48">
        <f>'3-Inputs'!C4</f>
        <v>3.1E-2</v>
      </c>
      <c r="E3" s="5" t="s">
        <v>578</v>
      </c>
      <c r="J3" s="5" t="s">
        <v>575</v>
      </c>
      <c r="K3" s="5" t="s">
        <v>579</v>
      </c>
      <c r="L3" s="5" t="s">
        <v>581</v>
      </c>
      <c r="M3" s="5" t="s">
        <v>580</v>
      </c>
    </row>
    <row r="4" spans="1:29" ht="40.5" x14ac:dyDescent="0.25">
      <c r="B4" s="5" t="str">
        <f>'3-Inputs'!B6</f>
        <v>Discount Year</v>
      </c>
      <c r="C4" s="5">
        <f>'3-Inputs'!C6</f>
        <v>2022</v>
      </c>
      <c r="E4" s="49" t="s">
        <v>178</v>
      </c>
      <c r="F4" s="49" t="s">
        <v>174</v>
      </c>
      <c r="G4" s="49" t="s">
        <v>248</v>
      </c>
      <c r="I4" s="4" t="s">
        <v>645</v>
      </c>
      <c r="J4" s="4" t="s">
        <v>647</v>
      </c>
      <c r="K4" s="4" t="s">
        <v>648</v>
      </c>
      <c r="L4" s="4" t="s">
        <v>649</v>
      </c>
      <c r="M4" s="4" t="s">
        <v>650</v>
      </c>
      <c r="O4" s="4" t="s">
        <v>254</v>
      </c>
      <c r="P4" s="4" t="s">
        <v>255</v>
      </c>
      <c r="Q4" s="4" t="s">
        <v>256</v>
      </c>
      <c r="R4" s="4" t="s">
        <v>257</v>
      </c>
      <c r="S4" s="4" t="s">
        <v>258</v>
      </c>
      <c r="U4" s="4" t="s">
        <v>254</v>
      </c>
      <c r="V4" s="4" t="s">
        <v>255</v>
      </c>
      <c r="W4" s="4" t="s">
        <v>256</v>
      </c>
      <c r="X4" s="4" t="s">
        <v>257</v>
      </c>
      <c r="Y4" s="4" t="s">
        <v>258</v>
      </c>
      <c r="AA4" s="32" t="s">
        <v>259</v>
      </c>
      <c r="AB4" s="32" t="s">
        <v>260</v>
      </c>
      <c r="AC4" s="32" t="s">
        <v>261</v>
      </c>
    </row>
    <row r="5" spans="1:29" x14ac:dyDescent="0.25">
      <c r="B5" s="5" t="str">
        <f>'3-Inputs'!B9</f>
        <v>Project Start Year</v>
      </c>
      <c r="C5" s="5">
        <f>'3-Inputs'!C9</f>
        <v>2029</v>
      </c>
      <c r="E5" s="2">
        <v>1</v>
      </c>
      <c r="F5" s="2">
        <f>$C$5</f>
        <v>2029</v>
      </c>
      <c r="G5" s="50">
        <f>_xlfn.XLOOKUP(F5,'6-Traffic Data'!$F$9:$F$48,'6-Traffic Data'!$Q$9:$Q$48)</f>
        <v>0</v>
      </c>
      <c r="I5" s="110">
        <f t="shared" ref="I5:I34" si="0">$C$12</f>
        <v>0.45500000000000002</v>
      </c>
      <c r="J5" s="232">
        <f>SUMIFS('3b-Emissions Factors'!$F$19:$F$50,'3b-Emissions Factors'!$C$19:$C$50,(LEFT($F5,3)&amp;0),'3b-Emissions Factors'!$D$19:$D$50,'14-Emissions'!$E$3,'3b-Emissions Factors'!$E$19:$E$50,J$3)</f>
        <v>5.3831865046786104E-3</v>
      </c>
      <c r="K5" s="232">
        <f>SUMIFS('3b-Emissions Factors'!$F$19:$F$50,'3b-Emissions Factors'!$C$19:$C$50,(LEFT($F5,3)&amp;0),'3b-Emissions Factors'!$D$19:$D$50,'14-Emissions'!$E$3,'3b-Emissions Factors'!$E$19:$E$50,K$3)</f>
        <v>4.4234987091797399E-6</v>
      </c>
      <c r="L5" s="232">
        <f>SUMIFS('3b-Emissions Factors'!$F$19:$F$50,'3b-Emissions Factors'!$C$19:$C$50,(LEFT($F5,3)&amp;0),'3b-Emissions Factors'!$D$19:$D$50,'14-Emissions'!$E$3,'3b-Emissions Factors'!$E$19:$E$50,L$3)</f>
        <v>1.8550202047688799E-4</v>
      </c>
      <c r="M5" s="232">
        <f>SUMIFS('3b-Emissions Factors'!$F$19:$F$50,'3b-Emissions Factors'!$C$19:$C$50,(LEFT($F5,3)&amp;0),'3b-Emissions Factors'!$D$19:$D$50,'14-Emissions'!$E$3,'3b-Emissions Factors'!$E$19:$E$50,M$3)</f>
        <v>1.20113864868446</v>
      </c>
      <c r="O5" s="50">
        <f t="shared" ref="O5:O34" si="1">$C$8*$G5*$I$5</f>
        <v>0</v>
      </c>
      <c r="P5" s="50">
        <f t="shared" ref="P5:P34" si="2">$C$9*$G5*$J$5</f>
        <v>0</v>
      </c>
      <c r="Q5" s="50">
        <f t="shared" ref="Q5:Q34" si="3">$C$9*$G5*$K$5</f>
        <v>0</v>
      </c>
      <c r="R5" s="50">
        <f t="shared" ref="R5:R34" si="4">$C$9*$G5*$L$5</f>
        <v>0</v>
      </c>
      <c r="S5" s="50">
        <f t="shared" ref="S5:S34" si="5">$C$9*$G5*$M$5</f>
        <v>0</v>
      </c>
      <c r="U5" s="31">
        <f t="shared" ref="U5:U34" si="6">O5*$C$10</f>
        <v>0</v>
      </c>
      <c r="V5" s="31">
        <f>_xlfn.XLOOKUP($F5,'3a-Emissions Inputs'!$B$3:$B$46,'3a-Emissions Inputs'!C$3:C$46)*P5</f>
        <v>0</v>
      </c>
      <c r="W5" s="31">
        <f>_xlfn.XLOOKUP($F5,'3a-Emissions Inputs'!$B$3:$B$46,'3a-Emissions Inputs'!D$3:D$46)*Q5</f>
        <v>0</v>
      </c>
      <c r="X5" s="31">
        <f>_xlfn.XLOOKUP($F5,'3a-Emissions Inputs'!$B$3:$B$46,'3a-Emissions Inputs'!E$3:E$46)*R5</f>
        <v>0</v>
      </c>
      <c r="Y5" s="31">
        <f>_xlfn.XLOOKUP($F5,'3a-Emissions Inputs'!$B$3:$B$46,'3a-Emissions Inputs'!F$3:F$46)*S5</f>
        <v>0</v>
      </c>
      <c r="AA5" s="31">
        <f t="shared" ref="AA5:AA34" si="7">SUM(U5:X5)/((1+$C$3)^($F5-$C$4))</f>
        <v>0</v>
      </c>
      <c r="AB5" s="31">
        <f t="shared" ref="AB5:AB34" si="8">Y5/((1+$C$6)^($F5-$C$4))</f>
        <v>0</v>
      </c>
      <c r="AC5" s="31">
        <f t="shared" ref="AC5:AC34" si="9">AB5+AA5</f>
        <v>0</v>
      </c>
    </row>
    <row r="6" spans="1:29" x14ac:dyDescent="0.25">
      <c r="B6" s="5" t="str">
        <f>'3-Inputs'!B5</f>
        <v>Discount Rate - CO2</v>
      </c>
      <c r="C6" s="29">
        <f>'3-Inputs'!C5</f>
        <v>0.02</v>
      </c>
      <c r="E6" s="2">
        <f>E5+1</f>
        <v>2</v>
      </c>
      <c r="F6" s="2">
        <f>F5+1</f>
        <v>2030</v>
      </c>
      <c r="G6" s="50">
        <f>_xlfn.XLOOKUP(F6,'6-Traffic Data'!$F$9:$F$48,'6-Traffic Data'!$Q$9:$Q$48)</f>
        <v>0</v>
      </c>
      <c r="I6" s="110">
        <f t="shared" si="0"/>
        <v>0.45500000000000002</v>
      </c>
      <c r="J6" s="232">
        <f>SUMIFS('3b-Emissions Factors'!$F$19:$F$50,'3b-Emissions Factors'!$C$19:$C$50,(LEFT($F6,3)&amp;0),'3b-Emissions Factors'!$D$19:$D$50,'14-Emissions'!$E$3,'3b-Emissions Factors'!$E$19:$E$50,J$3)</f>
        <v>1.9417881907739299E-3</v>
      </c>
      <c r="K6" s="232">
        <f>SUMIFS('3b-Emissions Factors'!$F$19:$F$50,'3b-Emissions Factors'!$C$19:$C$50,(LEFT($F6,3)&amp;0),'3b-Emissions Factors'!$D$19:$D$50,'14-Emissions'!$E$3,'3b-Emissions Factors'!$E$19:$E$50,K$3)</f>
        <v>3.8767492057591001E-6</v>
      </c>
      <c r="L6" s="232">
        <f>SUMIFS('3b-Emissions Factors'!$F$19:$F$50,'3b-Emissions Factors'!$C$19:$C$50,(LEFT($F6,3)&amp;0),'3b-Emissions Factors'!$D$19:$D$50,'14-Emissions'!$E$3,'3b-Emissions Factors'!$E$19:$E$50,L$3)</f>
        <v>5.4439182838359401E-5</v>
      </c>
      <c r="M6" s="232">
        <f>SUMIFS('3b-Emissions Factors'!$F$19:$F$50,'3b-Emissions Factors'!$C$19:$C$50,(LEFT($F6,3)&amp;0),'3b-Emissions Factors'!$D$19:$D$50,'14-Emissions'!$E$3,'3b-Emissions Factors'!$E$19:$E$50,M$3)</f>
        <v>1.0675269780176999</v>
      </c>
      <c r="O6" s="50">
        <f t="shared" si="1"/>
        <v>0</v>
      </c>
      <c r="P6" s="50">
        <f t="shared" si="2"/>
        <v>0</v>
      </c>
      <c r="Q6" s="50">
        <f t="shared" si="3"/>
        <v>0</v>
      </c>
      <c r="R6" s="50">
        <f t="shared" si="4"/>
        <v>0</v>
      </c>
      <c r="S6" s="50">
        <f t="shared" si="5"/>
        <v>0</v>
      </c>
      <c r="U6" s="31">
        <f t="shared" si="6"/>
        <v>0</v>
      </c>
      <c r="V6" s="31">
        <f>_xlfn.XLOOKUP($F6,'3a-Emissions Inputs'!$B$3:$B$46,'3a-Emissions Inputs'!C$3:C$46)*P6</f>
        <v>0</v>
      </c>
      <c r="W6" s="31">
        <f>_xlfn.XLOOKUP($F6,'3a-Emissions Inputs'!$B$3:$B$46,'3a-Emissions Inputs'!D$3:D$46)*Q6</f>
        <v>0</v>
      </c>
      <c r="X6" s="31">
        <f>_xlfn.XLOOKUP($F6,'3a-Emissions Inputs'!$B$3:$B$46,'3a-Emissions Inputs'!E$3:E$46)*R6</f>
        <v>0</v>
      </c>
      <c r="Y6" s="31">
        <f>_xlfn.XLOOKUP($F6,'3a-Emissions Inputs'!$B$3:$B$46,'3a-Emissions Inputs'!F$3:F$46)*S6</f>
        <v>0</v>
      </c>
      <c r="AA6" s="31">
        <f t="shared" si="7"/>
        <v>0</v>
      </c>
      <c r="AB6" s="31">
        <f t="shared" si="8"/>
        <v>0</v>
      </c>
      <c r="AC6" s="31">
        <f t="shared" si="9"/>
        <v>0</v>
      </c>
    </row>
    <row r="7" spans="1:29" x14ac:dyDescent="0.25">
      <c r="B7" s="5" t="str">
        <f>'3-Inputs'!B24</f>
        <v>Million multiplier</v>
      </c>
      <c r="C7" s="28">
        <f>'3-Inputs'!C24</f>
        <v>1000000</v>
      </c>
      <c r="E7" s="2">
        <f t="shared" ref="E7:F24" si="10">E6+1</f>
        <v>3</v>
      </c>
      <c r="F7" s="2">
        <f t="shared" si="10"/>
        <v>2031</v>
      </c>
      <c r="G7" s="50">
        <f>_xlfn.XLOOKUP(F7,'6-Traffic Data'!$F$9:$F$48,'6-Traffic Data'!$Q$9:$Q$48)</f>
        <v>0</v>
      </c>
      <c r="I7" s="110">
        <f t="shared" si="0"/>
        <v>0.45500000000000002</v>
      </c>
      <c r="J7" s="232">
        <f>SUMIFS('3b-Emissions Factors'!$F$19:$F$50,'3b-Emissions Factors'!$C$19:$C$50,(LEFT($F7,3)&amp;0),'3b-Emissions Factors'!$D$19:$D$50,'14-Emissions'!$E$3,'3b-Emissions Factors'!$E$19:$E$50,J$3)</f>
        <v>1.9417881907739299E-3</v>
      </c>
      <c r="K7" s="232">
        <f>SUMIFS('3b-Emissions Factors'!$F$19:$F$50,'3b-Emissions Factors'!$C$19:$C$50,(LEFT($F7,3)&amp;0),'3b-Emissions Factors'!$D$19:$D$50,'14-Emissions'!$E$3,'3b-Emissions Factors'!$E$19:$E$50,K$3)</f>
        <v>3.8767492057591001E-6</v>
      </c>
      <c r="L7" s="232">
        <f>SUMIFS('3b-Emissions Factors'!$F$19:$F$50,'3b-Emissions Factors'!$C$19:$C$50,(LEFT($F7,3)&amp;0),'3b-Emissions Factors'!$D$19:$D$50,'14-Emissions'!$E$3,'3b-Emissions Factors'!$E$19:$E$50,L$3)</f>
        <v>5.4439182838359401E-5</v>
      </c>
      <c r="M7" s="232">
        <f>SUMIFS('3b-Emissions Factors'!$F$19:$F$50,'3b-Emissions Factors'!$C$19:$C$50,(LEFT($F7,3)&amp;0),'3b-Emissions Factors'!$D$19:$D$50,'14-Emissions'!$E$3,'3b-Emissions Factors'!$E$19:$E$50,M$3)</f>
        <v>1.0675269780176999</v>
      </c>
      <c r="O7" s="50">
        <f t="shared" si="1"/>
        <v>0</v>
      </c>
      <c r="P7" s="50">
        <f t="shared" si="2"/>
        <v>0</v>
      </c>
      <c r="Q7" s="50">
        <f t="shared" si="3"/>
        <v>0</v>
      </c>
      <c r="R7" s="50">
        <f t="shared" si="4"/>
        <v>0</v>
      </c>
      <c r="S7" s="50">
        <f t="shared" si="5"/>
        <v>0</v>
      </c>
      <c r="U7" s="31">
        <f t="shared" si="6"/>
        <v>0</v>
      </c>
      <c r="V7" s="31">
        <f>_xlfn.XLOOKUP($F7,'3a-Emissions Inputs'!$B$3:$B$46,'3a-Emissions Inputs'!C$3:C$46)*P7</f>
        <v>0</v>
      </c>
      <c r="W7" s="31">
        <f>_xlfn.XLOOKUP($F7,'3a-Emissions Inputs'!$B$3:$B$46,'3a-Emissions Inputs'!D$3:D$46)*Q7</f>
        <v>0</v>
      </c>
      <c r="X7" s="31">
        <f>_xlfn.XLOOKUP($F7,'3a-Emissions Inputs'!$B$3:$B$46,'3a-Emissions Inputs'!E$3:E$46)*R7</f>
        <v>0</v>
      </c>
      <c r="Y7" s="31">
        <f>_xlfn.XLOOKUP($F7,'3a-Emissions Inputs'!$B$3:$B$46,'3a-Emissions Inputs'!F$3:F$46)*S7</f>
        <v>0</v>
      </c>
      <c r="AA7" s="31">
        <f t="shared" si="7"/>
        <v>0</v>
      </c>
      <c r="AB7" s="31">
        <f t="shared" si="8"/>
        <v>0</v>
      </c>
      <c r="AC7" s="31">
        <f t="shared" si="9"/>
        <v>0</v>
      </c>
    </row>
    <row r="8" spans="1:29" x14ac:dyDescent="0.25">
      <c r="B8" s="5" t="str">
        <f>'3-Inputs'!B64</f>
        <v>Gram to Metric Tons</v>
      </c>
      <c r="C8" s="5">
        <f>'3-Inputs'!C64</f>
        <v>9.9999999999999995E-7</v>
      </c>
      <c r="E8" s="2">
        <f t="shared" si="10"/>
        <v>4</v>
      </c>
      <c r="F8" s="2">
        <f t="shared" si="10"/>
        <v>2032</v>
      </c>
      <c r="G8" s="50">
        <f>_xlfn.XLOOKUP(F8,'6-Traffic Data'!$F$9:$F$48,'6-Traffic Data'!$Q$9:$Q$48)</f>
        <v>0</v>
      </c>
      <c r="I8" s="110">
        <f t="shared" si="0"/>
        <v>0.45500000000000002</v>
      </c>
      <c r="J8" s="232">
        <f>SUMIFS('3b-Emissions Factors'!$F$19:$F$50,'3b-Emissions Factors'!$C$19:$C$50,(LEFT($F8,3)&amp;0),'3b-Emissions Factors'!$D$19:$D$50,'14-Emissions'!$E$3,'3b-Emissions Factors'!$E$19:$E$50,J$3)</f>
        <v>1.9417881907739299E-3</v>
      </c>
      <c r="K8" s="232">
        <f>SUMIFS('3b-Emissions Factors'!$F$19:$F$50,'3b-Emissions Factors'!$C$19:$C$50,(LEFT($F8,3)&amp;0),'3b-Emissions Factors'!$D$19:$D$50,'14-Emissions'!$E$3,'3b-Emissions Factors'!$E$19:$E$50,K$3)</f>
        <v>3.8767492057591001E-6</v>
      </c>
      <c r="L8" s="232">
        <f>SUMIFS('3b-Emissions Factors'!$F$19:$F$50,'3b-Emissions Factors'!$C$19:$C$50,(LEFT($F8,3)&amp;0),'3b-Emissions Factors'!$D$19:$D$50,'14-Emissions'!$E$3,'3b-Emissions Factors'!$E$19:$E$50,L$3)</f>
        <v>5.4439182838359401E-5</v>
      </c>
      <c r="M8" s="232">
        <f>SUMIFS('3b-Emissions Factors'!$F$19:$F$50,'3b-Emissions Factors'!$C$19:$C$50,(LEFT($F8,3)&amp;0),'3b-Emissions Factors'!$D$19:$D$50,'14-Emissions'!$E$3,'3b-Emissions Factors'!$E$19:$E$50,M$3)</f>
        <v>1.0675269780176999</v>
      </c>
      <c r="O8" s="50">
        <f t="shared" si="1"/>
        <v>0</v>
      </c>
      <c r="P8" s="50">
        <f t="shared" si="2"/>
        <v>0</v>
      </c>
      <c r="Q8" s="50">
        <f t="shared" si="3"/>
        <v>0</v>
      </c>
      <c r="R8" s="50">
        <f t="shared" si="4"/>
        <v>0</v>
      </c>
      <c r="S8" s="50">
        <f t="shared" si="5"/>
        <v>0</v>
      </c>
      <c r="U8" s="31">
        <f t="shared" si="6"/>
        <v>0</v>
      </c>
      <c r="V8" s="31">
        <f>_xlfn.XLOOKUP($F8,'3a-Emissions Inputs'!$B$3:$B$46,'3a-Emissions Inputs'!C$3:C$46)*P8</f>
        <v>0</v>
      </c>
      <c r="W8" s="31">
        <f>_xlfn.XLOOKUP($F8,'3a-Emissions Inputs'!$B$3:$B$46,'3a-Emissions Inputs'!D$3:D$46)*Q8</f>
        <v>0</v>
      </c>
      <c r="X8" s="31">
        <f>_xlfn.XLOOKUP($F8,'3a-Emissions Inputs'!$B$3:$B$46,'3a-Emissions Inputs'!E$3:E$46)*R8</f>
        <v>0</v>
      </c>
      <c r="Y8" s="31">
        <f>_xlfn.XLOOKUP($F8,'3a-Emissions Inputs'!$B$3:$B$46,'3a-Emissions Inputs'!F$3:F$46)*S8</f>
        <v>0</v>
      </c>
      <c r="AA8" s="31">
        <f t="shared" si="7"/>
        <v>0</v>
      </c>
      <c r="AB8" s="31">
        <f t="shared" si="8"/>
        <v>0</v>
      </c>
      <c r="AC8" s="31">
        <f t="shared" si="9"/>
        <v>0</v>
      </c>
    </row>
    <row r="9" spans="1:29" x14ac:dyDescent="0.25">
      <c r="B9" s="5" t="str">
        <f>'3-Inputs'!B65</f>
        <v>KG to Metric Tons</v>
      </c>
      <c r="C9" s="5">
        <f>'3-Inputs'!C65</f>
        <v>1E-3</v>
      </c>
      <c r="E9" s="2">
        <f t="shared" si="10"/>
        <v>5</v>
      </c>
      <c r="F9" s="2">
        <f t="shared" si="10"/>
        <v>2033</v>
      </c>
      <c r="G9" s="50">
        <f>_xlfn.XLOOKUP(F9,'6-Traffic Data'!$F$9:$F$48,'6-Traffic Data'!$Q$9:$Q$48)</f>
        <v>0</v>
      </c>
      <c r="I9" s="110">
        <f t="shared" si="0"/>
        <v>0.45500000000000002</v>
      </c>
      <c r="J9" s="232">
        <f>SUMIFS('3b-Emissions Factors'!$F$19:$F$50,'3b-Emissions Factors'!$C$19:$C$50,(LEFT($F9,3)&amp;0),'3b-Emissions Factors'!$D$19:$D$50,'14-Emissions'!$E$3,'3b-Emissions Factors'!$E$19:$E$50,J$3)</f>
        <v>1.9417881907739299E-3</v>
      </c>
      <c r="K9" s="232">
        <f>SUMIFS('3b-Emissions Factors'!$F$19:$F$50,'3b-Emissions Factors'!$C$19:$C$50,(LEFT($F9,3)&amp;0),'3b-Emissions Factors'!$D$19:$D$50,'14-Emissions'!$E$3,'3b-Emissions Factors'!$E$19:$E$50,K$3)</f>
        <v>3.8767492057591001E-6</v>
      </c>
      <c r="L9" s="232">
        <f>SUMIFS('3b-Emissions Factors'!$F$19:$F$50,'3b-Emissions Factors'!$C$19:$C$50,(LEFT($F9,3)&amp;0),'3b-Emissions Factors'!$D$19:$D$50,'14-Emissions'!$E$3,'3b-Emissions Factors'!$E$19:$E$50,L$3)</f>
        <v>5.4439182838359401E-5</v>
      </c>
      <c r="M9" s="232">
        <f>SUMIFS('3b-Emissions Factors'!$F$19:$F$50,'3b-Emissions Factors'!$C$19:$C$50,(LEFT($F9,3)&amp;0),'3b-Emissions Factors'!$D$19:$D$50,'14-Emissions'!$E$3,'3b-Emissions Factors'!$E$19:$E$50,M$3)</f>
        <v>1.0675269780176999</v>
      </c>
      <c r="O9" s="50">
        <f t="shared" si="1"/>
        <v>0</v>
      </c>
      <c r="P9" s="50">
        <f t="shared" si="2"/>
        <v>0</v>
      </c>
      <c r="Q9" s="50">
        <f t="shared" si="3"/>
        <v>0</v>
      </c>
      <c r="R9" s="50">
        <f t="shared" si="4"/>
        <v>0</v>
      </c>
      <c r="S9" s="50">
        <f t="shared" si="5"/>
        <v>0</v>
      </c>
      <c r="U9" s="31">
        <f t="shared" si="6"/>
        <v>0</v>
      </c>
      <c r="V9" s="31">
        <f>_xlfn.XLOOKUP($F9,'3a-Emissions Inputs'!$B$3:$B$46,'3a-Emissions Inputs'!C$3:C$46)*P9</f>
        <v>0</v>
      </c>
      <c r="W9" s="31">
        <f>_xlfn.XLOOKUP($F9,'3a-Emissions Inputs'!$B$3:$B$46,'3a-Emissions Inputs'!D$3:D$46)*Q9</f>
        <v>0</v>
      </c>
      <c r="X9" s="31">
        <f>_xlfn.XLOOKUP($F9,'3a-Emissions Inputs'!$B$3:$B$46,'3a-Emissions Inputs'!E$3:E$46)*R9</f>
        <v>0</v>
      </c>
      <c r="Y9" s="31">
        <f>_xlfn.XLOOKUP($F9,'3a-Emissions Inputs'!$B$3:$B$46,'3a-Emissions Inputs'!F$3:F$46)*S9</f>
        <v>0</v>
      </c>
      <c r="AA9" s="31">
        <f t="shared" si="7"/>
        <v>0</v>
      </c>
      <c r="AB9" s="31">
        <f t="shared" si="8"/>
        <v>0</v>
      </c>
      <c r="AC9" s="31">
        <f t="shared" si="9"/>
        <v>0</v>
      </c>
    </row>
    <row r="10" spans="1:29" x14ac:dyDescent="0.25">
      <c r="B10" s="5" t="str">
        <f>'3-Inputs'!B68</f>
        <v>Cost of VOC per Ton (2022$)</v>
      </c>
      <c r="C10" s="58">
        <f>'3-Inputs'!C68</f>
        <v>32903.597785977858</v>
      </c>
      <c r="E10" s="2">
        <f t="shared" si="10"/>
        <v>6</v>
      </c>
      <c r="F10" s="2">
        <f t="shared" si="10"/>
        <v>2034</v>
      </c>
      <c r="G10" s="50">
        <f>_xlfn.XLOOKUP(F10,'6-Traffic Data'!$F$9:$F$48,'6-Traffic Data'!$Q$9:$Q$48)</f>
        <v>0</v>
      </c>
      <c r="I10" s="110">
        <f t="shared" si="0"/>
        <v>0.45500000000000002</v>
      </c>
      <c r="J10" s="232">
        <f>SUMIFS('3b-Emissions Factors'!$F$19:$F$50,'3b-Emissions Factors'!$C$19:$C$50,(LEFT($F10,3)&amp;0),'3b-Emissions Factors'!$D$19:$D$50,'14-Emissions'!$E$3,'3b-Emissions Factors'!$E$19:$E$50,J$3)</f>
        <v>1.9417881907739299E-3</v>
      </c>
      <c r="K10" s="232">
        <f>SUMIFS('3b-Emissions Factors'!$F$19:$F$50,'3b-Emissions Factors'!$C$19:$C$50,(LEFT($F10,3)&amp;0),'3b-Emissions Factors'!$D$19:$D$50,'14-Emissions'!$E$3,'3b-Emissions Factors'!$E$19:$E$50,K$3)</f>
        <v>3.8767492057591001E-6</v>
      </c>
      <c r="L10" s="232">
        <f>SUMIFS('3b-Emissions Factors'!$F$19:$F$50,'3b-Emissions Factors'!$C$19:$C$50,(LEFT($F10,3)&amp;0),'3b-Emissions Factors'!$D$19:$D$50,'14-Emissions'!$E$3,'3b-Emissions Factors'!$E$19:$E$50,L$3)</f>
        <v>5.4439182838359401E-5</v>
      </c>
      <c r="M10" s="232">
        <f>SUMIFS('3b-Emissions Factors'!$F$19:$F$50,'3b-Emissions Factors'!$C$19:$C$50,(LEFT($F10,3)&amp;0),'3b-Emissions Factors'!$D$19:$D$50,'14-Emissions'!$E$3,'3b-Emissions Factors'!$E$19:$E$50,M$3)</f>
        <v>1.0675269780176999</v>
      </c>
      <c r="O10" s="50">
        <f t="shared" si="1"/>
        <v>0</v>
      </c>
      <c r="P10" s="50">
        <f t="shared" si="2"/>
        <v>0</v>
      </c>
      <c r="Q10" s="50">
        <f t="shared" si="3"/>
        <v>0</v>
      </c>
      <c r="R10" s="50">
        <f t="shared" si="4"/>
        <v>0</v>
      </c>
      <c r="S10" s="50">
        <f t="shared" si="5"/>
        <v>0</v>
      </c>
      <c r="U10" s="31">
        <f t="shared" si="6"/>
        <v>0</v>
      </c>
      <c r="V10" s="31">
        <f>_xlfn.XLOOKUP($F10,'3a-Emissions Inputs'!$B$3:$B$46,'3a-Emissions Inputs'!C$3:C$46)*P10</f>
        <v>0</v>
      </c>
      <c r="W10" s="31">
        <f>_xlfn.XLOOKUP($F10,'3a-Emissions Inputs'!$B$3:$B$46,'3a-Emissions Inputs'!D$3:D$46)*Q10</f>
        <v>0</v>
      </c>
      <c r="X10" s="31">
        <f>_xlfn.XLOOKUP($F10,'3a-Emissions Inputs'!$B$3:$B$46,'3a-Emissions Inputs'!E$3:E$46)*R10</f>
        <v>0</v>
      </c>
      <c r="Y10" s="31">
        <f>_xlfn.XLOOKUP($F10,'3a-Emissions Inputs'!$B$3:$B$46,'3a-Emissions Inputs'!F$3:F$46)*S10</f>
        <v>0</v>
      </c>
      <c r="AA10" s="31">
        <f t="shared" si="7"/>
        <v>0</v>
      </c>
      <c r="AB10" s="31">
        <f t="shared" si="8"/>
        <v>0</v>
      </c>
      <c r="AC10" s="31">
        <f t="shared" si="9"/>
        <v>0</v>
      </c>
    </row>
    <row r="11" spans="1:29" x14ac:dyDescent="0.25">
      <c r="B11" s="5" t="s">
        <v>179</v>
      </c>
      <c r="E11" s="2">
        <f t="shared" si="10"/>
        <v>7</v>
      </c>
      <c r="F11" s="2">
        <f t="shared" si="10"/>
        <v>2035</v>
      </c>
      <c r="G11" s="50">
        <f>_xlfn.XLOOKUP(F11,'6-Traffic Data'!$F$9:$F$48,'6-Traffic Data'!$Q$9:$Q$48)</f>
        <v>0</v>
      </c>
      <c r="I11" s="110">
        <f t="shared" si="0"/>
        <v>0.45500000000000002</v>
      </c>
      <c r="J11" s="232">
        <f>SUMIFS('3b-Emissions Factors'!$F$19:$F$50,'3b-Emissions Factors'!$C$19:$C$50,(LEFT($F11,3)&amp;0),'3b-Emissions Factors'!$D$19:$D$50,'14-Emissions'!$E$3,'3b-Emissions Factors'!$E$19:$E$50,J$3)</f>
        <v>1.9417881907739299E-3</v>
      </c>
      <c r="K11" s="232">
        <f>SUMIFS('3b-Emissions Factors'!$F$19:$F$50,'3b-Emissions Factors'!$C$19:$C$50,(LEFT($F11,3)&amp;0),'3b-Emissions Factors'!$D$19:$D$50,'14-Emissions'!$E$3,'3b-Emissions Factors'!$E$19:$E$50,K$3)</f>
        <v>3.8767492057591001E-6</v>
      </c>
      <c r="L11" s="232">
        <f>SUMIFS('3b-Emissions Factors'!$F$19:$F$50,'3b-Emissions Factors'!$C$19:$C$50,(LEFT($F11,3)&amp;0),'3b-Emissions Factors'!$D$19:$D$50,'14-Emissions'!$E$3,'3b-Emissions Factors'!$E$19:$E$50,L$3)</f>
        <v>5.4439182838359401E-5</v>
      </c>
      <c r="M11" s="232">
        <f>SUMIFS('3b-Emissions Factors'!$F$19:$F$50,'3b-Emissions Factors'!$C$19:$C$50,(LEFT($F11,3)&amp;0),'3b-Emissions Factors'!$D$19:$D$50,'14-Emissions'!$E$3,'3b-Emissions Factors'!$E$19:$E$50,M$3)</f>
        <v>1.0675269780176999</v>
      </c>
      <c r="O11" s="50">
        <f t="shared" si="1"/>
        <v>0</v>
      </c>
      <c r="P11" s="50">
        <f t="shared" si="2"/>
        <v>0</v>
      </c>
      <c r="Q11" s="50">
        <f t="shared" si="3"/>
        <v>0</v>
      </c>
      <c r="R11" s="50">
        <f t="shared" si="4"/>
        <v>0</v>
      </c>
      <c r="S11" s="50">
        <f t="shared" si="5"/>
        <v>0</v>
      </c>
      <c r="U11" s="31">
        <f t="shared" si="6"/>
        <v>0</v>
      </c>
      <c r="V11" s="31">
        <f>_xlfn.XLOOKUP($F11,'3a-Emissions Inputs'!$B$3:$B$46,'3a-Emissions Inputs'!C$3:C$46)*P11</f>
        <v>0</v>
      </c>
      <c r="W11" s="31">
        <f>_xlfn.XLOOKUP($F11,'3a-Emissions Inputs'!$B$3:$B$46,'3a-Emissions Inputs'!D$3:D$46)*Q11</f>
        <v>0</v>
      </c>
      <c r="X11" s="31">
        <f>_xlfn.XLOOKUP($F11,'3a-Emissions Inputs'!$B$3:$B$46,'3a-Emissions Inputs'!E$3:E$46)*R11</f>
        <v>0</v>
      </c>
      <c r="Y11" s="31">
        <f>_xlfn.XLOOKUP($F11,'3a-Emissions Inputs'!$B$3:$B$46,'3a-Emissions Inputs'!F$3:F$46)*S11</f>
        <v>0</v>
      </c>
      <c r="AA11" s="31">
        <f t="shared" si="7"/>
        <v>0</v>
      </c>
      <c r="AB11" s="31">
        <f t="shared" si="8"/>
        <v>0</v>
      </c>
      <c r="AC11" s="31">
        <f t="shared" si="9"/>
        <v>0</v>
      </c>
    </row>
    <row r="12" spans="1:29" x14ac:dyDescent="0.25">
      <c r="B12" s="5" t="str">
        <f>'3-Inputs'!B69</f>
        <v>VOC per mile - Heavy-Duty Trucks, g/mile</v>
      </c>
      <c r="C12" s="5">
        <f>'3-Inputs'!C69</f>
        <v>0.45500000000000002</v>
      </c>
      <c r="E12" s="2">
        <f t="shared" si="10"/>
        <v>8</v>
      </c>
      <c r="F12" s="2">
        <f t="shared" si="10"/>
        <v>2036</v>
      </c>
      <c r="G12" s="50">
        <f>_xlfn.XLOOKUP(F12,'6-Traffic Data'!$F$9:$F$48,'6-Traffic Data'!$Q$9:$Q$48)</f>
        <v>0</v>
      </c>
      <c r="I12" s="110">
        <f t="shared" si="0"/>
        <v>0.45500000000000002</v>
      </c>
      <c r="J12" s="232">
        <f>SUMIFS('3b-Emissions Factors'!$F$19:$F$50,'3b-Emissions Factors'!$C$19:$C$50,(LEFT($F12,3)&amp;0),'3b-Emissions Factors'!$D$19:$D$50,'14-Emissions'!$E$3,'3b-Emissions Factors'!$E$19:$E$50,J$3)</f>
        <v>1.9417881907739299E-3</v>
      </c>
      <c r="K12" s="232">
        <f>SUMIFS('3b-Emissions Factors'!$F$19:$F$50,'3b-Emissions Factors'!$C$19:$C$50,(LEFT($F12,3)&amp;0),'3b-Emissions Factors'!$D$19:$D$50,'14-Emissions'!$E$3,'3b-Emissions Factors'!$E$19:$E$50,K$3)</f>
        <v>3.8767492057591001E-6</v>
      </c>
      <c r="L12" s="232">
        <f>SUMIFS('3b-Emissions Factors'!$F$19:$F$50,'3b-Emissions Factors'!$C$19:$C$50,(LEFT($F12,3)&amp;0),'3b-Emissions Factors'!$D$19:$D$50,'14-Emissions'!$E$3,'3b-Emissions Factors'!$E$19:$E$50,L$3)</f>
        <v>5.4439182838359401E-5</v>
      </c>
      <c r="M12" s="232">
        <f>SUMIFS('3b-Emissions Factors'!$F$19:$F$50,'3b-Emissions Factors'!$C$19:$C$50,(LEFT($F12,3)&amp;0),'3b-Emissions Factors'!$D$19:$D$50,'14-Emissions'!$E$3,'3b-Emissions Factors'!$E$19:$E$50,M$3)</f>
        <v>1.0675269780176999</v>
      </c>
      <c r="O12" s="50">
        <f t="shared" si="1"/>
        <v>0</v>
      </c>
      <c r="P12" s="50">
        <f t="shared" si="2"/>
        <v>0</v>
      </c>
      <c r="Q12" s="50">
        <f t="shared" si="3"/>
        <v>0</v>
      </c>
      <c r="R12" s="50">
        <f t="shared" si="4"/>
        <v>0</v>
      </c>
      <c r="S12" s="50">
        <f t="shared" si="5"/>
        <v>0</v>
      </c>
      <c r="U12" s="31">
        <f t="shared" si="6"/>
        <v>0</v>
      </c>
      <c r="V12" s="31">
        <f>_xlfn.XLOOKUP($F12,'3a-Emissions Inputs'!$B$3:$B$46,'3a-Emissions Inputs'!C$3:C$46)*P12</f>
        <v>0</v>
      </c>
      <c r="W12" s="31">
        <f>_xlfn.XLOOKUP($F12,'3a-Emissions Inputs'!$B$3:$B$46,'3a-Emissions Inputs'!D$3:D$46)*Q12</f>
        <v>0</v>
      </c>
      <c r="X12" s="31">
        <f>_xlfn.XLOOKUP($F12,'3a-Emissions Inputs'!$B$3:$B$46,'3a-Emissions Inputs'!E$3:E$46)*R12</f>
        <v>0</v>
      </c>
      <c r="Y12" s="31">
        <f>_xlfn.XLOOKUP($F12,'3a-Emissions Inputs'!$B$3:$B$46,'3a-Emissions Inputs'!F$3:F$46)*S12</f>
        <v>0</v>
      </c>
      <c r="AA12" s="31">
        <f t="shared" si="7"/>
        <v>0</v>
      </c>
      <c r="AB12" s="31">
        <f t="shared" si="8"/>
        <v>0</v>
      </c>
      <c r="AC12" s="31">
        <f t="shared" si="9"/>
        <v>0</v>
      </c>
    </row>
    <row r="13" spans="1:29" x14ac:dyDescent="0.25">
      <c r="B13" s="5" t="s">
        <v>494</v>
      </c>
      <c r="E13" s="2">
        <f t="shared" si="10"/>
        <v>9</v>
      </c>
      <c r="F13" s="2">
        <f t="shared" si="10"/>
        <v>2037</v>
      </c>
      <c r="G13" s="50">
        <f>_xlfn.XLOOKUP(F13,'6-Traffic Data'!$F$9:$F$48,'6-Traffic Data'!$Q$9:$Q$48)</f>
        <v>0</v>
      </c>
      <c r="I13" s="110">
        <f t="shared" si="0"/>
        <v>0.45500000000000002</v>
      </c>
      <c r="J13" s="232">
        <f>SUMIFS('3b-Emissions Factors'!$F$19:$F$50,'3b-Emissions Factors'!$C$19:$C$50,(LEFT($F13,3)&amp;0),'3b-Emissions Factors'!$D$19:$D$50,'14-Emissions'!$E$3,'3b-Emissions Factors'!$E$19:$E$50,J$3)</f>
        <v>1.9417881907739299E-3</v>
      </c>
      <c r="K13" s="232">
        <f>SUMIFS('3b-Emissions Factors'!$F$19:$F$50,'3b-Emissions Factors'!$C$19:$C$50,(LEFT($F13,3)&amp;0),'3b-Emissions Factors'!$D$19:$D$50,'14-Emissions'!$E$3,'3b-Emissions Factors'!$E$19:$E$50,K$3)</f>
        <v>3.8767492057591001E-6</v>
      </c>
      <c r="L13" s="232">
        <f>SUMIFS('3b-Emissions Factors'!$F$19:$F$50,'3b-Emissions Factors'!$C$19:$C$50,(LEFT($F13,3)&amp;0),'3b-Emissions Factors'!$D$19:$D$50,'14-Emissions'!$E$3,'3b-Emissions Factors'!$E$19:$E$50,L$3)</f>
        <v>5.4439182838359401E-5</v>
      </c>
      <c r="M13" s="232">
        <f>SUMIFS('3b-Emissions Factors'!$F$19:$F$50,'3b-Emissions Factors'!$C$19:$C$50,(LEFT($F13,3)&amp;0),'3b-Emissions Factors'!$D$19:$D$50,'14-Emissions'!$E$3,'3b-Emissions Factors'!$E$19:$E$50,M$3)</f>
        <v>1.0675269780176999</v>
      </c>
      <c r="O13" s="50">
        <f t="shared" si="1"/>
        <v>0</v>
      </c>
      <c r="P13" s="50">
        <f t="shared" si="2"/>
        <v>0</v>
      </c>
      <c r="Q13" s="50">
        <f t="shared" si="3"/>
        <v>0</v>
      </c>
      <c r="R13" s="50">
        <f t="shared" si="4"/>
        <v>0</v>
      </c>
      <c r="S13" s="50">
        <f t="shared" si="5"/>
        <v>0</v>
      </c>
      <c r="U13" s="31">
        <f t="shared" si="6"/>
        <v>0</v>
      </c>
      <c r="V13" s="31">
        <f>_xlfn.XLOOKUP($F13,'3a-Emissions Inputs'!$B$3:$B$46,'3a-Emissions Inputs'!C$3:C$46)*P13</f>
        <v>0</v>
      </c>
      <c r="W13" s="31">
        <f>_xlfn.XLOOKUP($F13,'3a-Emissions Inputs'!$B$3:$B$46,'3a-Emissions Inputs'!D$3:D$46)*Q13</f>
        <v>0</v>
      </c>
      <c r="X13" s="31">
        <f>_xlfn.XLOOKUP($F13,'3a-Emissions Inputs'!$B$3:$B$46,'3a-Emissions Inputs'!E$3:E$46)*R13</f>
        <v>0</v>
      </c>
      <c r="Y13" s="31">
        <f>_xlfn.XLOOKUP($F13,'3a-Emissions Inputs'!$B$3:$B$46,'3a-Emissions Inputs'!F$3:F$46)*S13</f>
        <v>0</v>
      </c>
      <c r="AA13" s="31">
        <f t="shared" si="7"/>
        <v>0</v>
      </c>
      <c r="AB13" s="31">
        <f t="shared" si="8"/>
        <v>0</v>
      </c>
      <c r="AC13" s="31">
        <f t="shared" si="9"/>
        <v>0</v>
      </c>
    </row>
    <row r="14" spans="1:29" x14ac:dyDescent="0.25">
      <c r="B14" s="5" t="str">
        <f>'3-Inputs'!B66</f>
        <v>VOC per mile - Auto (grams)</v>
      </c>
      <c r="C14" s="5">
        <f>'3-Inputs'!C66</f>
        <v>1.034</v>
      </c>
      <c r="E14" s="2">
        <f t="shared" si="10"/>
        <v>10</v>
      </c>
      <c r="F14" s="2">
        <f t="shared" si="10"/>
        <v>2038</v>
      </c>
      <c r="G14" s="50">
        <f>_xlfn.XLOOKUP(F14,'6-Traffic Data'!$F$9:$F$48,'6-Traffic Data'!$Q$9:$Q$48)</f>
        <v>12756848.373047907</v>
      </c>
      <c r="I14" s="110">
        <f t="shared" si="0"/>
        <v>0.45500000000000002</v>
      </c>
      <c r="J14" s="232">
        <f>SUMIFS('3b-Emissions Factors'!$F$19:$F$50,'3b-Emissions Factors'!$C$19:$C$50,(LEFT($F14,3)&amp;0),'3b-Emissions Factors'!$D$19:$D$50,'14-Emissions'!$E$3,'3b-Emissions Factors'!$E$19:$E$50,J$3)</f>
        <v>1.9417881907739299E-3</v>
      </c>
      <c r="K14" s="232">
        <f>SUMIFS('3b-Emissions Factors'!$F$19:$F$50,'3b-Emissions Factors'!$C$19:$C$50,(LEFT($F14,3)&amp;0),'3b-Emissions Factors'!$D$19:$D$50,'14-Emissions'!$E$3,'3b-Emissions Factors'!$E$19:$E$50,K$3)</f>
        <v>3.8767492057591001E-6</v>
      </c>
      <c r="L14" s="232">
        <f>SUMIFS('3b-Emissions Factors'!$F$19:$F$50,'3b-Emissions Factors'!$C$19:$C$50,(LEFT($F14,3)&amp;0),'3b-Emissions Factors'!$D$19:$D$50,'14-Emissions'!$E$3,'3b-Emissions Factors'!$E$19:$E$50,L$3)</f>
        <v>5.4439182838359401E-5</v>
      </c>
      <c r="M14" s="232">
        <f>SUMIFS('3b-Emissions Factors'!$F$19:$F$50,'3b-Emissions Factors'!$C$19:$C$50,(LEFT($F14,3)&amp;0),'3b-Emissions Factors'!$D$19:$D$50,'14-Emissions'!$E$3,'3b-Emissions Factors'!$E$19:$E$50,M$3)</f>
        <v>1.0675269780176999</v>
      </c>
      <c r="O14" s="50">
        <f t="shared" si="1"/>
        <v>5.8043660097367979</v>
      </c>
      <c r="P14" s="50">
        <f t="shared" si="2"/>
        <v>68.672494004022781</v>
      </c>
      <c r="Q14" s="50">
        <f t="shared" si="3"/>
        <v>5.6429902311379086E-2</v>
      </c>
      <c r="R14" s="50">
        <f t="shared" si="4"/>
        <v>2.3664211481176882</v>
      </c>
      <c r="S14" s="50">
        <f t="shared" si="5"/>
        <v>15322.743616275315</v>
      </c>
      <c r="U14" s="31">
        <f t="shared" si="6"/>
        <v>190984.52458698084</v>
      </c>
      <c r="V14" s="31">
        <f>_xlfn.XLOOKUP($F14,'3a-Emissions Inputs'!$B$3:$B$46,'3a-Emissions Inputs'!C$3:C$46)*P14</f>
        <v>1510794.8680885013</v>
      </c>
      <c r="W14" s="31">
        <f>_xlfn.XLOOKUP($F14,'3a-Emissions Inputs'!$B$3:$B$46,'3a-Emissions Inputs'!D$3:D$46)*Q14</f>
        <v>3470.4389921498137</v>
      </c>
      <c r="X14" s="31">
        <f>_xlfn.XLOOKUP($F14,'3a-Emissions Inputs'!$B$3:$B$46,'3a-Emissions Inputs'!E$3:E$46)*R14</f>
        <v>2529704.2073378088</v>
      </c>
      <c r="Y14" s="31">
        <f>_xlfn.XLOOKUP($F14,'3a-Emissions Inputs'!$B$3:$B$46,'3a-Emissions Inputs'!F$3:F$46)*S14</f>
        <v>4443595.6487198416</v>
      </c>
      <c r="AA14" s="31">
        <f t="shared" si="7"/>
        <v>2598424.2271985244</v>
      </c>
      <c r="AB14" s="31">
        <f t="shared" si="8"/>
        <v>3236918.6481487565</v>
      </c>
      <c r="AC14" s="31">
        <f t="shared" si="9"/>
        <v>5835342.8753472809</v>
      </c>
    </row>
    <row r="15" spans="1:29" x14ac:dyDescent="0.25">
      <c r="E15" s="2">
        <f t="shared" si="10"/>
        <v>11</v>
      </c>
      <c r="F15" s="2">
        <f t="shared" si="10"/>
        <v>2039</v>
      </c>
      <c r="G15" s="50">
        <f>_xlfn.XLOOKUP(F15,'6-Traffic Data'!$F$9:$F$48,'6-Traffic Data'!$Q$9:$Q$48)</f>
        <v>13060158.398907108</v>
      </c>
      <c r="I15" s="110">
        <f t="shared" si="0"/>
        <v>0.45500000000000002</v>
      </c>
      <c r="J15" s="232">
        <f>SUMIFS('3b-Emissions Factors'!$F$19:$F$50,'3b-Emissions Factors'!$C$19:$C$50,(LEFT($F15,3)&amp;0),'3b-Emissions Factors'!$D$19:$D$50,'14-Emissions'!$E$3,'3b-Emissions Factors'!$E$19:$E$50,J$3)</f>
        <v>1.9417881907739299E-3</v>
      </c>
      <c r="K15" s="232">
        <f>SUMIFS('3b-Emissions Factors'!$F$19:$F$50,'3b-Emissions Factors'!$C$19:$C$50,(LEFT($F15,3)&amp;0),'3b-Emissions Factors'!$D$19:$D$50,'14-Emissions'!$E$3,'3b-Emissions Factors'!$E$19:$E$50,K$3)</f>
        <v>3.8767492057591001E-6</v>
      </c>
      <c r="L15" s="232">
        <f>SUMIFS('3b-Emissions Factors'!$F$19:$F$50,'3b-Emissions Factors'!$C$19:$C$50,(LEFT($F15,3)&amp;0),'3b-Emissions Factors'!$D$19:$D$50,'14-Emissions'!$E$3,'3b-Emissions Factors'!$E$19:$E$50,L$3)</f>
        <v>5.4439182838359401E-5</v>
      </c>
      <c r="M15" s="232">
        <f>SUMIFS('3b-Emissions Factors'!$F$19:$F$50,'3b-Emissions Factors'!$C$19:$C$50,(LEFT($F15,3)&amp;0),'3b-Emissions Factors'!$D$19:$D$50,'14-Emissions'!$E$3,'3b-Emissions Factors'!$E$19:$E$50,M$3)</f>
        <v>1.0675269780176999</v>
      </c>
      <c r="O15" s="50">
        <f t="shared" si="1"/>
        <v>5.9423720715027342</v>
      </c>
      <c r="P15" s="50">
        <f t="shared" si="2"/>
        <v>70.305268441961744</v>
      </c>
      <c r="Q15" s="50">
        <f t="shared" si="3"/>
        <v>5.7771593819248533E-2</v>
      </c>
      <c r="R15" s="50">
        <f t="shared" si="4"/>
        <v>2.422685770745467</v>
      </c>
      <c r="S15" s="50">
        <f t="shared" si="5"/>
        <v>15687.061010868283</v>
      </c>
      <c r="U15" s="31">
        <f t="shared" si="6"/>
        <v>195525.42053535403</v>
      </c>
      <c r="V15" s="31">
        <f>_xlfn.XLOOKUP($F15,'3a-Emissions Inputs'!$B$3:$B$46,'3a-Emissions Inputs'!C$3:C$46)*P15</f>
        <v>1546715.9057231583</v>
      </c>
      <c r="W15" s="31">
        <f>_xlfn.XLOOKUP($F15,'3a-Emissions Inputs'!$B$3:$B$46,'3a-Emissions Inputs'!D$3:D$46)*Q15</f>
        <v>3552.9530198837847</v>
      </c>
      <c r="X15" s="31">
        <f>_xlfn.XLOOKUP($F15,'3a-Emissions Inputs'!$B$3:$B$46,'3a-Emissions Inputs'!E$3:E$46)*R15</f>
        <v>2589851.0889269044</v>
      </c>
      <c r="Y15" s="31">
        <f>_xlfn.XLOOKUP($F15,'3a-Emissions Inputs'!$B$3:$B$46,'3a-Emissions Inputs'!F$3:F$46)*S15</f>
        <v>4611995.937195275</v>
      </c>
      <c r="AA15" s="31">
        <f t="shared" si="7"/>
        <v>2580218.2475385503</v>
      </c>
      <c r="AB15" s="31">
        <f t="shared" si="8"/>
        <v>3293714.8365852502</v>
      </c>
      <c r="AC15" s="31">
        <f t="shared" si="9"/>
        <v>5873933.0841238005</v>
      </c>
    </row>
    <row r="16" spans="1:29" x14ac:dyDescent="0.25">
      <c r="E16" s="2">
        <f t="shared" si="10"/>
        <v>12</v>
      </c>
      <c r="F16" s="2">
        <f t="shared" si="10"/>
        <v>2040</v>
      </c>
      <c r="G16" s="50">
        <f>_xlfn.XLOOKUP(F16,'6-Traffic Data'!$F$9:$F$48,'6-Traffic Data'!$Q$9:$Q$48)</f>
        <v>13370679.999999976</v>
      </c>
      <c r="I16" s="110">
        <f t="shared" si="0"/>
        <v>0.45500000000000002</v>
      </c>
      <c r="J16" s="232">
        <f>SUMIFS('3b-Emissions Factors'!$F$19:$F$50,'3b-Emissions Factors'!$C$19:$C$50,(LEFT($F16,3)&amp;0),'3b-Emissions Factors'!$D$19:$D$50,'14-Emissions'!$E$3,'3b-Emissions Factors'!$E$19:$E$50,J$3)</f>
        <v>1.0109373550145999E-3</v>
      </c>
      <c r="K16" s="232">
        <f>SUMIFS('3b-Emissions Factors'!$F$19:$F$50,'3b-Emissions Factors'!$C$19:$C$50,(LEFT($F16,3)&amp;0),'3b-Emissions Factors'!$D$19:$D$50,'14-Emissions'!$E$3,'3b-Emissions Factors'!$E$19:$E$50,K$3)</f>
        <v>3.48517638532466E-6</v>
      </c>
      <c r="L16" s="232">
        <f>SUMIFS('3b-Emissions Factors'!$F$19:$F$50,'3b-Emissions Factors'!$C$19:$C$50,(LEFT($F16,3)&amp;0),'3b-Emissions Factors'!$D$19:$D$50,'14-Emissions'!$E$3,'3b-Emissions Factors'!$E$19:$E$50,L$3)</f>
        <v>1.60021167306215E-5</v>
      </c>
      <c r="M16" s="232">
        <f>SUMIFS('3b-Emissions Factors'!$F$19:$F$50,'3b-Emissions Factors'!$C$19:$C$50,(LEFT($F16,3)&amp;0),'3b-Emissions Factors'!$D$19:$D$50,'14-Emissions'!$E$3,'3b-Emissions Factors'!$E$19:$E$50,M$3)</f>
        <v>0.96074312058039302</v>
      </c>
      <c r="O16" s="50">
        <f t="shared" si="1"/>
        <v>6.0836593999999886</v>
      </c>
      <c r="P16" s="50">
        <f t="shared" si="2"/>
        <v>71.976864134376072</v>
      </c>
      <c r="Q16" s="50">
        <f t="shared" si="3"/>
        <v>5.914518572085526E-2</v>
      </c>
      <c r="R16" s="50">
        <f t="shared" si="4"/>
        <v>2.4802881551499123</v>
      </c>
      <c r="S16" s="50">
        <f t="shared" si="5"/>
        <v>16060.040507192307</v>
      </c>
      <c r="U16" s="31">
        <f t="shared" si="6"/>
        <v>200174.281964483</v>
      </c>
      <c r="V16" s="31">
        <f>_xlfn.XLOOKUP($F16,'3a-Emissions Inputs'!$B$3:$B$46,'3a-Emissions Inputs'!C$3:C$46)*P16</f>
        <v>1583491.0109562736</v>
      </c>
      <c r="W16" s="31">
        <f>_xlfn.XLOOKUP($F16,'3a-Emissions Inputs'!$B$3:$B$46,'3a-Emissions Inputs'!D$3:D$46)*Q16</f>
        <v>3637.4289218325985</v>
      </c>
      <c r="X16" s="31">
        <f>_xlfn.XLOOKUP($F16,'3a-Emissions Inputs'!$B$3:$B$46,'3a-Emissions Inputs'!E$3:E$46)*R16</f>
        <v>2651428.0378552563</v>
      </c>
      <c r="Y16" s="31">
        <f>_xlfn.XLOOKUP($F16,'3a-Emissions Inputs'!$B$3:$B$46,'3a-Emissions Inputs'!F$3:F$46)*S16</f>
        <v>4801952.1116504995</v>
      </c>
      <c r="AA16" s="31">
        <f t="shared" si="7"/>
        <v>2562139.8289180365</v>
      </c>
      <c r="AB16" s="31">
        <f t="shared" si="8"/>
        <v>3362131.7891080687</v>
      </c>
      <c r="AC16" s="31">
        <f t="shared" si="9"/>
        <v>5924271.6180261057</v>
      </c>
    </row>
    <row r="17" spans="5:29" x14ac:dyDescent="0.25">
      <c r="E17" s="2">
        <f t="shared" si="10"/>
        <v>13</v>
      </c>
      <c r="F17" s="2">
        <f t="shared" si="10"/>
        <v>2041</v>
      </c>
      <c r="G17" s="50">
        <f>_xlfn.XLOOKUP(F17,'6-Traffic Data'!$F$9:$F$48,'6-Traffic Data'!$Q$9:$Q$48)</f>
        <v>13688584.640547659</v>
      </c>
      <c r="I17" s="110">
        <f t="shared" si="0"/>
        <v>0.45500000000000002</v>
      </c>
      <c r="J17" s="232">
        <f>SUMIFS('3b-Emissions Factors'!$F$19:$F$50,'3b-Emissions Factors'!$C$19:$C$50,(LEFT($F17,3)&amp;0),'3b-Emissions Factors'!$D$19:$D$50,'14-Emissions'!$E$3,'3b-Emissions Factors'!$E$19:$E$50,J$3)</f>
        <v>1.0109373550145999E-3</v>
      </c>
      <c r="K17" s="232">
        <f>SUMIFS('3b-Emissions Factors'!$F$19:$F$50,'3b-Emissions Factors'!$C$19:$C$50,(LEFT($F17,3)&amp;0),'3b-Emissions Factors'!$D$19:$D$50,'14-Emissions'!$E$3,'3b-Emissions Factors'!$E$19:$E$50,K$3)</f>
        <v>3.48517638532466E-6</v>
      </c>
      <c r="L17" s="232">
        <f>SUMIFS('3b-Emissions Factors'!$F$19:$F$50,'3b-Emissions Factors'!$C$19:$C$50,(LEFT($F17,3)&amp;0),'3b-Emissions Factors'!$D$19:$D$50,'14-Emissions'!$E$3,'3b-Emissions Factors'!$E$19:$E$50,L$3)</f>
        <v>1.60021167306215E-5</v>
      </c>
      <c r="M17" s="232">
        <f>SUMIFS('3b-Emissions Factors'!$F$19:$F$50,'3b-Emissions Factors'!$C$19:$C$50,(LEFT($F17,3)&amp;0),'3b-Emissions Factors'!$D$19:$D$50,'14-Emissions'!$E$3,'3b-Emissions Factors'!$E$19:$E$50,M$3)</f>
        <v>0.96074312058039302</v>
      </c>
      <c r="O17" s="50">
        <f t="shared" si="1"/>
        <v>6.2283060114491846</v>
      </c>
      <c r="P17" s="50">
        <f t="shared" si="2"/>
        <v>73.688204105147065</v>
      </c>
      <c r="Q17" s="50">
        <f t="shared" si="3"/>
        <v>6.0551436487960179E-2</v>
      </c>
      <c r="R17" s="50">
        <f t="shared" si="4"/>
        <v>2.5392601082904864</v>
      </c>
      <c r="S17" s="50">
        <f t="shared" si="5"/>
        <v>16441.88805755027</v>
      </c>
      <c r="U17" s="31">
        <f t="shared" si="6"/>
        <v>204933.67588871196</v>
      </c>
      <c r="V17" s="31">
        <f>_xlfn.XLOOKUP($F17,'3a-Emissions Inputs'!$B$3:$B$46,'3a-Emissions Inputs'!C$3:C$46)*P17</f>
        <v>1621140.4903132354</v>
      </c>
      <c r="W17" s="31">
        <f>_xlfn.XLOOKUP($F17,'3a-Emissions Inputs'!$B$3:$B$46,'3a-Emissions Inputs'!D$3:D$46)*Q17</f>
        <v>3723.9133440095511</v>
      </c>
      <c r="X17" s="31">
        <f>_xlfn.XLOOKUP($F17,'3a-Emissions Inputs'!$B$3:$B$46,'3a-Emissions Inputs'!E$3:E$46)*R17</f>
        <v>2714469.0557625298</v>
      </c>
      <c r="Y17" s="31">
        <f>_xlfn.XLOOKUP($F17,'3a-Emissions Inputs'!$B$3:$B$46,'3a-Emissions Inputs'!F$3:F$46)*S17</f>
        <v>4981892.0814377321</v>
      </c>
      <c r="AA17" s="31">
        <f t="shared" si="7"/>
        <v>2544188.077574654</v>
      </c>
      <c r="AB17" s="31">
        <f t="shared" si="8"/>
        <v>3419723.9665545402</v>
      </c>
      <c r="AC17" s="31">
        <f t="shared" si="9"/>
        <v>5963912.0441291947</v>
      </c>
    </row>
    <row r="18" spans="5:29" x14ac:dyDescent="0.25">
      <c r="E18" s="2">
        <f t="shared" si="10"/>
        <v>14</v>
      </c>
      <c r="F18" s="2">
        <f t="shared" si="10"/>
        <v>2042</v>
      </c>
      <c r="G18" s="50">
        <f>_xlfn.XLOOKUP(F18,'6-Traffic Data'!$F$9:$F$48,'6-Traffic Data'!$Q$9:$Q$48)</f>
        <v>14014047.861547625</v>
      </c>
      <c r="I18" s="110">
        <f t="shared" si="0"/>
        <v>0.45500000000000002</v>
      </c>
      <c r="J18" s="232">
        <f>SUMIFS('3b-Emissions Factors'!$F$19:$F$50,'3b-Emissions Factors'!$C$19:$C$50,(LEFT($F18,3)&amp;0),'3b-Emissions Factors'!$D$19:$D$50,'14-Emissions'!$E$3,'3b-Emissions Factors'!$E$19:$E$50,J$3)</f>
        <v>1.0109373550145999E-3</v>
      </c>
      <c r="K18" s="232">
        <f>SUMIFS('3b-Emissions Factors'!$F$19:$F$50,'3b-Emissions Factors'!$C$19:$C$50,(LEFT($F18,3)&amp;0),'3b-Emissions Factors'!$D$19:$D$50,'14-Emissions'!$E$3,'3b-Emissions Factors'!$E$19:$E$50,K$3)</f>
        <v>3.48517638532466E-6</v>
      </c>
      <c r="L18" s="232">
        <f>SUMIFS('3b-Emissions Factors'!$F$19:$F$50,'3b-Emissions Factors'!$C$19:$C$50,(LEFT($F18,3)&amp;0),'3b-Emissions Factors'!$D$19:$D$50,'14-Emissions'!$E$3,'3b-Emissions Factors'!$E$19:$E$50,L$3)</f>
        <v>1.60021167306215E-5</v>
      </c>
      <c r="M18" s="232">
        <f>SUMIFS('3b-Emissions Factors'!$F$19:$F$50,'3b-Emissions Factors'!$C$19:$C$50,(LEFT($F18,3)&amp;0),'3b-Emissions Factors'!$D$19:$D$50,'14-Emissions'!$E$3,'3b-Emissions Factors'!$E$19:$E$50,M$3)</f>
        <v>0.96074312058039302</v>
      </c>
      <c r="O18" s="50">
        <f t="shared" si="1"/>
        <v>6.3763917770041694</v>
      </c>
      <c r="P18" s="50">
        <f t="shared" si="2"/>
        <v>75.440233324203319</v>
      </c>
      <c r="Q18" s="50">
        <f t="shared" si="3"/>
        <v>6.1991122625939019E-2</v>
      </c>
      <c r="R18" s="50">
        <f t="shared" si="4"/>
        <v>2.5996341933768963</v>
      </c>
      <c r="S18" s="50">
        <f t="shared" si="5"/>
        <v>16832.81451101866</v>
      </c>
      <c r="U18" s="31">
        <f t="shared" si="6"/>
        <v>209806.2303563618</v>
      </c>
      <c r="V18" s="31">
        <f>_xlfn.XLOOKUP($F18,'3a-Emissions Inputs'!$B$3:$B$46,'3a-Emissions Inputs'!C$3:C$46)*P18</f>
        <v>1659685.1331324731</v>
      </c>
      <c r="W18" s="31">
        <f>_xlfn.XLOOKUP($F18,'3a-Emissions Inputs'!$B$3:$B$46,'3a-Emissions Inputs'!D$3:D$46)*Q18</f>
        <v>3812.4540414952498</v>
      </c>
      <c r="X18" s="31">
        <f>_xlfn.XLOOKUP($F18,'3a-Emissions Inputs'!$B$3:$B$46,'3a-Emissions Inputs'!E$3:E$46)*R18</f>
        <v>2779008.9527199022</v>
      </c>
      <c r="Y18" s="31">
        <f>_xlfn.XLOOKUP($F18,'3a-Emissions Inputs'!$B$3:$B$46,'3a-Emissions Inputs'!F$3:F$46)*S18</f>
        <v>5184506.8693937473</v>
      </c>
      <c r="AA18" s="31">
        <f t="shared" si="7"/>
        <v>2526362.1060082586</v>
      </c>
      <c r="AB18" s="31">
        <f t="shared" si="8"/>
        <v>3489024.4994037929</v>
      </c>
      <c r="AC18" s="31">
        <f t="shared" si="9"/>
        <v>6015386.6054120511</v>
      </c>
    </row>
    <row r="19" spans="5:29" x14ac:dyDescent="0.25">
      <c r="E19" s="2">
        <f t="shared" si="10"/>
        <v>15</v>
      </c>
      <c r="F19" s="2">
        <f t="shared" si="10"/>
        <v>2043</v>
      </c>
      <c r="G19" s="50">
        <f>_xlfn.XLOOKUP(F19,'6-Traffic Data'!$F$9:$F$48,'6-Traffic Data'!$Q$9:$Q$48)</f>
        <v>14347249.377704121</v>
      </c>
      <c r="I19" s="110">
        <f t="shared" si="0"/>
        <v>0.45500000000000002</v>
      </c>
      <c r="J19" s="232">
        <f>SUMIFS('3b-Emissions Factors'!$F$19:$F$50,'3b-Emissions Factors'!$C$19:$C$50,(LEFT($F19,3)&amp;0),'3b-Emissions Factors'!$D$19:$D$50,'14-Emissions'!$E$3,'3b-Emissions Factors'!$E$19:$E$50,J$3)</f>
        <v>1.0109373550145999E-3</v>
      </c>
      <c r="K19" s="232">
        <f>SUMIFS('3b-Emissions Factors'!$F$19:$F$50,'3b-Emissions Factors'!$C$19:$C$50,(LEFT($F19,3)&amp;0),'3b-Emissions Factors'!$D$19:$D$50,'14-Emissions'!$E$3,'3b-Emissions Factors'!$E$19:$E$50,K$3)</f>
        <v>3.48517638532466E-6</v>
      </c>
      <c r="L19" s="232">
        <f>SUMIFS('3b-Emissions Factors'!$F$19:$F$50,'3b-Emissions Factors'!$C$19:$C$50,(LEFT($F19,3)&amp;0),'3b-Emissions Factors'!$D$19:$D$50,'14-Emissions'!$E$3,'3b-Emissions Factors'!$E$19:$E$50,L$3)</f>
        <v>1.60021167306215E-5</v>
      </c>
      <c r="M19" s="232">
        <f>SUMIFS('3b-Emissions Factors'!$F$19:$F$50,'3b-Emissions Factors'!$C$19:$C$50,(LEFT($F19,3)&amp;0),'3b-Emissions Factors'!$D$19:$D$50,'14-Emissions'!$E$3,'3b-Emissions Factors'!$E$19:$E$50,M$3)</f>
        <v>0.96074312058039302</v>
      </c>
      <c r="O19" s="50">
        <f t="shared" si="1"/>
        <v>6.527998466855375</v>
      </c>
      <c r="P19" s="50">
        <f t="shared" si="2"/>
        <v>77.233919229315418</v>
      </c>
      <c r="Q19" s="50">
        <f t="shared" si="3"/>
        <v>6.3465039102554008E-2</v>
      </c>
      <c r="R19" s="50">
        <f t="shared" si="4"/>
        <v>2.6614437478498885</v>
      </c>
      <c r="S19" s="50">
        <f t="shared" si="5"/>
        <v>17233.035729874489</v>
      </c>
      <c r="U19" s="31">
        <f t="shared" si="6"/>
        <v>214794.63590088938</v>
      </c>
      <c r="V19" s="31">
        <f>_xlfn.XLOOKUP($F19,'3a-Emissions Inputs'!$B$3:$B$46,'3a-Emissions Inputs'!C$3:C$46)*P19</f>
        <v>1699146.2230449391</v>
      </c>
      <c r="W19" s="31">
        <f>_xlfn.XLOOKUP($F19,'3a-Emissions Inputs'!$B$3:$B$46,'3a-Emissions Inputs'!D$3:D$46)*Q19</f>
        <v>3903.0999048070717</v>
      </c>
      <c r="X19" s="31">
        <f>_xlfn.XLOOKUP($F19,'3a-Emissions Inputs'!$B$3:$B$46,'3a-Emissions Inputs'!E$3:E$46)*R19</f>
        <v>2845083.3664515307</v>
      </c>
      <c r="Y19" s="31">
        <f>_xlfn.XLOOKUP($F19,'3a-Emissions Inputs'!$B$3:$B$46,'3a-Emissions Inputs'!F$3:F$46)*S19</f>
        <v>5376707.1477208408</v>
      </c>
      <c r="AA19" s="31">
        <f t="shared" si="7"/>
        <v>2508661.032937021</v>
      </c>
      <c r="AB19" s="31">
        <f t="shared" si="8"/>
        <v>3547421.3499346245</v>
      </c>
      <c r="AC19" s="31">
        <f t="shared" si="9"/>
        <v>6056082.3828716455</v>
      </c>
    </row>
    <row r="20" spans="5:29" x14ac:dyDescent="0.25">
      <c r="E20" s="2">
        <f t="shared" si="10"/>
        <v>16</v>
      </c>
      <c r="F20" s="2">
        <f t="shared" si="10"/>
        <v>2044</v>
      </c>
      <c r="G20" s="50">
        <f>_xlfn.XLOOKUP(F20,'6-Traffic Data'!$F$9:$F$48,'6-Traffic Data'!$Q$9:$Q$48)</f>
        <v>14688373.176663263</v>
      </c>
      <c r="I20" s="110">
        <f t="shared" si="0"/>
        <v>0.45500000000000002</v>
      </c>
      <c r="J20" s="232">
        <f>SUMIFS('3b-Emissions Factors'!$F$19:$F$50,'3b-Emissions Factors'!$C$19:$C$50,(LEFT($F20,3)&amp;0),'3b-Emissions Factors'!$D$19:$D$50,'14-Emissions'!$E$3,'3b-Emissions Factors'!$E$19:$E$50,J$3)</f>
        <v>1.0109373550145999E-3</v>
      </c>
      <c r="K20" s="232">
        <f>SUMIFS('3b-Emissions Factors'!$F$19:$F$50,'3b-Emissions Factors'!$C$19:$C$50,(LEFT($F20,3)&amp;0),'3b-Emissions Factors'!$D$19:$D$50,'14-Emissions'!$E$3,'3b-Emissions Factors'!$E$19:$E$50,K$3)</f>
        <v>3.48517638532466E-6</v>
      </c>
      <c r="L20" s="232">
        <f>SUMIFS('3b-Emissions Factors'!$F$19:$F$50,'3b-Emissions Factors'!$C$19:$C$50,(LEFT($F20,3)&amp;0),'3b-Emissions Factors'!$D$19:$D$50,'14-Emissions'!$E$3,'3b-Emissions Factors'!$E$19:$E$50,L$3)</f>
        <v>1.60021167306215E-5</v>
      </c>
      <c r="M20" s="232">
        <f>SUMIFS('3b-Emissions Factors'!$F$19:$F$50,'3b-Emissions Factors'!$C$19:$C$50,(LEFT($F20,3)&amp;0),'3b-Emissions Factors'!$D$19:$D$50,'14-Emissions'!$E$3,'3b-Emissions Factors'!$E$19:$E$50,M$3)</f>
        <v>0.96074312058039302</v>
      </c>
      <c r="O20" s="50">
        <f t="shared" si="1"/>
        <v>6.6832097953817842</v>
      </c>
      <c r="P20" s="50">
        <f t="shared" si="2"/>
        <v>79.070252260296968</v>
      </c>
      <c r="Q20" s="50">
        <f t="shared" si="3"/>
        <v>6.4973999786920256E-2</v>
      </c>
      <c r="R20" s="50">
        <f t="shared" si="4"/>
        <v>2.7247229017895611</v>
      </c>
      <c r="S20" s="50">
        <f t="shared" si="5"/>
        <v>17642.77270879038</v>
      </c>
      <c r="U20" s="31">
        <f t="shared" si="6"/>
        <v>219901.64702654962</v>
      </c>
      <c r="V20" s="31">
        <f>_xlfn.XLOOKUP($F20,'3a-Emissions Inputs'!$B$3:$B$46,'3a-Emissions Inputs'!C$3:C$46)*P20</f>
        <v>1739545.5497265332</v>
      </c>
      <c r="W20" s="31">
        <f>_xlfn.XLOOKUP($F20,'3a-Emissions Inputs'!$B$3:$B$46,'3a-Emissions Inputs'!D$3:D$46)*Q20</f>
        <v>3995.9009868955959</v>
      </c>
      <c r="X20" s="31">
        <f>_xlfn.XLOOKUP($F20,'3a-Emissions Inputs'!$B$3:$B$46,'3a-Emissions Inputs'!E$3:E$46)*R20</f>
        <v>2912728.782013041</v>
      </c>
      <c r="Y20" s="31">
        <f>_xlfn.XLOOKUP($F20,'3a-Emissions Inputs'!$B$3:$B$46,'3a-Emissions Inputs'!F$3:F$46)*S20</f>
        <v>5592758.9486865504</v>
      </c>
      <c r="AA20" s="31">
        <f t="shared" si="7"/>
        <v>2491083.9832538515</v>
      </c>
      <c r="AB20" s="31">
        <f t="shared" si="8"/>
        <v>3617614.8072372237</v>
      </c>
      <c r="AC20" s="31">
        <f t="shared" si="9"/>
        <v>6108698.7904910753</v>
      </c>
    </row>
    <row r="21" spans="5:29" x14ac:dyDescent="0.25">
      <c r="E21" s="2">
        <f t="shared" si="10"/>
        <v>17</v>
      </c>
      <c r="F21" s="2">
        <f t="shared" si="10"/>
        <v>2045</v>
      </c>
      <c r="G21" s="50">
        <f>_xlfn.XLOOKUP(F21,'6-Traffic Data'!$F$9:$F$48,'6-Traffic Data'!$Q$9:$Q$48)</f>
        <v>15037607.620607575</v>
      </c>
      <c r="I21" s="110">
        <f t="shared" si="0"/>
        <v>0.45500000000000002</v>
      </c>
      <c r="J21" s="232">
        <f>SUMIFS('3b-Emissions Factors'!$F$19:$F$50,'3b-Emissions Factors'!$C$19:$C$50,(LEFT($F21,3)&amp;0),'3b-Emissions Factors'!$D$19:$D$50,'14-Emissions'!$E$3,'3b-Emissions Factors'!$E$19:$E$50,J$3)</f>
        <v>1.0109373550145999E-3</v>
      </c>
      <c r="K21" s="232">
        <f>SUMIFS('3b-Emissions Factors'!$F$19:$F$50,'3b-Emissions Factors'!$C$19:$C$50,(LEFT($F21,3)&amp;0),'3b-Emissions Factors'!$D$19:$D$50,'14-Emissions'!$E$3,'3b-Emissions Factors'!$E$19:$E$50,K$3)</f>
        <v>3.48517638532466E-6</v>
      </c>
      <c r="L21" s="232">
        <f>SUMIFS('3b-Emissions Factors'!$F$19:$F$50,'3b-Emissions Factors'!$C$19:$C$50,(LEFT($F21,3)&amp;0),'3b-Emissions Factors'!$D$19:$D$50,'14-Emissions'!$E$3,'3b-Emissions Factors'!$E$19:$E$50,L$3)</f>
        <v>1.60021167306215E-5</v>
      </c>
      <c r="M21" s="232">
        <f>SUMIFS('3b-Emissions Factors'!$F$19:$F$50,'3b-Emissions Factors'!$C$19:$C$50,(LEFT($F21,3)&amp;0),'3b-Emissions Factors'!$D$19:$D$50,'14-Emissions'!$E$3,'3b-Emissions Factors'!$E$19:$E$50,M$3)</f>
        <v>0.96074312058039302</v>
      </c>
      <c r="O21" s="50">
        <f t="shared" si="1"/>
        <v>6.8421114673764469</v>
      </c>
      <c r="P21" s="50">
        <f t="shared" si="2"/>
        <v>80.950246405906938</v>
      </c>
      <c r="Q21" s="50">
        <f t="shared" si="3"/>
        <v>6.6518837898909028E-2</v>
      </c>
      <c r="R21" s="50">
        <f t="shared" si="4"/>
        <v>2.7895065967613535</v>
      </c>
      <c r="S21" s="50">
        <f t="shared" si="5"/>
        <v>18062.251696863721</v>
      </c>
      <c r="U21" s="31">
        <f t="shared" si="6"/>
        <v>225130.08372938138</v>
      </c>
      <c r="V21" s="31">
        <f>_xlfn.XLOOKUP($F21,'3a-Emissions Inputs'!$B$3:$B$46,'3a-Emissions Inputs'!C$3:C$46)*P21</f>
        <v>1780905.4209299525</v>
      </c>
      <c r="W21" s="31">
        <f>_xlfn.XLOOKUP($F21,'3a-Emissions Inputs'!$B$3:$B$46,'3a-Emissions Inputs'!D$3:D$46)*Q21</f>
        <v>4090.908530782905</v>
      </c>
      <c r="X21" s="31">
        <f>_xlfn.XLOOKUP($F21,'3a-Emissions Inputs'!$B$3:$B$46,'3a-Emissions Inputs'!E$3:E$46)*R21</f>
        <v>2981982.551937887</v>
      </c>
      <c r="Y21" s="31">
        <f>_xlfn.XLOOKUP($F21,'3a-Emissions Inputs'!$B$3:$B$46,'3a-Emissions Inputs'!F$3:F$46)*S21</f>
        <v>5797982.7946932549</v>
      </c>
      <c r="AA21" s="31">
        <f t="shared" si="7"/>
        <v>2473630.0879831379</v>
      </c>
      <c r="AB21" s="31">
        <f t="shared" si="8"/>
        <v>3676825.0999637232</v>
      </c>
      <c r="AC21" s="31">
        <f t="shared" si="9"/>
        <v>6150455.1879468616</v>
      </c>
    </row>
    <row r="22" spans="5:29" x14ac:dyDescent="0.25">
      <c r="E22" s="2">
        <f t="shared" si="10"/>
        <v>18</v>
      </c>
      <c r="F22" s="2">
        <f t="shared" si="10"/>
        <v>2046</v>
      </c>
      <c r="G22" s="50">
        <f>_xlfn.XLOOKUP(F22,'6-Traffic Data'!$F$9:$F$48,'6-Traffic Data'!$Q$9:$Q$48)</f>
        <v>15395145.55026608</v>
      </c>
      <c r="I22" s="110">
        <f t="shared" si="0"/>
        <v>0.45500000000000002</v>
      </c>
      <c r="J22" s="232">
        <f>SUMIFS('3b-Emissions Factors'!$F$19:$F$50,'3b-Emissions Factors'!$C$19:$C$50,(LEFT($F22,3)&amp;0),'3b-Emissions Factors'!$D$19:$D$50,'14-Emissions'!$E$3,'3b-Emissions Factors'!$E$19:$E$50,J$3)</f>
        <v>1.0109373550145999E-3</v>
      </c>
      <c r="K22" s="232">
        <f>SUMIFS('3b-Emissions Factors'!$F$19:$F$50,'3b-Emissions Factors'!$C$19:$C$50,(LEFT($F22,3)&amp;0),'3b-Emissions Factors'!$D$19:$D$50,'14-Emissions'!$E$3,'3b-Emissions Factors'!$E$19:$E$50,K$3)</f>
        <v>3.48517638532466E-6</v>
      </c>
      <c r="L22" s="232">
        <f>SUMIFS('3b-Emissions Factors'!$F$19:$F$50,'3b-Emissions Factors'!$C$19:$C$50,(LEFT($F22,3)&amp;0),'3b-Emissions Factors'!$D$19:$D$50,'14-Emissions'!$E$3,'3b-Emissions Factors'!$E$19:$E$50,L$3)</f>
        <v>1.60021167306215E-5</v>
      </c>
      <c r="M22" s="232">
        <f>SUMIFS('3b-Emissions Factors'!$F$19:$F$50,'3b-Emissions Factors'!$C$19:$C$50,(LEFT($F22,3)&amp;0),'3b-Emissions Factors'!$D$19:$D$50,'14-Emissions'!$E$3,'3b-Emissions Factors'!$E$19:$E$50,M$3)</f>
        <v>0.96074312058039302</v>
      </c>
      <c r="O22" s="50">
        <f t="shared" si="1"/>
        <v>7.0047912253710667</v>
      </c>
      <c r="P22" s="50">
        <f t="shared" si="2"/>
        <v>82.874939763755322</v>
      </c>
      <c r="Q22" s="50">
        <f t="shared" si="3"/>
        <v>6.8100406469236222E-2</v>
      </c>
      <c r="R22" s="50">
        <f t="shared" si="4"/>
        <v>2.8558306051101292</v>
      </c>
      <c r="S22" s="50">
        <f t="shared" si="5"/>
        <v>18491.704322547175</v>
      </c>
      <c r="U22" s="31">
        <f t="shared" si="6"/>
        <v>230482.83305435657</v>
      </c>
      <c r="V22" s="31">
        <f>_xlfn.XLOOKUP($F22,'3a-Emissions Inputs'!$B$3:$B$46,'3a-Emissions Inputs'!C$3:C$46)*P22</f>
        <v>1823248.6748026172</v>
      </c>
      <c r="W22" s="31">
        <f>_xlfn.XLOOKUP($F22,'3a-Emissions Inputs'!$B$3:$B$46,'3a-Emissions Inputs'!D$3:D$46)*Q22</f>
        <v>4188.1749978580274</v>
      </c>
      <c r="X22" s="31">
        <f>_xlfn.XLOOKUP($F22,'3a-Emissions Inputs'!$B$3:$B$46,'3a-Emissions Inputs'!E$3:E$46)*R22</f>
        <v>3052882.9168627281</v>
      </c>
      <c r="Y22" s="31">
        <f>_xlfn.XLOOKUP($F22,'3a-Emissions Inputs'!$B$3:$B$46,'3a-Emissions Inputs'!F$3:F$46)*S22</f>
        <v>6028295.609150379</v>
      </c>
      <c r="AA22" s="31">
        <f t="shared" si="7"/>
        <v>2456298.4842377887</v>
      </c>
      <c r="AB22" s="31">
        <f t="shared" si="8"/>
        <v>3747920.9158561788</v>
      </c>
      <c r="AC22" s="31">
        <f t="shared" si="9"/>
        <v>6204219.4000939671</v>
      </c>
    </row>
    <row r="23" spans="5:29" x14ac:dyDescent="0.25">
      <c r="E23" s="2">
        <f t="shared" si="10"/>
        <v>19</v>
      </c>
      <c r="F23" s="2">
        <f t="shared" si="10"/>
        <v>2047</v>
      </c>
      <c r="G23" s="50">
        <f>_xlfn.XLOOKUP(F23,'6-Traffic Data'!$F$9:$F$48,'6-Traffic Data'!$Q$9:$Q$48)</f>
        <v>15761184.391397318</v>
      </c>
      <c r="I23" s="110">
        <f t="shared" si="0"/>
        <v>0.45500000000000002</v>
      </c>
      <c r="J23" s="232">
        <f>SUMIFS('3b-Emissions Factors'!$F$19:$F$50,'3b-Emissions Factors'!$C$19:$C$50,(LEFT($F23,3)&amp;0),'3b-Emissions Factors'!$D$19:$D$50,'14-Emissions'!$E$3,'3b-Emissions Factors'!$E$19:$E$50,J$3)</f>
        <v>1.0109373550145999E-3</v>
      </c>
      <c r="K23" s="232">
        <f>SUMIFS('3b-Emissions Factors'!$F$19:$F$50,'3b-Emissions Factors'!$C$19:$C$50,(LEFT($F23,3)&amp;0),'3b-Emissions Factors'!$D$19:$D$50,'14-Emissions'!$E$3,'3b-Emissions Factors'!$E$19:$E$50,K$3)</f>
        <v>3.48517638532466E-6</v>
      </c>
      <c r="L23" s="232">
        <f>SUMIFS('3b-Emissions Factors'!$F$19:$F$50,'3b-Emissions Factors'!$C$19:$C$50,(LEFT($F23,3)&amp;0),'3b-Emissions Factors'!$D$19:$D$50,'14-Emissions'!$E$3,'3b-Emissions Factors'!$E$19:$E$50,L$3)</f>
        <v>1.60021167306215E-5</v>
      </c>
      <c r="M23" s="232">
        <f>SUMIFS('3b-Emissions Factors'!$F$19:$F$50,'3b-Emissions Factors'!$C$19:$C$50,(LEFT($F23,3)&amp;0),'3b-Emissions Factors'!$D$19:$D$50,'14-Emissions'!$E$3,'3b-Emissions Factors'!$E$19:$E$50,M$3)</f>
        <v>0.96074312058039302</v>
      </c>
      <c r="O23" s="50">
        <f t="shared" si="1"/>
        <v>7.1713388980857795</v>
      </c>
      <c r="P23" s="50">
        <f t="shared" si="2"/>
        <v>84.845395113521207</v>
      </c>
      <c r="Q23" s="50">
        <f t="shared" si="3"/>
        <v>6.9719578810489902E-2</v>
      </c>
      <c r="R23" s="50">
        <f t="shared" si="4"/>
        <v>2.923731549712993</v>
      </c>
      <c r="S23" s="50">
        <f t="shared" si="5"/>
        <v>18931.367721549577</v>
      </c>
      <c r="U23" s="31">
        <f t="shared" si="6"/>
        <v>235962.85068955214</v>
      </c>
      <c r="V23" s="31">
        <f>_xlfn.XLOOKUP($F23,'3a-Emissions Inputs'!$B$3:$B$46,'3a-Emissions Inputs'!C$3:C$46)*P23</f>
        <v>1866598.6924974665</v>
      </c>
      <c r="W23" s="31">
        <f>_xlfn.XLOOKUP($F23,'3a-Emissions Inputs'!$B$3:$B$46,'3a-Emissions Inputs'!D$3:D$46)*Q23</f>
        <v>4287.7540968451285</v>
      </c>
      <c r="X23" s="31">
        <f>_xlfn.XLOOKUP($F23,'3a-Emissions Inputs'!$B$3:$B$46,'3a-Emissions Inputs'!E$3:E$46)*R23</f>
        <v>3125469.0266431896</v>
      </c>
      <c r="Y23" s="31">
        <f>_xlfn.XLOOKUP($F23,'3a-Emissions Inputs'!$B$3:$B$46,'3a-Emissions Inputs'!F$3:F$46)*S23</f>
        <v>6266282.7158329105</v>
      </c>
      <c r="AA23" s="31">
        <f t="shared" si="7"/>
        <v>2439088.3151765685</v>
      </c>
      <c r="AB23" s="31">
        <f t="shared" si="8"/>
        <v>3819492.7587579442</v>
      </c>
      <c r="AC23" s="31">
        <f t="shared" si="9"/>
        <v>6258581.0739345122</v>
      </c>
    </row>
    <row r="24" spans="5:29" x14ac:dyDescent="0.25">
      <c r="E24" s="2">
        <f t="shared" si="10"/>
        <v>20</v>
      </c>
      <c r="F24" s="2">
        <f t="shared" si="10"/>
        <v>2048</v>
      </c>
      <c r="G24" s="50">
        <f>_xlfn.XLOOKUP(F24,'6-Traffic Data'!$F$9:$F$48,'6-Traffic Data'!$Q$9:$Q$48)</f>
        <v>16135926.263804175</v>
      </c>
      <c r="I24" s="110">
        <f t="shared" si="0"/>
        <v>0.45500000000000002</v>
      </c>
      <c r="J24" s="232">
        <f>SUMIFS('3b-Emissions Factors'!$F$19:$F$50,'3b-Emissions Factors'!$C$19:$C$50,(LEFT($F24,3)&amp;0),'3b-Emissions Factors'!$D$19:$D$50,'14-Emissions'!$E$3,'3b-Emissions Factors'!$E$19:$E$50,J$3)</f>
        <v>1.0109373550145999E-3</v>
      </c>
      <c r="K24" s="232">
        <f>SUMIFS('3b-Emissions Factors'!$F$19:$F$50,'3b-Emissions Factors'!$C$19:$C$50,(LEFT($F24,3)&amp;0),'3b-Emissions Factors'!$D$19:$D$50,'14-Emissions'!$E$3,'3b-Emissions Factors'!$E$19:$E$50,K$3)</f>
        <v>3.48517638532466E-6</v>
      </c>
      <c r="L24" s="232">
        <f>SUMIFS('3b-Emissions Factors'!$F$19:$F$50,'3b-Emissions Factors'!$C$19:$C$50,(LEFT($F24,3)&amp;0),'3b-Emissions Factors'!$D$19:$D$50,'14-Emissions'!$E$3,'3b-Emissions Factors'!$E$19:$E$50,L$3)</f>
        <v>1.60021167306215E-5</v>
      </c>
      <c r="M24" s="232">
        <f>SUMIFS('3b-Emissions Factors'!$F$19:$F$50,'3b-Emissions Factors'!$C$19:$C$50,(LEFT($F24,3)&amp;0),'3b-Emissions Factors'!$D$19:$D$50,'14-Emissions'!$E$3,'3b-Emissions Factors'!$E$19:$E$50,M$3)</f>
        <v>0.96074312058039302</v>
      </c>
      <c r="O24" s="50">
        <f t="shared" si="1"/>
        <v>7.3418464500308991</v>
      </c>
      <c r="P24" s="50">
        <f t="shared" si="2"/>
        <v>86.862700503799786</v>
      </c>
      <c r="Q24" s="50">
        <f t="shared" si="3"/>
        <v>7.1377248999357226E-2</v>
      </c>
      <c r="R24" s="50">
        <f t="shared" si="4"/>
        <v>2.993246924201757</v>
      </c>
      <c r="S24" s="50">
        <f t="shared" si="5"/>
        <v>19381.484667777833</v>
      </c>
      <c r="U24" s="31">
        <f t="shared" si="6"/>
        <v>241573.16259822607</v>
      </c>
      <c r="V24" s="31">
        <f>_xlfn.XLOOKUP($F24,'3a-Emissions Inputs'!$B$3:$B$46,'3a-Emissions Inputs'!C$3:C$46)*P24</f>
        <v>1910979.4110835954</v>
      </c>
      <c r="W24" s="31">
        <f>_xlfn.XLOOKUP($F24,'3a-Emissions Inputs'!$B$3:$B$46,'3a-Emissions Inputs'!D$3:D$46)*Q24</f>
        <v>4389.7008134604694</v>
      </c>
      <c r="X24" s="31">
        <f>_xlfn.XLOOKUP($F24,'3a-Emissions Inputs'!$B$3:$B$46,'3a-Emissions Inputs'!E$3:E$46)*R24</f>
        <v>3199780.9619716783</v>
      </c>
      <c r="Y24" s="31">
        <f>_xlfn.XLOOKUP($F24,'3a-Emissions Inputs'!$B$3:$B$46,'3a-Emissions Inputs'!F$3:F$46)*S24</f>
        <v>6512178.8483733516</v>
      </c>
      <c r="AA24" s="31">
        <f t="shared" si="7"/>
        <v>2421998.7299617403</v>
      </c>
      <c r="AB24" s="31">
        <f t="shared" si="8"/>
        <v>3891543.1789067215</v>
      </c>
      <c r="AC24" s="31">
        <f t="shared" si="9"/>
        <v>6313541.9088684618</v>
      </c>
    </row>
    <row r="25" spans="5:29" x14ac:dyDescent="0.25">
      <c r="E25" s="2">
        <f t="shared" ref="E25:F25" si="11">E24+1</f>
        <v>21</v>
      </c>
      <c r="F25" s="2">
        <f t="shared" si="11"/>
        <v>2049</v>
      </c>
      <c r="G25" s="50">
        <f>_xlfn.XLOOKUP(F25,'6-Traffic Data'!$F$9:$F$48,'6-Traffic Data'!$Q$9:$Q$48)</f>
        <v>16519578.092940658</v>
      </c>
      <c r="I25" s="110">
        <f t="shared" si="0"/>
        <v>0.45500000000000002</v>
      </c>
      <c r="J25" s="232">
        <f>SUMIFS('3b-Emissions Factors'!$F$19:$F$50,'3b-Emissions Factors'!$C$19:$C$50,(LEFT($F25,3)&amp;0),'3b-Emissions Factors'!$D$19:$D$50,'14-Emissions'!$E$3,'3b-Emissions Factors'!$E$19:$E$50,J$3)</f>
        <v>1.0109373550145999E-3</v>
      </c>
      <c r="K25" s="232">
        <f>SUMIFS('3b-Emissions Factors'!$F$19:$F$50,'3b-Emissions Factors'!$C$19:$C$50,(LEFT($F25,3)&amp;0),'3b-Emissions Factors'!$D$19:$D$50,'14-Emissions'!$E$3,'3b-Emissions Factors'!$E$19:$E$50,K$3)</f>
        <v>3.48517638532466E-6</v>
      </c>
      <c r="L25" s="232">
        <f>SUMIFS('3b-Emissions Factors'!$F$19:$F$50,'3b-Emissions Factors'!$C$19:$C$50,(LEFT($F25,3)&amp;0),'3b-Emissions Factors'!$D$19:$D$50,'14-Emissions'!$E$3,'3b-Emissions Factors'!$E$19:$E$50,L$3)</f>
        <v>1.60021167306215E-5</v>
      </c>
      <c r="M25" s="232">
        <f>SUMIFS('3b-Emissions Factors'!$F$19:$F$50,'3b-Emissions Factors'!$C$19:$C$50,(LEFT($F25,3)&amp;0),'3b-Emissions Factors'!$D$19:$D$50,'14-Emissions'!$E$3,'3b-Emissions Factors'!$E$19:$E$50,M$3)</f>
        <v>0.96074312058039302</v>
      </c>
      <c r="O25" s="50">
        <f t="shared" si="1"/>
        <v>7.516408032288</v>
      </c>
      <c r="P25" s="50">
        <f t="shared" si="2"/>
        <v>88.927969852902564</v>
      </c>
      <c r="Q25" s="50">
        <f t="shared" si="3"/>
        <v>7.3074332370316908E-2</v>
      </c>
      <c r="R25" s="50">
        <f t="shared" si="4"/>
        <v>3.0644151136662283</v>
      </c>
      <c r="S25" s="50">
        <f t="shared" si="5"/>
        <v>19842.303707392148</v>
      </c>
      <c r="U25" s="31">
        <f t="shared" si="6"/>
        <v>247316.86668969764</v>
      </c>
      <c r="V25" s="31">
        <f>_xlfn.XLOOKUP($F25,'3a-Emissions Inputs'!$B$3:$B$46,'3a-Emissions Inputs'!C$3:C$46)*P25</f>
        <v>1956415.3367638565</v>
      </c>
      <c r="W25" s="31">
        <f>_xlfn.XLOOKUP($F25,'3a-Emissions Inputs'!$B$3:$B$46,'3a-Emissions Inputs'!D$3:D$46)*Q25</f>
        <v>4494.0714407744899</v>
      </c>
      <c r="X25" s="31">
        <f>_xlfn.XLOOKUP($F25,'3a-Emissions Inputs'!$B$3:$B$46,'3a-Emissions Inputs'!E$3:E$46)*R25</f>
        <v>3275859.7565091979</v>
      </c>
      <c r="Y25" s="31">
        <f>_xlfn.XLOOKUP($F25,'3a-Emissions Inputs'!$B$3:$B$46,'3a-Emissions Inputs'!F$3:F$46)*S25</f>
        <v>6746383.2605133299</v>
      </c>
      <c r="AA25" s="31">
        <f t="shared" si="7"/>
        <v>2405028.8837169996</v>
      </c>
      <c r="AB25" s="31">
        <f t="shared" si="8"/>
        <v>3952449.8862919086</v>
      </c>
      <c r="AC25" s="31">
        <f t="shared" si="9"/>
        <v>6357478.7700089086</v>
      </c>
    </row>
    <row r="26" spans="5:29" x14ac:dyDescent="0.25">
      <c r="E26" s="2">
        <f t="shared" ref="E26:F26" si="12">E25+1</f>
        <v>22</v>
      </c>
      <c r="F26" s="2">
        <f t="shared" si="12"/>
        <v>2050</v>
      </c>
      <c r="G26" s="50">
        <f>_xlfn.XLOOKUP(F26,'6-Traffic Data'!$F$9:$F$48,'6-Traffic Data'!$Q$9:$Q$48)</f>
        <v>16912351.724172257</v>
      </c>
      <c r="I26" s="110">
        <f t="shared" si="0"/>
        <v>0.45500000000000002</v>
      </c>
      <c r="J26" s="232">
        <f>SUMIFS('3b-Emissions Factors'!$F$19:$F$50,'3b-Emissions Factors'!$C$19:$C$50,(LEFT($F26,3)&amp;0),'3b-Emissions Factors'!$D$19:$D$50,'14-Emissions'!$E$3,'3b-Emissions Factors'!$E$19:$E$50,J$3)</f>
        <v>8.9922442972375301E-4</v>
      </c>
      <c r="K26" s="232">
        <f>SUMIFS('3b-Emissions Factors'!$F$19:$F$50,'3b-Emissions Factors'!$C$19:$C$50,(LEFT($F26,3)&amp;0),'3b-Emissions Factors'!$D$19:$D$50,'14-Emissions'!$E$3,'3b-Emissions Factors'!$E$19:$E$50,K$3)</f>
        <v>3.2876512209261801E-6</v>
      </c>
      <c r="L26" s="232">
        <f>SUMIFS('3b-Emissions Factors'!$F$19:$F$50,'3b-Emissions Factors'!$C$19:$C$50,(LEFT($F26,3)&amp;0),'3b-Emissions Factors'!$D$19:$D$50,'14-Emissions'!$E$3,'3b-Emissions Factors'!$E$19:$E$50,L$3)</f>
        <v>1.44623204192651E-5</v>
      </c>
      <c r="M26" s="232">
        <f>SUMIFS('3b-Emissions Factors'!$F$19:$F$50,'3b-Emissions Factors'!$C$19:$C$50,(LEFT($F26,3)&amp;0),'3b-Emissions Factors'!$D$19:$D$50,'14-Emissions'!$E$3,'3b-Emissions Factors'!$E$19:$E$50,M$3)</f>
        <v>0.90532478106265202</v>
      </c>
      <c r="O26" s="50">
        <f t="shared" si="1"/>
        <v>7.6951200344983777</v>
      </c>
      <c r="P26" s="50">
        <f t="shared" si="2"/>
        <v>91.042343563942126</v>
      </c>
      <c r="Q26" s="50">
        <f t="shared" si="3"/>
        <v>7.4811766021069731E-2</v>
      </c>
      <c r="R26" s="50">
        <f t="shared" si="4"/>
        <v>3.1372754158497345</v>
      </c>
      <c r="S26" s="50">
        <f t="shared" si="5"/>
        <v>20314.079296048563</v>
      </c>
      <c r="U26" s="31">
        <f t="shared" si="6"/>
        <v>253197.13452995467</v>
      </c>
      <c r="V26" s="31">
        <f>_xlfn.XLOOKUP($F26,'3a-Emissions Inputs'!$B$3:$B$46,'3a-Emissions Inputs'!C$3:C$46)*P26</f>
        <v>2002931.5584067267</v>
      </c>
      <c r="W26" s="31">
        <f>_xlfn.XLOOKUP($F26,'3a-Emissions Inputs'!$B$3:$B$46,'3a-Emissions Inputs'!D$3:D$46)*Q26</f>
        <v>4600.9236102957884</v>
      </c>
      <c r="X26" s="31">
        <f>_xlfn.XLOOKUP($F26,'3a-Emissions Inputs'!$B$3:$B$46,'3a-Emissions Inputs'!E$3:E$46)*R26</f>
        <v>3353747.4195433659</v>
      </c>
      <c r="Y26" s="31">
        <f>_xlfn.XLOOKUP($F26,'3a-Emissions Inputs'!$B$3:$B$46,'3a-Emissions Inputs'!F$3:F$46)*S26</f>
        <v>7008357.3571367543</v>
      </c>
      <c r="AA26" s="31">
        <f t="shared" si="7"/>
        <v>2388177.9374857107</v>
      </c>
      <c r="AB26" s="31">
        <f t="shared" si="8"/>
        <v>4025422.1235317076</v>
      </c>
      <c r="AC26" s="31">
        <f t="shared" si="9"/>
        <v>6413600.0610174183</v>
      </c>
    </row>
    <row r="27" spans="5:29" x14ac:dyDescent="0.25">
      <c r="E27" s="2">
        <f t="shared" ref="E27:F27" si="13">E26+1</f>
        <v>23</v>
      </c>
      <c r="F27" s="2">
        <f t="shared" si="13"/>
        <v>2051</v>
      </c>
      <c r="G27" s="50">
        <f>_xlfn.XLOOKUP(F27,'6-Traffic Data'!$F$9:$F$48,'6-Traffic Data'!$Q$9:$Q$48)</f>
        <v>17314464.03975299</v>
      </c>
      <c r="I27" s="110">
        <f t="shared" si="0"/>
        <v>0.45500000000000002</v>
      </c>
      <c r="J27" s="232">
        <f>SUMIFS('3b-Emissions Factors'!$F$19:$F$50,'3b-Emissions Factors'!$C$19:$C$50,(LEFT($F27,3)&amp;0),'3b-Emissions Factors'!$D$19:$D$50,'14-Emissions'!$E$3,'3b-Emissions Factors'!$E$19:$E$50,J$3)</f>
        <v>8.9922442972375301E-4</v>
      </c>
      <c r="K27" s="232">
        <f>SUMIFS('3b-Emissions Factors'!$F$19:$F$50,'3b-Emissions Factors'!$C$19:$C$50,(LEFT($F27,3)&amp;0),'3b-Emissions Factors'!$D$19:$D$50,'14-Emissions'!$E$3,'3b-Emissions Factors'!$E$19:$E$50,K$3)</f>
        <v>3.2876512209261801E-6</v>
      </c>
      <c r="L27" s="232">
        <f>SUMIFS('3b-Emissions Factors'!$F$19:$F$50,'3b-Emissions Factors'!$C$19:$C$50,(LEFT($F27,3)&amp;0),'3b-Emissions Factors'!$D$19:$D$50,'14-Emissions'!$E$3,'3b-Emissions Factors'!$E$19:$E$50,L$3)</f>
        <v>1.44623204192651E-5</v>
      </c>
      <c r="M27" s="232">
        <f>SUMIFS('3b-Emissions Factors'!$F$19:$F$50,'3b-Emissions Factors'!$C$19:$C$50,(LEFT($F27,3)&amp;0),'3b-Emissions Factors'!$D$19:$D$50,'14-Emissions'!$E$3,'3b-Emissions Factors'!$E$19:$E$50,M$3)</f>
        <v>0.90532478106265202</v>
      </c>
      <c r="O27" s="50">
        <f t="shared" si="1"/>
        <v>7.8780811380876097</v>
      </c>
      <c r="P27" s="50">
        <f t="shared" si="2"/>
        <v>93.20698915454139</v>
      </c>
      <c r="Q27" s="50">
        <f t="shared" si="3"/>
        <v>7.6590509329986386E-2</v>
      </c>
      <c r="R27" s="50">
        <f t="shared" si="4"/>
        <v>3.2118680628486</v>
      </c>
      <c r="S27" s="50">
        <f t="shared" si="5"/>
        <v>20797.071939404585</v>
      </c>
      <c r="U27" s="31">
        <f t="shared" si="6"/>
        <v>259217.21309293341</v>
      </c>
      <c r="V27" s="31">
        <f>_xlfn.XLOOKUP($F27,'3a-Emissions Inputs'!$B$3:$B$46,'3a-Emissions Inputs'!C$3:C$46)*P27</f>
        <v>2050553.7613999106</v>
      </c>
      <c r="W27" s="31">
        <f>_xlfn.XLOOKUP($F27,'3a-Emissions Inputs'!$B$3:$B$46,'3a-Emissions Inputs'!D$3:D$46)*Q27</f>
        <v>4710.3163237941626</v>
      </c>
      <c r="X27" s="31">
        <f>_xlfn.XLOOKUP($F27,'3a-Emissions Inputs'!$B$3:$B$46,'3a-Emissions Inputs'!E$3:E$46)*R27</f>
        <v>3433486.9591851532</v>
      </c>
      <c r="Y27" s="31">
        <f>_xlfn.XLOOKUP($F27,'3a-Emissions Inputs'!$B$3:$B$46,'3a-Emissions Inputs'!F$3:F$46)*S27</f>
        <v>7258178.1068521999</v>
      </c>
      <c r="AA27" s="31">
        <f t="shared" si="7"/>
        <v>2371445.0581894233</v>
      </c>
      <c r="AB27" s="31">
        <f t="shared" si="8"/>
        <v>4087169.4166209176</v>
      </c>
      <c r="AC27" s="31">
        <f t="shared" si="9"/>
        <v>6458614.4748103414</v>
      </c>
    </row>
    <row r="28" spans="5:29" x14ac:dyDescent="0.25">
      <c r="E28" s="2">
        <f t="shared" ref="E28:F28" si="14">E27+1</f>
        <v>24</v>
      </c>
      <c r="F28" s="2">
        <f t="shared" si="14"/>
        <v>2052</v>
      </c>
      <c r="G28" s="50">
        <f>_xlfn.XLOOKUP(F28,'6-Traffic Data'!$F$9:$F$48,'6-Traffic Data'!$Q$9:$Q$48)</f>
        <v>17726137.078583736</v>
      </c>
      <c r="I28" s="110">
        <f t="shared" si="0"/>
        <v>0.45500000000000002</v>
      </c>
      <c r="J28" s="232">
        <f>SUMIFS('3b-Emissions Factors'!$F$19:$F$50,'3b-Emissions Factors'!$C$19:$C$50,(LEFT($F28,3)&amp;0),'3b-Emissions Factors'!$D$19:$D$50,'14-Emissions'!$E$3,'3b-Emissions Factors'!$E$19:$E$50,J$3)</f>
        <v>8.9922442972375301E-4</v>
      </c>
      <c r="K28" s="232">
        <f>SUMIFS('3b-Emissions Factors'!$F$19:$F$50,'3b-Emissions Factors'!$C$19:$C$50,(LEFT($F28,3)&amp;0),'3b-Emissions Factors'!$D$19:$D$50,'14-Emissions'!$E$3,'3b-Emissions Factors'!$E$19:$E$50,K$3)</f>
        <v>3.2876512209261801E-6</v>
      </c>
      <c r="L28" s="232">
        <f>SUMIFS('3b-Emissions Factors'!$F$19:$F$50,'3b-Emissions Factors'!$C$19:$C$50,(LEFT($F28,3)&amp;0),'3b-Emissions Factors'!$D$19:$D$50,'14-Emissions'!$E$3,'3b-Emissions Factors'!$E$19:$E$50,L$3)</f>
        <v>1.44623204192651E-5</v>
      </c>
      <c r="M28" s="232">
        <f>SUMIFS('3b-Emissions Factors'!$F$19:$F$50,'3b-Emissions Factors'!$C$19:$C$50,(LEFT($F28,3)&amp;0),'3b-Emissions Factors'!$D$19:$D$50,'14-Emissions'!$E$3,'3b-Emissions Factors'!$E$19:$E$50,M$3)</f>
        <v>0.90532478106265202</v>
      </c>
      <c r="O28" s="50">
        <f t="shared" si="1"/>
        <v>8.0653923707555997</v>
      </c>
      <c r="P28" s="50">
        <f t="shared" si="2"/>
        <v>95.423101901515096</v>
      </c>
      <c r="Q28" s="50">
        <f t="shared" si="3"/>
        <v>7.8411544485858284E-2</v>
      </c>
      <c r="R28" s="50">
        <f t="shared" si="4"/>
        <v>3.2882342433275635</v>
      </c>
      <c r="S28" s="50">
        <f t="shared" si="5"/>
        <v>21291.54833696557</v>
      </c>
      <c r="U28" s="31">
        <f t="shared" si="6"/>
        <v>265380.42655343667</v>
      </c>
      <c r="V28" s="31">
        <f>_xlfn.XLOOKUP($F28,'3a-Emissions Inputs'!$B$3:$B$46,'3a-Emissions Inputs'!C$3:C$46)*P28</f>
        <v>2099308.241833332</v>
      </c>
      <c r="W28" s="31">
        <f>_xlfn.XLOOKUP($F28,'3a-Emissions Inputs'!$B$3:$B$46,'3a-Emissions Inputs'!D$3:D$46)*Q28</f>
        <v>4822.3099858802843</v>
      </c>
      <c r="X28" s="31">
        <f>_xlfn.XLOOKUP($F28,'3a-Emissions Inputs'!$B$3:$B$46,'3a-Emissions Inputs'!E$3:E$46)*R28</f>
        <v>3515122.4061171655</v>
      </c>
      <c r="Y28" s="31">
        <f>_xlfn.XLOOKUP($F28,'3a-Emissions Inputs'!$B$3:$B$46,'3a-Emissions Inputs'!F$3:F$46)*S28</f>
        <v>7515916.5629488463</v>
      </c>
      <c r="AA28" s="31">
        <f t="shared" si="7"/>
        <v>2354829.4185866895</v>
      </c>
      <c r="AB28" s="31">
        <f t="shared" si="8"/>
        <v>4149318.7384060142</v>
      </c>
      <c r="AC28" s="31">
        <f t="shared" si="9"/>
        <v>6504148.1569927037</v>
      </c>
    </row>
    <row r="29" spans="5:29" x14ac:dyDescent="0.25">
      <c r="E29" s="2">
        <f t="shared" ref="E29:F29" si="15">E28+1</f>
        <v>25</v>
      </c>
      <c r="F29" s="2">
        <f t="shared" si="15"/>
        <v>2053</v>
      </c>
      <c r="G29" s="50">
        <f>_xlfn.XLOOKUP(F29,'6-Traffic Data'!$F$9:$F$48,'6-Traffic Data'!$Q$9:$Q$48)</f>
        <v>18147598.158817958</v>
      </c>
      <c r="I29" s="110">
        <f t="shared" si="0"/>
        <v>0.45500000000000002</v>
      </c>
      <c r="J29" s="232">
        <f>SUMIFS('3b-Emissions Factors'!$F$19:$F$50,'3b-Emissions Factors'!$C$19:$C$50,(LEFT($F29,3)&amp;0),'3b-Emissions Factors'!$D$19:$D$50,'14-Emissions'!$E$3,'3b-Emissions Factors'!$E$19:$E$50,J$3)</f>
        <v>8.9922442972375301E-4</v>
      </c>
      <c r="K29" s="232">
        <f>SUMIFS('3b-Emissions Factors'!$F$19:$F$50,'3b-Emissions Factors'!$C$19:$C$50,(LEFT($F29,3)&amp;0),'3b-Emissions Factors'!$D$19:$D$50,'14-Emissions'!$E$3,'3b-Emissions Factors'!$E$19:$E$50,K$3)</f>
        <v>3.2876512209261801E-6</v>
      </c>
      <c r="L29" s="232">
        <f>SUMIFS('3b-Emissions Factors'!$F$19:$F$50,'3b-Emissions Factors'!$C$19:$C$50,(LEFT($F29,3)&amp;0),'3b-Emissions Factors'!$D$19:$D$50,'14-Emissions'!$E$3,'3b-Emissions Factors'!$E$19:$E$50,L$3)</f>
        <v>1.44623204192651E-5</v>
      </c>
      <c r="M29" s="232">
        <f>SUMIFS('3b-Emissions Factors'!$F$19:$F$50,'3b-Emissions Factors'!$C$19:$C$50,(LEFT($F29,3)&amp;0),'3b-Emissions Factors'!$D$19:$D$50,'14-Emissions'!$E$3,'3b-Emissions Factors'!$E$19:$E$50,M$3)</f>
        <v>0.90532478106265202</v>
      </c>
      <c r="O29" s="50">
        <f t="shared" si="1"/>
        <v>8.2571571622621711</v>
      </c>
      <c r="P29" s="50">
        <f t="shared" si="2"/>
        <v>97.691905500879244</v>
      </c>
      <c r="Q29" s="50">
        <f t="shared" si="3"/>
        <v>8.0275877030243872E-2</v>
      </c>
      <c r="R29" s="50">
        <f t="shared" si="4"/>
        <v>3.3664161252633842</v>
      </c>
      <c r="S29" s="50">
        <f t="shared" si="5"/>
        <v>21797.781529351199</v>
      </c>
      <c r="U29" s="31">
        <f t="shared" si="6"/>
        <v>271690.17812268081</v>
      </c>
      <c r="V29" s="31">
        <f>_xlfn.XLOOKUP($F29,'3a-Emissions Inputs'!$B$3:$B$46,'3a-Emissions Inputs'!C$3:C$46)*P29</f>
        <v>2149221.9210193432</v>
      </c>
      <c r="W29" s="31">
        <f>_xlfn.XLOOKUP($F29,'3a-Emissions Inputs'!$B$3:$B$46,'3a-Emissions Inputs'!D$3:D$46)*Q29</f>
        <v>4936.9664373599981</v>
      </c>
      <c r="X29" s="31">
        <f>_xlfn.XLOOKUP($F29,'3a-Emissions Inputs'!$B$3:$B$46,'3a-Emissions Inputs'!E$3:E$46)*R29</f>
        <v>3598698.8379065576</v>
      </c>
      <c r="Y29" s="31">
        <f>_xlfn.XLOOKUP($F29,'3a-Emissions Inputs'!$B$3:$B$46,'3a-Emissions Inputs'!F$3:F$46)*S29</f>
        <v>7781808.0059783785</v>
      </c>
      <c r="AA29" s="31">
        <f t="shared" si="7"/>
        <v>2338330.1972321686</v>
      </c>
      <c r="AB29" s="31">
        <f t="shared" si="8"/>
        <v>4211872.2193445889</v>
      </c>
      <c r="AC29" s="31">
        <f t="shared" si="9"/>
        <v>6550202.416576758</v>
      </c>
    </row>
    <row r="30" spans="5:29" x14ac:dyDescent="0.25">
      <c r="E30" s="2">
        <f t="shared" ref="E30:F30" si="16">E29+1</f>
        <v>26</v>
      </c>
      <c r="F30" s="2">
        <f t="shared" si="16"/>
        <v>2054</v>
      </c>
      <c r="G30" s="50">
        <f>_xlfn.XLOOKUP(F30,'6-Traffic Data'!$F$9:$F$48,'6-Traffic Data'!$Q$9:$Q$48)</f>
        <v>18579080.003382541</v>
      </c>
      <c r="I30" s="110">
        <f t="shared" si="0"/>
        <v>0.45500000000000002</v>
      </c>
      <c r="J30" s="232">
        <f>SUMIFS('3b-Emissions Factors'!$F$19:$F$50,'3b-Emissions Factors'!$C$19:$C$50,(LEFT($F30,3)&amp;0),'3b-Emissions Factors'!$D$19:$D$50,'14-Emissions'!$E$3,'3b-Emissions Factors'!$E$19:$E$50,J$3)</f>
        <v>8.9922442972375301E-4</v>
      </c>
      <c r="K30" s="232">
        <f>SUMIFS('3b-Emissions Factors'!$F$19:$F$50,'3b-Emissions Factors'!$C$19:$C$50,(LEFT($F30,3)&amp;0),'3b-Emissions Factors'!$D$19:$D$50,'14-Emissions'!$E$3,'3b-Emissions Factors'!$E$19:$E$50,K$3)</f>
        <v>3.2876512209261801E-6</v>
      </c>
      <c r="L30" s="232">
        <f>SUMIFS('3b-Emissions Factors'!$F$19:$F$50,'3b-Emissions Factors'!$C$19:$C$50,(LEFT($F30,3)&amp;0),'3b-Emissions Factors'!$D$19:$D$50,'14-Emissions'!$E$3,'3b-Emissions Factors'!$E$19:$E$50,L$3)</f>
        <v>1.44623204192651E-5</v>
      </c>
      <c r="M30" s="232">
        <f>SUMIFS('3b-Emissions Factors'!$F$19:$F$50,'3b-Emissions Factors'!$C$19:$C$50,(LEFT($F30,3)&amp;0),'3b-Emissions Factors'!$D$19:$D$50,'14-Emissions'!$E$3,'3b-Emissions Factors'!$E$19:$E$50,M$3)</f>
        <v>0.90532478106265202</v>
      </c>
      <c r="O30" s="50">
        <f t="shared" si="1"/>
        <v>8.4534814015390563</v>
      </c>
      <c r="P30" s="50">
        <f t="shared" si="2"/>
        <v>100.01465274355311</v>
      </c>
      <c r="Q30" s="50">
        <f t="shared" si="3"/>
        <v>8.2184536412709785E-2</v>
      </c>
      <c r="R30" s="50">
        <f t="shared" si="4"/>
        <v>3.4464568792292081</v>
      </c>
      <c r="S30" s="50">
        <f t="shared" si="5"/>
        <v>22316.051049063375</v>
      </c>
      <c r="U30" s="31">
        <f t="shared" si="6"/>
        <v>278149.95192748547</v>
      </c>
      <c r="V30" s="31">
        <f>_xlfn.XLOOKUP($F30,'3a-Emissions Inputs'!$B$3:$B$46,'3a-Emissions Inputs'!C$3:C$46)*P30</f>
        <v>2200322.3603581684</v>
      </c>
      <c r="W30" s="31">
        <f>_xlfn.XLOOKUP($F30,'3a-Emissions Inputs'!$B$3:$B$46,'3a-Emissions Inputs'!D$3:D$46)*Q30</f>
        <v>5054.3489893816522</v>
      </c>
      <c r="X30" s="31">
        <f>_xlfn.XLOOKUP($F30,'3a-Emissions Inputs'!$B$3:$B$46,'3a-Emissions Inputs'!E$3:E$46)*R30</f>
        <v>3684262.4038960235</v>
      </c>
      <c r="Y30" s="31">
        <f>_xlfn.XLOOKUP($F30,'3a-Emissions Inputs'!$B$3:$B$46,'3a-Emissions Inputs'!F$3:F$46)*S30</f>
        <v>7966830.2245156253</v>
      </c>
      <c r="AA30" s="31">
        <f t="shared" si="7"/>
        <v>2321946.5784360142</v>
      </c>
      <c r="AB30" s="31">
        <f t="shared" si="8"/>
        <v>4227465.4406001279</v>
      </c>
      <c r="AC30" s="31">
        <f t="shared" si="9"/>
        <v>6549412.0190361422</v>
      </c>
    </row>
    <row r="31" spans="5:29" x14ac:dyDescent="0.25">
      <c r="E31" s="2">
        <f t="shared" ref="E31:F31" si="17">E30+1</f>
        <v>27</v>
      </c>
      <c r="F31" s="2">
        <f t="shared" si="17"/>
        <v>2055</v>
      </c>
      <c r="G31" s="50">
        <f>_xlfn.XLOOKUP(F31,'6-Traffic Data'!$F$9:$F$48,'6-Traffic Data'!$Q$9:$Q$48)</f>
        <v>19020820.868483044</v>
      </c>
      <c r="I31" s="110">
        <f t="shared" si="0"/>
        <v>0.45500000000000002</v>
      </c>
      <c r="J31" s="232">
        <f>SUMIFS('3b-Emissions Factors'!$F$19:$F$50,'3b-Emissions Factors'!$C$19:$C$50,(LEFT($F31,3)&amp;0),'3b-Emissions Factors'!$D$19:$D$50,'14-Emissions'!$E$3,'3b-Emissions Factors'!$E$19:$E$50,J$3)</f>
        <v>8.9922442972375301E-4</v>
      </c>
      <c r="K31" s="232">
        <f>SUMIFS('3b-Emissions Factors'!$F$19:$F$50,'3b-Emissions Factors'!$C$19:$C$50,(LEFT($F31,3)&amp;0),'3b-Emissions Factors'!$D$19:$D$50,'14-Emissions'!$E$3,'3b-Emissions Factors'!$E$19:$E$50,K$3)</f>
        <v>3.2876512209261801E-6</v>
      </c>
      <c r="L31" s="232">
        <f>SUMIFS('3b-Emissions Factors'!$F$19:$F$50,'3b-Emissions Factors'!$C$19:$C$50,(LEFT($F31,3)&amp;0),'3b-Emissions Factors'!$D$19:$D$50,'14-Emissions'!$E$3,'3b-Emissions Factors'!$E$19:$E$50,L$3)</f>
        <v>1.44623204192651E-5</v>
      </c>
      <c r="M31" s="232">
        <f>SUMIFS('3b-Emissions Factors'!$F$19:$F$50,'3b-Emissions Factors'!$C$19:$C$50,(LEFT($F31,3)&amp;0),'3b-Emissions Factors'!$D$19:$D$50,'14-Emissions'!$E$3,'3b-Emissions Factors'!$E$19:$E$50,M$3)</f>
        <v>0.90532478106265202</v>
      </c>
      <c r="O31" s="50">
        <f t="shared" si="1"/>
        <v>8.6544734951597846</v>
      </c>
      <c r="P31" s="50">
        <f t="shared" si="2"/>
        <v>102.39262620712722</v>
      </c>
      <c r="Q31" s="50">
        <f t="shared" si="3"/>
        <v>8.4138576559273814E-2</v>
      </c>
      <c r="R31" s="50">
        <f t="shared" si="4"/>
        <v>3.5284007022325605</v>
      </c>
      <c r="S31" s="50">
        <f t="shared" si="5"/>
        <v>22846.643074838903</v>
      </c>
      <c r="U31" s="31">
        <f t="shared" si="6"/>
        <v>284763.31493414356</v>
      </c>
      <c r="V31" s="31">
        <f>_xlfn.XLOOKUP($F31,'3a-Emissions Inputs'!$B$3:$B$46,'3a-Emissions Inputs'!C$3:C$46)*P31</f>
        <v>2252637.7765567987</v>
      </c>
      <c r="W31" s="31">
        <f>_xlfn.XLOOKUP($F31,'3a-Emissions Inputs'!$B$3:$B$46,'3a-Emissions Inputs'!D$3:D$46)*Q31</f>
        <v>5174.5224583953395</v>
      </c>
      <c r="X31" s="31">
        <f>_xlfn.XLOOKUP($F31,'3a-Emissions Inputs'!$B$3:$B$46,'3a-Emissions Inputs'!E$3:E$46)*R31</f>
        <v>3771860.3506866074</v>
      </c>
      <c r="Y31" s="31">
        <f>_xlfn.XLOOKUP($F31,'3a-Emissions Inputs'!$B$3:$B$46,'3a-Emissions Inputs'!F$3:F$46)*S31</f>
        <v>8156251.5777174886</v>
      </c>
      <c r="AA31" s="31">
        <f t="shared" si="7"/>
        <v>2305677.7522235494</v>
      </c>
      <c r="AB31" s="31">
        <f t="shared" si="8"/>
        <v>4243116.3911827877</v>
      </c>
      <c r="AC31" s="31">
        <f t="shared" si="9"/>
        <v>6548794.1434063371</v>
      </c>
    </row>
    <row r="32" spans="5:29" x14ac:dyDescent="0.25">
      <c r="E32" s="2">
        <f t="shared" ref="E32:F32" si="18">E31+1</f>
        <v>28</v>
      </c>
      <c r="F32" s="2">
        <f t="shared" si="18"/>
        <v>2056</v>
      </c>
      <c r="G32" s="50">
        <f>_xlfn.XLOOKUP(F32,'6-Traffic Data'!$F$9:$F$48,'6-Traffic Data'!$Q$9:$Q$48)</f>
        <v>19473064.675164305</v>
      </c>
      <c r="I32" s="110">
        <f t="shared" si="0"/>
        <v>0.45500000000000002</v>
      </c>
      <c r="J32" s="232">
        <f>SUMIFS('3b-Emissions Factors'!$F$19:$F$50,'3b-Emissions Factors'!$C$19:$C$50,(LEFT($F32,3)&amp;0),'3b-Emissions Factors'!$D$19:$D$50,'14-Emissions'!$E$3,'3b-Emissions Factors'!$E$19:$E$50,J$3)</f>
        <v>8.9922442972375301E-4</v>
      </c>
      <c r="K32" s="232">
        <f>SUMIFS('3b-Emissions Factors'!$F$19:$F$50,'3b-Emissions Factors'!$C$19:$C$50,(LEFT($F32,3)&amp;0),'3b-Emissions Factors'!$D$19:$D$50,'14-Emissions'!$E$3,'3b-Emissions Factors'!$E$19:$E$50,K$3)</f>
        <v>3.2876512209261801E-6</v>
      </c>
      <c r="L32" s="232">
        <f>SUMIFS('3b-Emissions Factors'!$F$19:$F$50,'3b-Emissions Factors'!$C$19:$C$50,(LEFT($F32,3)&amp;0),'3b-Emissions Factors'!$D$19:$D$50,'14-Emissions'!$E$3,'3b-Emissions Factors'!$E$19:$E$50,L$3)</f>
        <v>1.44623204192651E-5</v>
      </c>
      <c r="M32" s="232">
        <f>SUMIFS('3b-Emissions Factors'!$F$19:$F$50,'3b-Emissions Factors'!$C$19:$C$50,(LEFT($F32,3)&amp;0),'3b-Emissions Factors'!$D$19:$D$50,'14-Emissions'!$E$3,'3b-Emissions Factors'!$E$19:$E$50,M$3)</f>
        <v>0.90532478106265202</v>
      </c>
      <c r="O32" s="50">
        <f t="shared" si="1"/>
        <v>8.860244427199758</v>
      </c>
      <c r="P32" s="50">
        <f t="shared" si="2"/>
        <v>104.82713896407824</v>
      </c>
      <c r="Q32" s="50">
        <f t="shared" si="3"/>
        <v>8.613907645436289E-2</v>
      </c>
      <c r="R32" s="50">
        <f t="shared" si="4"/>
        <v>3.6122928421200928</v>
      </c>
      <c r="S32" s="50">
        <f t="shared" si="5"/>
        <v>23389.850589671943</v>
      </c>
      <c r="U32" s="31">
        <f t="shared" si="6"/>
        <v>291533.91891803261</v>
      </c>
      <c r="V32" s="31">
        <f>_xlfn.XLOOKUP($F32,'3a-Emissions Inputs'!$B$3:$B$46,'3a-Emissions Inputs'!C$3:C$46)*P32</f>
        <v>2306197.0572097213</v>
      </c>
      <c r="W32" s="31">
        <f>_xlfn.XLOOKUP($F32,'3a-Emissions Inputs'!$B$3:$B$46,'3a-Emissions Inputs'!D$3:D$46)*Q32</f>
        <v>5297.5532019433176</v>
      </c>
      <c r="X32" s="31">
        <f>_xlfn.XLOOKUP($F32,'3a-Emissions Inputs'!$B$3:$B$46,'3a-Emissions Inputs'!E$3:E$46)*R32</f>
        <v>3861541.0482263793</v>
      </c>
      <c r="Y32" s="31">
        <f>_xlfn.XLOOKUP($F32,'3a-Emissions Inputs'!$B$3:$B$46,'3a-Emissions Inputs'!F$3:F$46)*S32</f>
        <v>8350176.6605128841</v>
      </c>
      <c r="AA32" s="31">
        <f t="shared" si="7"/>
        <v>2289522.9142952198</v>
      </c>
      <c r="AB32" s="31">
        <f t="shared" si="8"/>
        <v>4258825.2848184602</v>
      </c>
      <c r="AC32" s="31">
        <f t="shared" si="9"/>
        <v>6548348.19911368</v>
      </c>
    </row>
    <row r="33" spans="5:29" x14ac:dyDescent="0.25">
      <c r="E33" s="2">
        <f t="shared" ref="E33:F33" si="19">E32+1</f>
        <v>29</v>
      </c>
      <c r="F33" s="2">
        <f t="shared" si="19"/>
        <v>2057</v>
      </c>
      <c r="G33" s="50">
        <f>_xlfn.XLOOKUP(F33,'6-Traffic Data'!$F$9:$F$48,'6-Traffic Data'!$Q$9:$Q$48)</f>
        <v>19936061.143999092</v>
      </c>
      <c r="I33" s="110">
        <f t="shared" si="0"/>
        <v>0.45500000000000002</v>
      </c>
      <c r="J33" s="232">
        <f>SUMIFS('3b-Emissions Factors'!$F$19:$F$50,'3b-Emissions Factors'!$C$19:$C$50,(LEFT($F33,3)&amp;0),'3b-Emissions Factors'!$D$19:$D$50,'14-Emissions'!$E$3,'3b-Emissions Factors'!$E$19:$E$50,J$3)</f>
        <v>8.9922442972375301E-4</v>
      </c>
      <c r="K33" s="232">
        <f>SUMIFS('3b-Emissions Factors'!$F$19:$F$50,'3b-Emissions Factors'!$C$19:$C$50,(LEFT($F33,3)&amp;0),'3b-Emissions Factors'!$D$19:$D$50,'14-Emissions'!$E$3,'3b-Emissions Factors'!$E$19:$E$50,K$3)</f>
        <v>3.2876512209261801E-6</v>
      </c>
      <c r="L33" s="232">
        <f>SUMIFS('3b-Emissions Factors'!$F$19:$F$50,'3b-Emissions Factors'!$C$19:$C$50,(LEFT($F33,3)&amp;0),'3b-Emissions Factors'!$D$19:$D$50,'14-Emissions'!$E$3,'3b-Emissions Factors'!$E$19:$E$50,L$3)</f>
        <v>1.44623204192651E-5</v>
      </c>
      <c r="M33" s="232">
        <f>SUMIFS('3b-Emissions Factors'!$F$19:$F$50,'3b-Emissions Factors'!$C$19:$C$50,(LEFT($F33,3)&amp;0),'3b-Emissions Factors'!$D$19:$D$50,'14-Emissions'!$E$3,'3b-Emissions Factors'!$E$19:$E$50,M$3)</f>
        <v>0.90532478106265202</v>
      </c>
      <c r="O33" s="50">
        <f t="shared" si="1"/>
        <v>9.0709078205195866</v>
      </c>
      <c r="P33" s="50">
        <f t="shared" si="2"/>
        <v>107.31953530682354</v>
      </c>
      <c r="Q33" s="50">
        <f t="shared" si="3"/>
        <v>8.8187140736608355E-2</v>
      </c>
      <c r="R33" s="50">
        <f t="shared" si="4"/>
        <v>3.6981796225626109</v>
      </c>
      <c r="S33" s="50">
        <f t="shared" si="5"/>
        <v>23945.973542593842</v>
      </c>
      <c r="U33" s="31">
        <f t="shared" si="6"/>
        <v>298465.50248005748</v>
      </c>
      <c r="V33" s="31">
        <f>_xlfn.XLOOKUP($F33,'3a-Emissions Inputs'!$B$3:$B$46,'3a-Emissions Inputs'!C$3:C$46)*P33</f>
        <v>2361029.776750118</v>
      </c>
      <c r="W33" s="31">
        <f>_xlfn.XLOOKUP($F33,'3a-Emissions Inputs'!$B$3:$B$46,'3a-Emissions Inputs'!D$3:D$46)*Q33</f>
        <v>5423.5091553014136</v>
      </c>
      <c r="X33" s="31">
        <f>_xlfn.XLOOKUP($F33,'3a-Emissions Inputs'!$B$3:$B$46,'3a-Emissions Inputs'!E$3:E$46)*R33</f>
        <v>3953354.016519431</v>
      </c>
      <c r="Y33" s="31">
        <f>_xlfn.XLOOKUP($F33,'3a-Emissions Inputs'!$B$3:$B$46,'3a-Emissions Inputs'!F$3:F$46)*S33</f>
        <v>8548712.5547060017</v>
      </c>
      <c r="AA33" s="31">
        <f t="shared" si="7"/>
        <v>2273481.2659868365</v>
      </c>
      <c r="AB33" s="31">
        <f t="shared" si="8"/>
        <v>4274592.3360243039</v>
      </c>
      <c r="AC33" s="31">
        <f t="shared" si="9"/>
        <v>6548073.6020111404</v>
      </c>
    </row>
    <row r="34" spans="5:29" x14ac:dyDescent="0.25">
      <c r="E34" s="2">
        <f t="shared" ref="E34:F34" si="20">E33+1</f>
        <v>30</v>
      </c>
      <c r="F34" s="2">
        <f t="shared" si="20"/>
        <v>2058</v>
      </c>
      <c r="G34" s="50">
        <f>_xlfn.XLOOKUP(F34,'6-Traffic Data'!$F$9:$F$48,'6-Traffic Data'!$Q$9:$Q$48)</f>
        <v>10205032.966489566</v>
      </c>
      <c r="I34" s="110">
        <f t="shared" si="0"/>
        <v>0.45500000000000002</v>
      </c>
      <c r="J34" s="232">
        <f>SUMIFS('3b-Emissions Factors'!$F$19:$F$50,'3b-Emissions Factors'!$C$19:$C$50,(LEFT($F34,3)&amp;0),'3b-Emissions Factors'!$D$19:$D$50,'14-Emissions'!$E$3,'3b-Emissions Factors'!$E$19:$E$50,J$3)</f>
        <v>8.9922442972375301E-4</v>
      </c>
      <c r="K34" s="232">
        <f>SUMIFS('3b-Emissions Factors'!$F$19:$F$50,'3b-Emissions Factors'!$C$19:$C$50,(LEFT($F34,3)&amp;0),'3b-Emissions Factors'!$D$19:$D$50,'14-Emissions'!$E$3,'3b-Emissions Factors'!$E$19:$E$50,K$3)</f>
        <v>3.2876512209261801E-6</v>
      </c>
      <c r="L34" s="232">
        <f>SUMIFS('3b-Emissions Factors'!$F$19:$F$50,'3b-Emissions Factors'!$C$19:$C$50,(LEFT($F34,3)&amp;0),'3b-Emissions Factors'!$D$19:$D$50,'14-Emissions'!$E$3,'3b-Emissions Factors'!$E$19:$E$50,L$3)</f>
        <v>1.44623204192651E-5</v>
      </c>
      <c r="M34" s="232">
        <f>SUMIFS('3b-Emissions Factors'!$F$19:$F$50,'3b-Emissions Factors'!$C$19:$C$50,(LEFT($F34,3)&amp;0),'3b-Emissions Factors'!$D$19:$D$50,'14-Emissions'!$E$3,'3b-Emissions Factors'!$E$19:$E$50,M$3)</f>
        <v>0.90532478106265202</v>
      </c>
      <c r="O34" s="50">
        <f t="shared" si="1"/>
        <v>4.6432899997527528</v>
      </c>
      <c r="P34" s="50">
        <f t="shared" si="2"/>
        <v>54.935595745006964</v>
      </c>
      <c r="Q34" s="50">
        <f t="shared" si="3"/>
        <v>4.5141950154403289E-2</v>
      </c>
      <c r="R34" s="50">
        <f t="shared" si="4"/>
        <v>1.8930542343170647</v>
      </c>
      <c r="S34" s="50">
        <f t="shared" si="5"/>
        <v>12257.659507149645</v>
      </c>
      <c r="U34" s="31">
        <f t="shared" si="6"/>
        <v>152780.94655551782</v>
      </c>
      <c r="V34" s="31">
        <f>_xlfn.XLOOKUP($F34,'3a-Emissions Inputs'!$B$3:$B$46,'3a-Emissions Inputs'!C$3:C$46)*P34</f>
        <v>1208583.1063901533</v>
      </c>
      <c r="W34" s="31">
        <f>_xlfn.XLOOKUP($F34,'3a-Emissions Inputs'!$B$3:$B$46,'3a-Emissions Inputs'!D$3:D$46)*Q34</f>
        <v>2776.2299344958024</v>
      </c>
      <c r="X34" s="31">
        <f>_xlfn.XLOOKUP($F34,'3a-Emissions Inputs'!$B$3:$B$46,'3a-Emissions Inputs'!E$3:E$46)*R34</f>
        <v>2023674.976484942</v>
      </c>
      <c r="Y34" s="31">
        <f>_xlfn.XLOOKUP($F34,'3a-Emissions Inputs'!$B$3:$B$46,'3a-Emissions Inputs'!F$3:F$46)*S34</f>
        <v>4375984.4440524234</v>
      </c>
      <c r="AA34" s="31">
        <f t="shared" si="7"/>
        <v>1128776.0071150423</v>
      </c>
      <c r="AB34" s="31">
        <f t="shared" si="8"/>
        <v>2145208.8800558285</v>
      </c>
      <c r="AC34" s="31">
        <f t="shared" si="9"/>
        <v>3273984.8871708708</v>
      </c>
    </row>
    <row r="35" spans="5:29" x14ac:dyDescent="0.25">
      <c r="G35" s="56" t="s">
        <v>156</v>
      </c>
      <c r="I35" s="63"/>
      <c r="J35" s="63"/>
      <c r="K35" s="63"/>
      <c r="L35" s="63"/>
      <c r="M35" s="63"/>
      <c r="O35" s="63">
        <f>SUM(O5:O34)</f>
        <v>151.10094745485691</v>
      </c>
      <c r="P35" s="63">
        <f t="shared" ref="P35:S35" si="21">SUM(P5:P34)</f>
        <v>1787.7023762266763</v>
      </c>
      <c r="Q35" s="63">
        <f t="shared" si="21"/>
        <v>1.4689996615876821</v>
      </c>
      <c r="R35" s="63">
        <f t="shared" si="21"/>
        <v>61.603364942523179</v>
      </c>
      <c r="S35" s="63">
        <f t="shared" si="21"/>
        <v>398886.12712278782</v>
      </c>
      <c r="U35" s="57">
        <f>SUM(U5:U34)</f>
        <v>4971764.8001347855</v>
      </c>
      <c r="V35" s="57">
        <f>SUM(V5:V34)</f>
        <v>39329452.276986867</v>
      </c>
      <c r="W35" s="57">
        <f>SUM(W5:W34)</f>
        <v>90343.479187642442</v>
      </c>
      <c r="X35" s="57">
        <f>SUM(X5:X34)</f>
        <v>65853997.12355727</v>
      </c>
      <c r="Y35" s="57">
        <f>SUM(Y5:Y34)</f>
        <v>133306747.46778832</v>
      </c>
      <c r="AA35" s="57">
        <f t="shared" ref="AA35:AC35" si="22">SUM(AA5:AA34)</f>
        <v>49779309.134055793</v>
      </c>
      <c r="AB35" s="57">
        <f t="shared" si="22"/>
        <v>78677772.56733346</v>
      </c>
      <c r="AC35" s="57">
        <f t="shared" si="22"/>
        <v>128457081.70138925</v>
      </c>
    </row>
    <row r="37" spans="5:29" x14ac:dyDescent="0.25">
      <c r="E37" s="5" t="s">
        <v>574</v>
      </c>
      <c r="I37" s="5" t="s">
        <v>646</v>
      </c>
    </row>
    <row r="38" spans="5:29" ht="40.5" x14ac:dyDescent="0.25">
      <c r="E38" s="49" t="s">
        <v>178</v>
      </c>
      <c r="F38" s="49" t="s">
        <v>174</v>
      </c>
      <c r="G38" s="49" t="s">
        <v>498</v>
      </c>
      <c r="I38" s="4" t="s">
        <v>645</v>
      </c>
      <c r="J38" s="4" t="s">
        <v>651</v>
      </c>
      <c r="K38" s="4" t="s">
        <v>652</v>
      </c>
      <c r="L38" s="4" t="s">
        <v>653</v>
      </c>
      <c r="M38" s="4" t="s">
        <v>654</v>
      </c>
      <c r="O38" s="4" t="s">
        <v>254</v>
      </c>
      <c r="P38" s="4" t="s">
        <v>255</v>
      </c>
      <c r="Q38" s="4" t="s">
        <v>256</v>
      </c>
      <c r="R38" s="4" t="s">
        <v>257</v>
      </c>
      <c r="S38" s="4" t="s">
        <v>258</v>
      </c>
      <c r="U38" s="4" t="s">
        <v>254</v>
      </c>
      <c r="V38" s="4" t="s">
        <v>255</v>
      </c>
      <c r="W38" s="4" t="s">
        <v>256</v>
      </c>
      <c r="X38" s="4" t="s">
        <v>257</v>
      </c>
      <c r="Y38" s="4" t="s">
        <v>258</v>
      </c>
      <c r="AA38" s="32" t="s">
        <v>259</v>
      </c>
      <c r="AB38" s="32" t="s">
        <v>260</v>
      </c>
      <c r="AC38" s="32" t="s">
        <v>261</v>
      </c>
    </row>
    <row r="39" spans="5:29" x14ac:dyDescent="0.25">
      <c r="E39" s="2">
        <v>1</v>
      </c>
      <c r="F39" s="2">
        <f>$C$5</f>
        <v>2029</v>
      </c>
      <c r="G39" s="50">
        <f>_xlfn.XLOOKUP(F39,'6-Traffic Data'!$F$9:$F$48,'6-Traffic Data'!$R$9:$R$48)</f>
        <v>0</v>
      </c>
      <c r="I39" s="110">
        <f t="shared" ref="I39:I68" si="23">$C$14</f>
        <v>1.034</v>
      </c>
      <c r="J39" s="232">
        <f>SUMIFS('3b-Emissions Factors'!$F$19:$F$50,'3b-Emissions Factors'!$C$19:$C$50,(LEFT($F39,3)&amp;0),'3b-Emissions Factors'!$D$19:$D$50,'14-Emissions'!$E$37,'3b-Emissions Factors'!$E$19:$E$50,J$3)</f>
        <v>3.9266654310511103E-4</v>
      </c>
      <c r="K39" s="232">
        <f>SUMIFS('3b-Emissions Factors'!$F$19:$F$50,'3b-Emissions Factors'!$C$19:$C$50,(LEFT($F39,3)&amp;0),'3b-Emissions Factors'!$D$19:$D$50,'14-Emissions'!$E$37,'3b-Emissions Factors'!$E$19:$E$50,K$3)</f>
        <v>2.088547107861E-6</v>
      </c>
      <c r="L39" s="232">
        <f>SUMIFS('3b-Emissions Factors'!$F$19:$F$50,'3b-Emissions Factors'!$C$19:$C$50,(LEFT($F39,3)&amp;0),'3b-Emissions Factors'!$D$19:$D$50,'14-Emissions'!$E$37,'3b-Emissions Factors'!$E$19:$E$50,L$3)</f>
        <v>6.4391326285075499E-6</v>
      </c>
      <c r="M39" s="232">
        <f>SUMIFS('3b-Emissions Factors'!$F$19:$F$50,'3b-Emissions Factors'!$C$19:$C$50,(LEFT($F39,3)&amp;0),'3b-Emissions Factors'!$D$19:$D$50,'14-Emissions'!$E$37,'3b-Emissions Factors'!$E$19:$E$50,M$3)</f>
        <v>0.32076941531360598</v>
      </c>
      <c r="O39" s="50">
        <f t="shared" ref="O39:O68" si="24">$C$8*$G39*$I$5</f>
        <v>0</v>
      </c>
      <c r="P39" s="50">
        <f t="shared" ref="P39:P68" si="25">$C$9*$G39*$J$39</f>
        <v>0</v>
      </c>
      <c r="Q39" s="50">
        <f t="shared" ref="Q39:Q68" si="26">$C$9*$G39*$K$39</f>
        <v>0</v>
      </c>
      <c r="R39" s="50">
        <f t="shared" ref="R39:R68" si="27">$C$9*$G39*$L$39</f>
        <v>0</v>
      </c>
      <c r="S39" s="50">
        <f t="shared" ref="S39:S68" si="28">$C$9*$G39*$M$39</f>
        <v>0</v>
      </c>
      <c r="U39" s="31">
        <f t="shared" ref="U39:U68" si="29">O39*$C$10</f>
        <v>0</v>
      </c>
      <c r="V39" s="31">
        <f>_xlfn.XLOOKUP($F39,'3a-Emissions Inputs'!$B$3:$B$46,'3a-Emissions Inputs'!C$3:C$46)*P39</f>
        <v>0</v>
      </c>
      <c r="W39" s="31">
        <f>_xlfn.XLOOKUP($F39,'3a-Emissions Inputs'!$B$3:$B$46,'3a-Emissions Inputs'!D$3:D$46)*Q39</f>
        <v>0</v>
      </c>
      <c r="X39" s="31">
        <f>_xlfn.XLOOKUP($F39,'3a-Emissions Inputs'!$B$3:$B$46,'3a-Emissions Inputs'!E$3:E$46)*R39</f>
        <v>0</v>
      </c>
      <c r="Y39" s="31">
        <f>_xlfn.XLOOKUP($F39,'3a-Emissions Inputs'!$B$3:$B$46,'3a-Emissions Inputs'!F$3:F$46)*S39</f>
        <v>0</v>
      </c>
      <c r="AA39" s="31">
        <f t="shared" ref="AA39:AA68" si="30">SUM(U39:X39)/((1+$C$3)^($F39-$C$4))</f>
        <v>0</v>
      </c>
      <c r="AB39" s="31">
        <f t="shared" ref="AB39:AB68" si="31">Y39/((1+$C$6)^($F39-$C$4))</f>
        <v>0</v>
      </c>
      <c r="AC39" s="31">
        <f t="shared" ref="AC39:AC68" si="32">AB39+AA39</f>
        <v>0</v>
      </c>
    </row>
    <row r="40" spans="5:29" x14ac:dyDescent="0.25">
      <c r="E40" s="2">
        <f>E39+1</f>
        <v>2</v>
      </c>
      <c r="F40" s="2">
        <f>F39+1</f>
        <v>2030</v>
      </c>
      <c r="G40" s="50">
        <f>_xlfn.XLOOKUP(F40,'6-Traffic Data'!$F$9:$F$48,'6-Traffic Data'!$R$9:$R$48)</f>
        <v>0</v>
      </c>
      <c r="I40" s="110">
        <f t="shared" si="23"/>
        <v>1.034</v>
      </c>
      <c r="J40" s="232">
        <f>SUMIFS('3b-Emissions Factors'!$F$19:$F$50,'3b-Emissions Factors'!$C$19:$C$50,(LEFT($F40,3)&amp;0),'3b-Emissions Factors'!$D$19:$D$50,'14-Emissions'!$E$37,'3b-Emissions Factors'!$E$19:$E$50,J$3)</f>
        <v>7.5164317150541398E-5</v>
      </c>
      <c r="K40" s="232">
        <f>SUMIFS('3b-Emissions Factors'!$F$19:$F$50,'3b-Emissions Factors'!$C$19:$C$50,(LEFT($F40,3)&amp;0),'3b-Emissions Factors'!$D$19:$D$50,'14-Emissions'!$E$37,'3b-Emissions Factors'!$E$19:$E$50,K$3)</f>
        <v>1.6919062057899099E-6</v>
      </c>
      <c r="L40" s="232">
        <f>SUMIFS('3b-Emissions Factors'!$F$19:$F$50,'3b-Emissions Factors'!$C$19:$C$50,(LEFT($F40,3)&amp;0),'3b-Emissions Factors'!$D$19:$D$50,'14-Emissions'!$E$37,'3b-Emissions Factors'!$E$19:$E$50,L$3)</f>
        <v>3.5857367526394601E-6</v>
      </c>
      <c r="M40" s="232">
        <f>SUMIFS('3b-Emissions Factors'!$F$19:$F$50,'3b-Emissions Factors'!$C$19:$C$50,(LEFT($F40,3)&amp;0),'3b-Emissions Factors'!$D$19:$D$50,'14-Emissions'!$E$37,'3b-Emissions Factors'!$E$19:$E$50,M$3)</f>
        <v>0.26093480486113502</v>
      </c>
      <c r="O40" s="50">
        <f t="shared" si="24"/>
        <v>0</v>
      </c>
      <c r="P40" s="50">
        <f t="shared" si="25"/>
        <v>0</v>
      </c>
      <c r="Q40" s="50">
        <f t="shared" si="26"/>
        <v>0</v>
      </c>
      <c r="R40" s="50">
        <f t="shared" si="27"/>
        <v>0</v>
      </c>
      <c r="S40" s="50">
        <f t="shared" si="28"/>
        <v>0</v>
      </c>
      <c r="U40" s="31">
        <f t="shared" si="29"/>
        <v>0</v>
      </c>
      <c r="V40" s="31">
        <f>_xlfn.XLOOKUP($F40,'3a-Emissions Inputs'!$B$3:$B$46,'3a-Emissions Inputs'!C$3:C$46)*P40</f>
        <v>0</v>
      </c>
      <c r="W40" s="31">
        <f>_xlfn.XLOOKUP($F40,'3a-Emissions Inputs'!$B$3:$B$46,'3a-Emissions Inputs'!D$3:D$46)*Q40</f>
        <v>0</v>
      </c>
      <c r="X40" s="31">
        <f>_xlfn.XLOOKUP($F40,'3a-Emissions Inputs'!$B$3:$B$46,'3a-Emissions Inputs'!E$3:E$46)*R40</f>
        <v>0</v>
      </c>
      <c r="Y40" s="31">
        <f>_xlfn.XLOOKUP($F40,'3a-Emissions Inputs'!$B$3:$B$46,'3a-Emissions Inputs'!F$3:F$46)*S40</f>
        <v>0</v>
      </c>
      <c r="AA40" s="31">
        <f t="shared" si="30"/>
        <v>0</v>
      </c>
      <c r="AB40" s="31">
        <f t="shared" si="31"/>
        <v>0</v>
      </c>
      <c r="AC40" s="31">
        <f t="shared" si="32"/>
        <v>0</v>
      </c>
    </row>
    <row r="41" spans="5:29" x14ac:dyDescent="0.25">
      <c r="E41" s="2">
        <f t="shared" ref="E41:F58" si="33">E40+1</f>
        <v>3</v>
      </c>
      <c r="F41" s="2">
        <f t="shared" si="33"/>
        <v>2031</v>
      </c>
      <c r="G41" s="50">
        <f>_xlfn.XLOOKUP(F41,'6-Traffic Data'!$F$9:$F$48,'6-Traffic Data'!$R$9:$R$48)</f>
        <v>0</v>
      </c>
      <c r="I41" s="110">
        <f t="shared" si="23"/>
        <v>1.034</v>
      </c>
      <c r="J41" s="232">
        <f>SUMIFS('3b-Emissions Factors'!$F$19:$F$50,'3b-Emissions Factors'!$C$19:$C$50,(LEFT($F41,3)&amp;0),'3b-Emissions Factors'!$D$19:$D$50,'14-Emissions'!$E$37,'3b-Emissions Factors'!$E$19:$E$50,J$3)</f>
        <v>7.5164317150541398E-5</v>
      </c>
      <c r="K41" s="232">
        <f>SUMIFS('3b-Emissions Factors'!$F$19:$F$50,'3b-Emissions Factors'!$C$19:$C$50,(LEFT($F41,3)&amp;0),'3b-Emissions Factors'!$D$19:$D$50,'14-Emissions'!$E$37,'3b-Emissions Factors'!$E$19:$E$50,K$3)</f>
        <v>1.6919062057899099E-6</v>
      </c>
      <c r="L41" s="232">
        <f>SUMIFS('3b-Emissions Factors'!$F$19:$F$50,'3b-Emissions Factors'!$C$19:$C$50,(LEFT($F41,3)&amp;0),'3b-Emissions Factors'!$D$19:$D$50,'14-Emissions'!$E$37,'3b-Emissions Factors'!$E$19:$E$50,L$3)</f>
        <v>3.5857367526394601E-6</v>
      </c>
      <c r="M41" s="232">
        <f>SUMIFS('3b-Emissions Factors'!$F$19:$F$50,'3b-Emissions Factors'!$C$19:$C$50,(LEFT($F41,3)&amp;0),'3b-Emissions Factors'!$D$19:$D$50,'14-Emissions'!$E$37,'3b-Emissions Factors'!$E$19:$E$50,M$3)</f>
        <v>0.26093480486113502</v>
      </c>
      <c r="O41" s="50">
        <f t="shared" si="24"/>
        <v>0</v>
      </c>
      <c r="P41" s="50">
        <f t="shared" si="25"/>
        <v>0</v>
      </c>
      <c r="Q41" s="50">
        <f t="shared" si="26"/>
        <v>0</v>
      </c>
      <c r="R41" s="50">
        <f t="shared" si="27"/>
        <v>0</v>
      </c>
      <c r="S41" s="50">
        <f t="shared" si="28"/>
        <v>0</v>
      </c>
      <c r="U41" s="31">
        <f t="shared" si="29"/>
        <v>0</v>
      </c>
      <c r="V41" s="31">
        <f>_xlfn.XLOOKUP($F41,'3a-Emissions Inputs'!$B$3:$B$46,'3a-Emissions Inputs'!C$3:C$46)*P41</f>
        <v>0</v>
      </c>
      <c r="W41" s="31">
        <f>_xlfn.XLOOKUP($F41,'3a-Emissions Inputs'!$B$3:$B$46,'3a-Emissions Inputs'!D$3:D$46)*Q41</f>
        <v>0</v>
      </c>
      <c r="X41" s="31">
        <f>_xlfn.XLOOKUP($F41,'3a-Emissions Inputs'!$B$3:$B$46,'3a-Emissions Inputs'!E$3:E$46)*R41</f>
        <v>0</v>
      </c>
      <c r="Y41" s="31">
        <f>_xlfn.XLOOKUP($F41,'3a-Emissions Inputs'!$B$3:$B$46,'3a-Emissions Inputs'!F$3:F$46)*S41</f>
        <v>0</v>
      </c>
      <c r="AA41" s="31">
        <f t="shared" si="30"/>
        <v>0</v>
      </c>
      <c r="AB41" s="31">
        <f t="shared" si="31"/>
        <v>0</v>
      </c>
      <c r="AC41" s="31">
        <f t="shared" si="32"/>
        <v>0</v>
      </c>
    </row>
    <row r="42" spans="5:29" x14ac:dyDescent="0.25">
      <c r="E42" s="2">
        <f t="shared" si="33"/>
        <v>4</v>
      </c>
      <c r="F42" s="2">
        <f t="shared" si="33"/>
        <v>2032</v>
      </c>
      <c r="G42" s="50">
        <f>_xlfn.XLOOKUP(F42,'6-Traffic Data'!$F$9:$F$48,'6-Traffic Data'!$R$9:$R$48)</f>
        <v>0</v>
      </c>
      <c r="I42" s="110">
        <f t="shared" si="23"/>
        <v>1.034</v>
      </c>
      <c r="J42" s="232">
        <f>SUMIFS('3b-Emissions Factors'!$F$19:$F$50,'3b-Emissions Factors'!$C$19:$C$50,(LEFT($F42,3)&amp;0),'3b-Emissions Factors'!$D$19:$D$50,'14-Emissions'!$E$37,'3b-Emissions Factors'!$E$19:$E$50,J$3)</f>
        <v>7.5164317150541398E-5</v>
      </c>
      <c r="K42" s="232">
        <f>SUMIFS('3b-Emissions Factors'!$F$19:$F$50,'3b-Emissions Factors'!$C$19:$C$50,(LEFT($F42,3)&amp;0),'3b-Emissions Factors'!$D$19:$D$50,'14-Emissions'!$E$37,'3b-Emissions Factors'!$E$19:$E$50,K$3)</f>
        <v>1.6919062057899099E-6</v>
      </c>
      <c r="L42" s="232">
        <f>SUMIFS('3b-Emissions Factors'!$F$19:$F$50,'3b-Emissions Factors'!$C$19:$C$50,(LEFT($F42,3)&amp;0),'3b-Emissions Factors'!$D$19:$D$50,'14-Emissions'!$E$37,'3b-Emissions Factors'!$E$19:$E$50,L$3)</f>
        <v>3.5857367526394601E-6</v>
      </c>
      <c r="M42" s="232">
        <f>SUMIFS('3b-Emissions Factors'!$F$19:$F$50,'3b-Emissions Factors'!$C$19:$C$50,(LEFT($F42,3)&amp;0),'3b-Emissions Factors'!$D$19:$D$50,'14-Emissions'!$E$37,'3b-Emissions Factors'!$E$19:$E$50,M$3)</f>
        <v>0.26093480486113502</v>
      </c>
      <c r="O42" s="50">
        <f t="shared" si="24"/>
        <v>0</v>
      </c>
      <c r="P42" s="50">
        <f t="shared" si="25"/>
        <v>0</v>
      </c>
      <c r="Q42" s="50">
        <f t="shared" si="26"/>
        <v>0</v>
      </c>
      <c r="R42" s="50">
        <f t="shared" si="27"/>
        <v>0</v>
      </c>
      <c r="S42" s="50">
        <f t="shared" si="28"/>
        <v>0</v>
      </c>
      <c r="U42" s="31">
        <f t="shared" si="29"/>
        <v>0</v>
      </c>
      <c r="V42" s="31">
        <f>_xlfn.XLOOKUP($F42,'3a-Emissions Inputs'!$B$3:$B$46,'3a-Emissions Inputs'!C$3:C$46)*P42</f>
        <v>0</v>
      </c>
      <c r="W42" s="31">
        <f>_xlfn.XLOOKUP($F42,'3a-Emissions Inputs'!$B$3:$B$46,'3a-Emissions Inputs'!D$3:D$46)*Q42</f>
        <v>0</v>
      </c>
      <c r="X42" s="31">
        <f>_xlfn.XLOOKUP($F42,'3a-Emissions Inputs'!$B$3:$B$46,'3a-Emissions Inputs'!E$3:E$46)*R42</f>
        <v>0</v>
      </c>
      <c r="Y42" s="31">
        <f>_xlfn.XLOOKUP($F42,'3a-Emissions Inputs'!$B$3:$B$46,'3a-Emissions Inputs'!F$3:F$46)*S42</f>
        <v>0</v>
      </c>
      <c r="AA42" s="31">
        <f t="shared" si="30"/>
        <v>0</v>
      </c>
      <c r="AB42" s="31">
        <f t="shared" si="31"/>
        <v>0</v>
      </c>
      <c r="AC42" s="31">
        <f t="shared" si="32"/>
        <v>0</v>
      </c>
    </row>
    <row r="43" spans="5:29" x14ac:dyDescent="0.25">
      <c r="E43" s="2">
        <f t="shared" si="33"/>
        <v>5</v>
      </c>
      <c r="F43" s="2">
        <f t="shared" si="33"/>
        <v>2033</v>
      </c>
      <c r="G43" s="50">
        <f>_xlfn.XLOOKUP(F43,'6-Traffic Data'!$F$9:$F$48,'6-Traffic Data'!$R$9:$R$48)</f>
        <v>0</v>
      </c>
      <c r="I43" s="110">
        <f t="shared" si="23"/>
        <v>1.034</v>
      </c>
      <c r="J43" s="232">
        <f>SUMIFS('3b-Emissions Factors'!$F$19:$F$50,'3b-Emissions Factors'!$C$19:$C$50,(LEFT($F43,3)&amp;0),'3b-Emissions Factors'!$D$19:$D$50,'14-Emissions'!$E$37,'3b-Emissions Factors'!$E$19:$E$50,J$3)</f>
        <v>7.5164317150541398E-5</v>
      </c>
      <c r="K43" s="232">
        <f>SUMIFS('3b-Emissions Factors'!$F$19:$F$50,'3b-Emissions Factors'!$C$19:$C$50,(LEFT($F43,3)&amp;0),'3b-Emissions Factors'!$D$19:$D$50,'14-Emissions'!$E$37,'3b-Emissions Factors'!$E$19:$E$50,K$3)</f>
        <v>1.6919062057899099E-6</v>
      </c>
      <c r="L43" s="232">
        <f>SUMIFS('3b-Emissions Factors'!$F$19:$F$50,'3b-Emissions Factors'!$C$19:$C$50,(LEFT($F43,3)&amp;0),'3b-Emissions Factors'!$D$19:$D$50,'14-Emissions'!$E$37,'3b-Emissions Factors'!$E$19:$E$50,L$3)</f>
        <v>3.5857367526394601E-6</v>
      </c>
      <c r="M43" s="232">
        <f>SUMIFS('3b-Emissions Factors'!$F$19:$F$50,'3b-Emissions Factors'!$C$19:$C$50,(LEFT($F43,3)&amp;0),'3b-Emissions Factors'!$D$19:$D$50,'14-Emissions'!$E$37,'3b-Emissions Factors'!$E$19:$E$50,M$3)</f>
        <v>0.26093480486113502</v>
      </c>
      <c r="O43" s="50">
        <f t="shared" si="24"/>
        <v>0</v>
      </c>
      <c r="P43" s="50">
        <f t="shared" si="25"/>
        <v>0</v>
      </c>
      <c r="Q43" s="50">
        <f t="shared" si="26"/>
        <v>0</v>
      </c>
      <c r="R43" s="50">
        <f t="shared" si="27"/>
        <v>0</v>
      </c>
      <c r="S43" s="50">
        <f t="shared" si="28"/>
        <v>0</v>
      </c>
      <c r="U43" s="31">
        <f t="shared" si="29"/>
        <v>0</v>
      </c>
      <c r="V43" s="31">
        <f>_xlfn.XLOOKUP($F43,'3a-Emissions Inputs'!$B$3:$B$46,'3a-Emissions Inputs'!C$3:C$46)*P43</f>
        <v>0</v>
      </c>
      <c r="W43" s="31">
        <f>_xlfn.XLOOKUP($F43,'3a-Emissions Inputs'!$B$3:$B$46,'3a-Emissions Inputs'!D$3:D$46)*Q43</f>
        <v>0</v>
      </c>
      <c r="X43" s="31">
        <f>_xlfn.XLOOKUP($F43,'3a-Emissions Inputs'!$B$3:$B$46,'3a-Emissions Inputs'!E$3:E$46)*R43</f>
        <v>0</v>
      </c>
      <c r="Y43" s="31">
        <f>_xlfn.XLOOKUP($F43,'3a-Emissions Inputs'!$B$3:$B$46,'3a-Emissions Inputs'!F$3:F$46)*S43</f>
        <v>0</v>
      </c>
      <c r="AA43" s="31">
        <f t="shared" si="30"/>
        <v>0</v>
      </c>
      <c r="AB43" s="31">
        <f t="shared" si="31"/>
        <v>0</v>
      </c>
      <c r="AC43" s="31">
        <f t="shared" si="32"/>
        <v>0</v>
      </c>
    </row>
    <row r="44" spans="5:29" x14ac:dyDescent="0.25">
      <c r="E44" s="2">
        <f t="shared" si="33"/>
        <v>6</v>
      </c>
      <c r="F44" s="2">
        <f t="shared" si="33"/>
        <v>2034</v>
      </c>
      <c r="G44" s="50">
        <f>_xlfn.XLOOKUP(F44,'6-Traffic Data'!$F$9:$F$48,'6-Traffic Data'!$R$9:$R$48)</f>
        <v>0</v>
      </c>
      <c r="I44" s="110">
        <f t="shared" si="23"/>
        <v>1.034</v>
      </c>
      <c r="J44" s="232">
        <f>SUMIFS('3b-Emissions Factors'!$F$19:$F$50,'3b-Emissions Factors'!$C$19:$C$50,(LEFT($F44,3)&amp;0),'3b-Emissions Factors'!$D$19:$D$50,'14-Emissions'!$E$37,'3b-Emissions Factors'!$E$19:$E$50,J$3)</f>
        <v>7.5164317150541398E-5</v>
      </c>
      <c r="K44" s="232">
        <f>SUMIFS('3b-Emissions Factors'!$F$19:$F$50,'3b-Emissions Factors'!$C$19:$C$50,(LEFT($F44,3)&amp;0),'3b-Emissions Factors'!$D$19:$D$50,'14-Emissions'!$E$37,'3b-Emissions Factors'!$E$19:$E$50,K$3)</f>
        <v>1.6919062057899099E-6</v>
      </c>
      <c r="L44" s="232">
        <f>SUMIFS('3b-Emissions Factors'!$F$19:$F$50,'3b-Emissions Factors'!$C$19:$C$50,(LEFT($F44,3)&amp;0),'3b-Emissions Factors'!$D$19:$D$50,'14-Emissions'!$E$37,'3b-Emissions Factors'!$E$19:$E$50,L$3)</f>
        <v>3.5857367526394601E-6</v>
      </c>
      <c r="M44" s="232">
        <f>SUMIFS('3b-Emissions Factors'!$F$19:$F$50,'3b-Emissions Factors'!$C$19:$C$50,(LEFT($F44,3)&amp;0),'3b-Emissions Factors'!$D$19:$D$50,'14-Emissions'!$E$37,'3b-Emissions Factors'!$E$19:$E$50,M$3)</f>
        <v>0.26093480486113502</v>
      </c>
      <c r="O44" s="50">
        <f t="shared" si="24"/>
        <v>0</v>
      </c>
      <c r="P44" s="50">
        <f t="shared" si="25"/>
        <v>0</v>
      </c>
      <c r="Q44" s="50">
        <f t="shared" si="26"/>
        <v>0</v>
      </c>
      <c r="R44" s="50">
        <f t="shared" si="27"/>
        <v>0</v>
      </c>
      <c r="S44" s="50">
        <f t="shared" si="28"/>
        <v>0</v>
      </c>
      <c r="U44" s="31">
        <f t="shared" si="29"/>
        <v>0</v>
      </c>
      <c r="V44" s="31">
        <f>_xlfn.XLOOKUP($F44,'3a-Emissions Inputs'!$B$3:$B$46,'3a-Emissions Inputs'!C$3:C$46)*P44</f>
        <v>0</v>
      </c>
      <c r="W44" s="31">
        <f>_xlfn.XLOOKUP($F44,'3a-Emissions Inputs'!$B$3:$B$46,'3a-Emissions Inputs'!D$3:D$46)*Q44</f>
        <v>0</v>
      </c>
      <c r="X44" s="31">
        <f>_xlfn.XLOOKUP($F44,'3a-Emissions Inputs'!$B$3:$B$46,'3a-Emissions Inputs'!E$3:E$46)*R44</f>
        <v>0</v>
      </c>
      <c r="Y44" s="31">
        <f>_xlfn.XLOOKUP($F44,'3a-Emissions Inputs'!$B$3:$B$46,'3a-Emissions Inputs'!F$3:F$46)*S44</f>
        <v>0</v>
      </c>
      <c r="AA44" s="31">
        <f t="shared" si="30"/>
        <v>0</v>
      </c>
      <c r="AB44" s="31">
        <f t="shared" si="31"/>
        <v>0</v>
      </c>
      <c r="AC44" s="31">
        <f t="shared" si="32"/>
        <v>0</v>
      </c>
    </row>
    <row r="45" spans="5:29" x14ac:dyDescent="0.25">
      <c r="E45" s="2">
        <f t="shared" si="33"/>
        <v>7</v>
      </c>
      <c r="F45" s="2">
        <f t="shared" si="33"/>
        <v>2035</v>
      </c>
      <c r="G45" s="50">
        <f>_xlfn.XLOOKUP(F45,'6-Traffic Data'!$F$9:$F$48,'6-Traffic Data'!$R$9:$R$48)</f>
        <v>0</v>
      </c>
      <c r="I45" s="110">
        <f t="shared" si="23"/>
        <v>1.034</v>
      </c>
      <c r="J45" s="232">
        <f>SUMIFS('3b-Emissions Factors'!$F$19:$F$50,'3b-Emissions Factors'!$C$19:$C$50,(LEFT($F45,3)&amp;0),'3b-Emissions Factors'!$D$19:$D$50,'14-Emissions'!$E$37,'3b-Emissions Factors'!$E$19:$E$50,J$3)</f>
        <v>7.5164317150541398E-5</v>
      </c>
      <c r="K45" s="232">
        <f>SUMIFS('3b-Emissions Factors'!$F$19:$F$50,'3b-Emissions Factors'!$C$19:$C$50,(LEFT($F45,3)&amp;0),'3b-Emissions Factors'!$D$19:$D$50,'14-Emissions'!$E$37,'3b-Emissions Factors'!$E$19:$E$50,K$3)</f>
        <v>1.6919062057899099E-6</v>
      </c>
      <c r="L45" s="232">
        <f>SUMIFS('3b-Emissions Factors'!$F$19:$F$50,'3b-Emissions Factors'!$C$19:$C$50,(LEFT($F45,3)&amp;0),'3b-Emissions Factors'!$D$19:$D$50,'14-Emissions'!$E$37,'3b-Emissions Factors'!$E$19:$E$50,L$3)</f>
        <v>3.5857367526394601E-6</v>
      </c>
      <c r="M45" s="232">
        <f>SUMIFS('3b-Emissions Factors'!$F$19:$F$50,'3b-Emissions Factors'!$C$19:$C$50,(LEFT($F45,3)&amp;0),'3b-Emissions Factors'!$D$19:$D$50,'14-Emissions'!$E$37,'3b-Emissions Factors'!$E$19:$E$50,M$3)</f>
        <v>0.26093480486113502</v>
      </c>
      <c r="O45" s="50">
        <f t="shared" si="24"/>
        <v>0</v>
      </c>
      <c r="P45" s="50">
        <f t="shared" si="25"/>
        <v>0</v>
      </c>
      <c r="Q45" s="50">
        <f t="shared" si="26"/>
        <v>0</v>
      </c>
      <c r="R45" s="50">
        <f t="shared" si="27"/>
        <v>0</v>
      </c>
      <c r="S45" s="50">
        <f t="shared" si="28"/>
        <v>0</v>
      </c>
      <c r="U45" s="31">
        <f t="shared" si="29"/>
        <v>0</v>
      </c>
      <c r="V45" s="31">
        <f>_xlfn.XLOOKUP($F45,'3a-Emissions Inputs'!$B$3:$B$46,'3a-Emissions Inputs'!C$3:C$46)*P45</f>
        <v>0</v>
      </c>
      <c r="W45" s="31">
        <f>_xlfn.XLOOKUP($F45,'3a-Emissions Inputs'!$B$3:$B$46,'3a-Emissions Inputs'!D$3:D$46)*Q45</f>
        <v>0</v>
      </c>
      <c r="X45" s="31">
        <f>_xlfn.XLOOKUP($F45,'3a-Emissions Inputs'!$B$3:$B$46,'3a-Emissions Inputs'!E$3:E$46)*R45</f>
        <v>0</v>
      </c>
      <c r="Y45" s="31">
        <f>_xlfn.XLOOKUP($F45,'3a-Emissions Inputs'!$B$3:$B$46,'3a-Emissions Inputs'!F$3:F$46)*S45</f>
        <v>0</v>
      </c>
      <c r="AA45" s="31">
        <f t="shared" si="30"/>
        <v>0</v>
      </c>
      <c r="AB45" s="31">
        <f t="shared" si="31"/>
        <v>0</v>
      </c>
      <c r="AC45" s="31">
        <f t="shared" si="32"/>
        <v>0</v>
      </c>
    </row>
    <row r="46" spans="5:29" x14ac:dyDescent="0.25">
      <c r="E46" s="2">
        <f t="shared" si="33"/>
        <v>8</v>
      </c>
      <c r="F46" s="2">
        <f t="shared" si="33"/>
        <v>2036</v>
      </c>
      <c r="G46" s="50">
        <f>_xlfn.XLOOKUP(F46,'6-Traffic Data'!$F$9:$F$48,'6-Traffic Data'!$R$9:$R$48)</f>
        <v>0</v>
      </c>
      <c r="I46" s="110">
        <f t="shared" si="23"/>
        <v>1.034</v>
      </c>
      <c r="J46" s="232">
        <f>SUMIFS('3b-Emissions Factors'!$F$19:$F$50,'3b-Emissions Factors'!$C$19:$C$50,(LEFT($F46,3)&amp;0),'3b-Emissions Factors'!$D$19:$D$50,'14-Emissions'!$E$37,'3b-Emissions Factors'!$E$19:$E$50,J$3)</f>
        <v>7.5164317150541398E-5</v>
      </c>
      <c r="K46" s="232">
        <f>SUMIFS('3b-Emissions Factors'!$F$19:$F$50,'3b-Emissions Factors'!$C$19:$C$50,(LEFT($F46,3)&amp;0),'3b-Emissions Factors'!$D$19:$D$50,'14-Emissions'!$E$37,'3b-Emissions Factors'!$E$19:$E$50,K$3)</f>
        <v>1.6919062057899099E-6</v>
      </c>
      <c r="L46" s="232">
        <f>SUMIFS('3b-Emissions Factors'!$F$19:$F$50,'3b-Emissions Factors'!$C$19:$C$50,(LEFT($F46,3)&amp;0),'3b-Emissions Factors'!$D$19:$D$50,'14-Emissions'!$E$37,'3b-Emissions Factors'!$E$19:$E$50,L$3)</f>
        <v>3.5857367526394601E-6</v>
      </c>
      <c r="M46" s="232">
        <f>SUMIFS('3b-Emissions Factors'!$F$19:$F$50,'3b-Emissions Factors'!$C$19:$C$50,(LEFT($F46,3)&amp;0),'3b-Emissions Factors'!$D$19:$D$50,'14-Emissions'!$E$37,'3b-Emissions Factors'!$E$19:$E$50,M$3)</f>
        <v>0.26093480486113502</v>
      </c>
      <c r="O46" s="50">
        <f t="shared" si="24"/>
        <v>0</v>
      </c>
      <c r="P46" s="50">
        <f t="shared" si="25"/>
        <v>0</v>
      </c>
      <c r="Q46" s="50">
        <f t="shared" si="26"/>
        <v>0</v>
      </c>
      <c r="R46" s="50">
        <f t="shared" si="27"/>
        <v>0</v>
      </c>
      <c r="S46" s="50">
        <f t="shared" si="28"/>
        <v>0</v>
      </c>
      <c r="U46" s="31">
        <f t="shared" si="29"/>
        <v>0</v>
      </c>
      <c r="V46" s="31">
        <f>_xlfn.XLOOKUP($F46,'3a-Emissions Inputs'!$B$3:$B$46,'3a-Emissions Inputs'!C$3:C$46)*P46</f>
        <v>0</v>
      </c>
      <c r="W46" s="31">
        <f>_xlfn.XLOOKUP($F46,'3a-Emissions Inputs'!$B$3:$B$46,'3a-Emissions Inputs'!D$3:D$46)*Q46</f>
        <v>0</v>
      </c>
      <c r="X46" s="31">
        <f>_xlfn.XLOOKUP($F46,'3a-Emissions Inputs'!$B$3:$B$46,'3a-Emissions Inputs'!E$3:E$46)*R46</f>
        <v>0</v>
      </c>
      <c r="Y46" s="31">
        <f>_xlfn.XLOOKUP($F46,'3a-Emissions Inputs'!$B$3:$B$46,'3a-Emissions Inputs'!F$3:F$46)*S46</f>
        <v>0</v>
      </c>
      <c r="AA46" s="31">
        <f t="shared" si="30"/>
        <v>0</v>
      </c>
      <c r="AB46" s="31">
        <f t="shared" si="31"/>
        <v>0</v>
      </c>
      <c r="AC46" s="31">
        <f t="shared" si="32"/>
        <v>0</v>
      </c>
    </row>
    <row r="47" spans="5:29" x14ac:dyDescent="0.25">
      <c r="E47" s="2">
        <f t="shared" si="33"/>
        <v>9</v>
      </c>
      <c r="F47" s="2">
        <f t="shared" si="33"/>
        <v>2037</v>
      </c>
      <c r="G47" s="50">
        <f>_xlfn.XLOOKUP(F47,'6-Traffic Data'!$F$9:$F$48,'6-Traffic Data'!$R$9:$R$48)</f>
        <v>0</v>
      </c>
      <c r="I47" s="110">
        <f t="shared" si="23"/>
        <v>1.034</v>
      </c>
      <c r="J47" s="232">
        <f>SUMIFS('3b-Emissions Factors'!$F$19:$F$50,'3b-Emissions Factors'!$C$19:$C$50,(LEFT($F47,3)&amp;0),'3b-Emissions Factors'!$D$19:$D$50,'14-Emissions'!$E$37,'3b-Emissions Factors'!$E$19:$E$50,J$3)</f>
        <v>7.5164317150541398E-5</v>
      </c>
      <c r="K47" s="232">
        <f>SUMIFS('3b-Emissions Factors'!$F$19:$F$50,'3b-Emissions Factors'!$C$19:$C$50,(LEFT($F47,3)&amp;0),'3b-Emissions Factors'!$D$19:$D$50,'14-Emissions'!$E$37,'3b-Emissions Factors'!$E$19:$E$50,K$3)</f>
        <v>1.6919062057899099E-6</v>
      </c>
      <c r="L47" s="232">
        <f>SUMIFS('3b-Emissions Factors'!$F$19:$F$50,'3b-Emissions Factors'!$C$19:$C$50,(LEFT($F47,3)&amp;0),'3b-Emissions Factors'!$D$19:$D$50,'14-Emissions'!$E$37,'3b-Emissions Factors'!$E$19:$E$50,L$3)</f>
        <v>3.5857367526394601E-6</v>
      </c>
      <c r="M47" s="232">
        <f>SUMIFS('3b-Emissions Factors'!$F$19:$F$50,'3b-Emissions Factors'!$C$19:$C$50,(LEFT($F47,3)&amp;0),'3b-Emissions Factors'!$D$19:$D$50,'14-Emissions'!$E$37,'3b-Emissions Factors'!$E$19:$E$50,M$3)</f>
        <v>0.26093480486113502</v>
      </c>
      <c r="O47" s="50">
        <f t="shared" si="24"/>
        <v>0</v>
      </c>
      <c r="P47" s="50">
        <f t="shared" si="25"/>
        <v>0</v>
      </c>
      <c r="Q47" s="50">
        <f t="shared" si="26"/>
        <v>0</v>
      </c>
      <c r="R47" s="50">
        <f t="shared" si="27"/>
        <v>0</v>
      </c>
      <c r="S47" s="50">
        <f t="shared" si="28"/>
        <v>0</v>
      </c>
      <c r="U47" s="31">
        <f t="shared" si="29"/>
        <v>0</v>
      </c>
      <c r="V47" s="31">
        <f>_xlfn.XLOOKUP($F47,'3a-Emissions Inputs'!$B$3:$B$46,'3a-Emissions Inputs'!C$3:C$46)*P47</f>
        <v>0</v>
      </c>
      <c r="W47" s="31">
        <f>_xlfn.XLOOKUP($F47,'3a-Emissions Inputs'!$B$3:$B$46,'3a-Emissions Inputs'!D$3:D$46)*Q47</f>
        <v>0</v>
      </c>
      <c r="X47" s="31">
        <f>_xlfn.XLOOKUP($F47,'3a-Emissions Inputs'!$B$3:$B$46,'3a-Emissions Inputs'!E$3:E$46)*R47</f>
        <v>0</v>
      </c>
      <c r="Y47" s="31">
        <f>_xlfn.XLOOKUP($F47,'3a-Emissions Inputs'!$B$3:$B$46,'3a-Emissions Inputs'!F$3:F$46)*S47</f>
        <v>0</v>
      </c>
      <c r="AA47" s="31">
        <f t="shared" si="30"/>
        <v>0</v>
      </c>
      <c r="AB47" s="31">
        <f t="shared" si="31"/>
        <v>0</v>
      </c>
      <c r="AC47" s="31">
        <f t="shared" si="32"/>
        <v>0</v>
      </c>
    </row>
    <row r="48" spans="5:29" x14ac:dyDescent="0.25">
      <c r="E48" s="2">
        <f t="shared" si="33"/>
        <v>10</v>
      </c>
      <c r="F48" s="2">
        <f t="shared" si="33"/>
        <v>2038</v>
      </c>
      <c r="G48" s="50">
        <f>_xlfn.XLOOKUP(F48,'6-Traffic Data'!$F$9:$F$48,'6-Traffic Data'!$R$9:$R$48)</f>
        <v>0</v>
      </c>
      <c r="I48" s="110">
        <f t="shared" si="23"/>
        <v>1.034</v>
      </c>
      <c r="J48" s="232">
        <f>SUMIFS('3b-Emissions Factors'!$F$19:$F$50,'3b-Emissions Factors'!$C$19:$C$50,(LEFT($F48,3)&amp;0),'3b-Emissions Factors'!$D$19:$D$50,'14-Emissions'!$E$37,'3b-Emissions Factors'!$E$19:$E$50,J$3)</f>
        <v>7.5164317150541398E-5</v>
      </c>
      <c r="K48" s="232">
        <f>SUMIFS('3b-Emissions Factors'!$F$19:$F$50,'3b-Emissions Factors'!$C$19:$C$50,(LEFT($F48,3)&amp;0),'3b-Emissions Factors'!$D$19:$D$50,'14-Emissions'!$E$37,'3b-Emissions Factors'!$E$19:$E$50,K$3)</f>
        <v>1.6919062057899099E-6</v>
      </c>
      <c r="L48" s="232">
        <f>SUMIFS('3b-Emissions Factors'!$F$19:$F$50,'3b-Emissions Factors'!$C$19:$C$50,(LEFT($F48,3)&amp;0),'3b-Emissions Factors'!$D$19:$D$50,'14-Emissions'!$E$37,'3b-Emissions Factors'!$E$19:$E$50,L$3)</f>
        <v>3.5857367526394601E-6</v>
      </c>
      <c r="M48" s="232">
        <f>SUMIFS('3b-Emissions Factors'!$F$19:$F$50,'3b-Emissions Factors'!$C$19:$C$50,(LEFT($F48,3)&amp;0),'3b-Emissions Factors'!$D$19:$D$50,'14-Emissions'!$E$37,'3b-Emissions Factors'!$E$19:$E$50,M$3)</f>
        <v>0.26093480486113502</v>
      </c>
      <c r="O48" s="50">
        <f t="shared" si="24"/>
        <v>0</v>
      </c>
      <c r="P48" s="50">
        <f t="shared" si="25"/>
        <v>0</v>
      </c>
      <c r="Q48" s="50">
        <f t="shared" si="26"/>
        <v>0</v>
      </c>
      <c r="R48" s="50">
        <f t="shared" si="27"/>
        <v>0</v>
      </c>
      <c r="S48" s="50">
        <f t="shared" si="28"/>
        <v>0</v>
      </c>
      <c r="U48" s="31">
        <f t="shared" si="29"/>
        <v>0</v>
      </c>
      <c r="V48" s="31">
        <f>_xlfn.XLOOKUP($F48,'3a-Emissions Inputs'!$B$3:$B$46,'3a-Emissions Inputs'!C$3:C$46)*P48</f>
        <v>0</v>
      </c>
      <c r="W48" s="31">
        <f>_xlfn.XLOOKUP($F48,'3a-Emissions Inputs'!$B$3:$B$46,'3a-Emissions Inputs'!D$3:D$46)*Q48</f>
        <v>0</v>
      </c>
      <c r="X48" s="31">
        <f>_xlfn.XLOOKUP($F48,'3a-Emissions Inputs'!$B$3:$B$46,'3a-Emissions Inputs'!E$3:E$46)*R48</f>
        <v>0</v>
      </c>
      <c r="Y48" s="31">
        <f>_xlfn.XLOOKUP($F48,'3a-Emissions Inputs'!$B$3:$B$46,'3a-Emissions Inputs'!F$3:F$46)*S48</f>
        <v>0</v>
      </c>
      <c r="AA48" s="31">
        <f t="shared" si="30"/>
        <v>0</v>
      </c>
      <c r="AB48" s="31">
        <f t="shared" si="31"/>
        <v>0</v>
      </c>
      <c r="AC48" s="31">
        <f t="shared" si="32"/>
        <v>0</v>
      </c>
    </row>
    <row r="49" spans="5:29" x14ac:dyDescent="0.25">
      <c r="E49" s="2">
        <f t="shared" si="33"/>
        <v>11</v>
      </c>
      <c r="F49" s="2">
        <f t="shared" si="33"/>
        <v>2039</v>
      </c>
      <c r="G49" s="50">
        <f>_xlfn.XLOOKUP(F49,'6-Traffic Data'!$F$9:$F$48,'6-Traffic Data'!$R$9:$R$48)</f>
        <v>0</v>
      </c>
      <c r="I49" s="110">
        <f t="shared" si="23"/>
        <v>1.034</v>
      </c>
      <c r="J49" s="232">
        <f>SUMIFS('3b-Emissions Factors'!$F$19:$F$50,'3b-Emissions Factors'!$C$19:$C$50,(LEFT($F49,3)&amp;0),'3b-Emissions Factors'!$D$19:$D$50,'14-Emissions'!$E$37,'3b-Emissions Factors'!$E$19:$E$50,J$3)</f>
        <v>7.5164317150541398E-5</v>
      </c>
      <c r="K49" s="232">
        <f>SUMIFS('3b-Emissions Factors'!$F$19:$F$50,'3b-Emissions Factors'!$C$19:$C$50,(LEFT($F49,3)&amp;0),'3b-Emissions Factors'!$D$19:$D$50,'14-Emissions'!$E$37,'3b-Emissions Factors'!$E$19:$E$50,K$3)</f>
        <v>1.6919062057899099E-6</v>
      </c>
      <c r="L49" s="232">
        <f>SUMIFS('3b-Emissions Factors'!$F$19:$F$50,'3b-Emissions Factors'!$C$19:$C$50,(LEFT($F49,3)&amp;0),'3b-Emissions Factors'!$D$19:$D$50,'14-Emissions'!$E$37,'3b-Emissions Factors'!$E$19:$E$50,L$3)</f>
        <v>3.5857367526394601E-6</v>
      </c>
      <c r="M49" s="232">
        <f>SUMIFS('3b-Emissions Factors'!$F$19:$F$50,'3b-Emissions Factors'!$C$19:$C$50,(LEFT($F49,3)&amp;0),'3b-Emissions Factors'!$D$19:$D$50,'14-Emissions'!$E$37,'3b-Emissions Factors'!$E$19:$E$50,M$3)</f>
        <v>0.26093480486113502</v>
      </c>
      <c r="O49" s="50">
        <f t="shared" si="24"/>
        <v>0</v>
      </c>
      <c r="P49" s="50">
        <f t="shared" si="25"/>
        <v>0</v>
      </c>
      <c r="Q49" s="50">
        <f t="shared" si="26"/>
        <v>0</v>
      </c>
      <c r="R49" s="50">
        <f t="shared" si="27"/>
        <v>0</v>
      </c>
      <c r="S49" s="50">
        <f t="shared" si="28"/>
        <v>0</v>
      </c>
      <c r="U49" s="31">
        <f t="shared" si="29"/>
        <v>0</v>
      </c>
      <c r="V49" s="31">
        <f>_xlfn.XLOOKUP($F49,'3a-Emissions Inputs'!$B$3:$B$46,'3a-Emissions Inputs'!C$3:C$46)*P49</f>
        <v>0</v>
      </c>
      <c r="W49" s="31">
        <f>_xlfn.XLOOKUP($F49,'3a-Emissions Inputs'!$B$3:$B$46,'3a-Emissions Inputs'!D$3:D$46)*Q49</f>
        <v>0</v>
      </c>
      <c r="X49" s="31">
        <f>_xlfn.XLOOKUP($F49,'3a-Emissions Inputs'!$B$3:$B$46,'3a-Emissions Inputs'!E$3:E$46)*R49</f>
        <v>0</v>
      </c>
      <c r="Y49" s="31">
        <f>_xlfn.XLOOKUP($F49,'3a-Emissions Inputs'!$B$3:$B$46,'3a-Emissions Inputs'!F$3:F$46)*S49</f>
        <v>0</v>
      </c>
      <c r="AA49" s="31">
        <f t="shared" si="30"/>
        <v>0</v>
      </c>
      <c r="AB49" s="31">
        <f t="shared" si="31"/>
        <v>0</v>
      </c>
      <c r="AC49" s="31">
        <f t="shared" si="32"/>
        <v>0</v>
      </c>
    </row>
    <row r="50" spans="5:29" x14ac:dyDescent="0.25">
      <c r="E50" s="2">
        <f t="shared" si="33"/>
        <v>12</v>
      </c>
      <c r="F50" s="2">
        <f t="shared" si="33"/>
        <v>2040</v>
      </c>
      <c r="G50" s="50">
        <f>_xlfn.XLOOKUP(F50,'6-Traffic Data'!$F$9:$F$48,'6-Traffic Data'!$R$9:$R$48)</f>
        <v>0</v>
      </c>
      <c r="I50" s="110">
        <f t="shared" si="23"/>
        <v>1.034</v>
      </c>
      <c r="J50" s="232">
        <f>SUMIFS('3b-Emissions Factors'!$F$19:$F$50,'3b-Emissions Factors'!$C$19:$C$50,(LEFT($F50,3)&amp;0),'3b-Emissions Factors'!$D$19:$D$50,'14-Emissions'!$E$37,'3b-Emissions Factors'!$E$19:$E$50,J$3)</f>
        <v>1.17857894327933E-5</v>
      </c>
      <c r="K50" s="232">
        <f>SUMIFS('3b-Emissions Factors'!$F$19:$F$50,'3b-Emissions Factors'!$C$19:$C$50,(LEFT($F50,3)&amp;0),'3b-Emissions Factors'!$D$19:$D$50,'14-Emissions'!$E$37,'3b-Emissions Factors'!$E$19:$E$50,K$3)</f>
        <v>1.4876655645404301E-6</v>
      </c>
      <c r="L50" s="232">
        <f>SUMIFS('3b-Emissions Factors'!$F$19:$F$50,'3b-Emissions Factors'!$C$19:$C$50,(LEFT($F50,3)&amp;0),'3b-Emissions Factors'!$D$19:$D$50,'14-Emissions'!$E$37,'3b-Emissions Factors'!$E$19:$E$50,L$3)</f>
        <v>2.71037144448955E-6</v>
      </c>
      <c r="M50" s="232">
        <f>SUMIFS('3b-Emissions Factors'!$F$19:$F$50,'3b-Emissions Factors'!$C$19:$C$50,(LEFT($F50,3)&amp;0),'3b-Emissions Factors'!$D$19:$D$50,'14-Emissions'!$E$37,'3b-Emissions Factors'!$E$19:$E$50,M$3)</f>
        <v>0.23042846980193199</v>
      </c>
      <c r="O50" s="50">
        <f t="shared" si="24"/>
        <v>0</v>
      </c>
      <c r="P50" s="50">
        <f t="shared" si="25"/>
        <v>0</v>
      </c>
      <c r="Q50" s="50">
        <f t="shared" si="26"/>
        <v>0</v>
      </c>
      <c r="R50" s="50">
        <f t="shared" si="27"/>
        <v>0</v>
      </c>
      <c r="S50" s="50">
        <f t="shared" si="28"/>
        <v>0</v>
      </c>
      <c r="U50" s="31">
        <f t="shared" si="29"/>
        <v>0</v>
      </c>
      <c r="V50" s="31">
        <f>_xlfn.XLOOKUP($F50,'3a-Emissions Inputs'!$B$3:$B$46,'3a-Emissions Inputs'!C$3:C$46)*P50</f>
        <v>0</v>
      </c>
      <c r="W50" s="31">
        <f>_xlfn.XLOOKUP($F50,'3a-Emissions Inputs'!$B$3:$B$46,'3a-Emissions Inputs'!D$3:D$46)*Q50</f>
        <v>0</v>
      </c>
      <c r="X50" s="31">
        <f>_xlfn.XLOOKUP($F50,'3a-Emissions Inputs'!$B$3:$B$46,'3a-Emissions Inputs'!E$3:E$46)*R50</f>
        <v>0</v>
      </c>
      <c r="Y50" s="31">
        <f>_xlfn.XLOOKUP($F50,'3a-Emissions Inputs'!$B$3:$B$46,'3a-Emissions Inputs'!F$3:F$46)*S50</f>
        <v>0</v>
      </c>
      <c r="AA50" s="31">
        <f t="shared" si="30"/>
        <v>0</v>
      </c>
      <c r="AB50" s="31">
        <f t="shared" si="31"/>
        <v>0</v>
      </c>
      <c r="AC50" s="31">
        <f t="shared" si="32"/>
        <v>0</v>
      </c>
    </row>
    <row r="51" spans="5:29" x14ac:dyDescent="0.25">
      <c r="E51" s="2">
        <f t="shared" si="33"/>
        <v>13</v>
      </c>
      <c r="F51" s="2">
        <f t="shared" si="33"/>
        <v>2041</v>
      </c>
      <c r="G51" s="50">
        <f>_xlfn.XLOOKUP(F51,'6-Traffic Data'!$F$9:$F$48,'6-Traffic Data'!$R$9:$R$48)</f>
        <v>0</v>
      </c>
      <c r="I51" s="110">
        <f t="shared" si="23"/>
        <v>1.034</v>
      </c>
      <c r="J51" s="232">
        <f>SUMIFS('3b-Emissions Factors'!$F$19:$F$50,'3b-Emissions Factors'!$C$19:$C$50,(LEFT($F51,3)&amp;0),'3b-Emissions Factors'!$D$19:$D$50,'14-Emissions'!$E$37,'3b-Emissions Factors'!$E$19:$E$50,J$3)</f>
        <v>1.17857894327933E-5</v>
      </c>
      <c r="K51" s="232">
        <f>SUMIFS('3b-Emissions Factors'!$F$19:$F$50,'3b-Emissions Factors'!$C$19:$C$50,(LEFT($F51,3)&amp;0),'3b-Emissions Factors'!$D$19:$D$50,'14-Emissions'!$E$37,'3b-Emissions Factors'!$E$19:$E$50,K$3)</f>
        <v>1.4876655645404301E-6</v>
      </c>
      <c r="L51" s="232">
        <f>SUMIFS('3b-Emissions Factors'!$F$19:$F$50,'3b-Emissions Factors'!$C$19:$C$50,(LEFT($F51,3)&amp;0),'3b-Emissions Factors'!$D$19:$D$50,'14-Emissions'!$E$37,'3b-Emissions Factors'!$E$19:$E$50,L$3)</f>
        <v>2.71037144448955E-6</v>
      </c>
      <c r="M51" s="232">
        <f>SUMIFS('3b-Emissions Factors'!$F$19:$F$50,'3b-Emissions Factors'!$C$19:$C$50,(LEFT($F51,3)&amp;0),'3b-Emissions Factors'!$D$19:$D$50,'14-Emissions'!$E$37,'3b-Emissions Factors'!$E$19:$E$50,M$3)</f>
        <v>0.23042846980193199</v>
      </c>
      <c r="O51" s="50">
        <f t="shared" si="24"/>
        <v>0</v>
      </c>
      <c r="P51" s="50">
        <f t="shared" si="25"/>
        <v>0</v>
      </c>
      <c r="Q51" s="50">
        <f t="shared" si="26"/>
        <v>0</v>
      </c>
      <c r="R51" s="50">
        <f t="shared" si="27"/>
        <v>0</v>
      </c>
      <c r="S51" s="50">
        <f t="shared" si="28"/>
        <v>0</v>
      </c>
      <c r="U51" s="31">
        <f t="shared" si="29"/>
        <v>0</v>
      </c>
      <c r="V51" s="31">
        <f>_xlfn.XLOOKUP($F51,'3a-Emissions Inputs'!$B$3:$B$46,'3a-Emissions Inputs'!C$3:C$46)*P51</f>
        <v>0</v>
      </c>
      <c r="W51" s="31">
        <f>_xlfn.XLOOKUP($F51,'3a-Emissions Inputs'!$B$3:$B$46,'3a-Emissions Inputs'!D$3:D$46)*Q51</f>
        <v>0</v>
      </c>
      <c r="X51" s="31">
        <f>_xlfn.XLOOKUP($F51,'3a-Emissions Inputs'!$B$3:$B$46,'3a-Emissions Inputs'!E$3:E$46)*R51</f>
        <v>0</v>
      </c>
      <c r="Y51" s="31">
        <f>_xlfn.XLOOKUP($F51,'3a-Emissions Inputs'!$B$3:$B$46,'3a-Emissions Inputs'!F$3:F$46)*S51</f>
        <v>0</v>
      </c>
      <c r="AA51" s="31">
        <f t="shared" si="30"/>
        <v>0</v>
      </c>
      <c r="AB51" s="31">
        <f t="shared" si="31"/>
        <v>0</v>
      </c>
      <c r="AC51" s="31">
        <f t="shared" si="32"/>
        <v>0</v>
      </c>
    </row>
    <row r="52" spans="5:29" x14ac:dyDescent="0.25">
      <c r="E52" s="2">
        <f t="shared" si="33"/>
        <v>14</v>
      </c>
      <c r="F52" s="2">
        <f t="shared" si="33"/>
        <v>2042</v>
      </c>
      <c r="G52" s="50">
        <f>_xlfn.XLOOKUP(F52,'6-Traffic Data'!$F$9:$F$48,'6-Traffic Data'!$R$9:$R$48)</f>
        <v>0</v>
      </c>
      <c r="I52" s="110">
        <f t="shared" si="23"/>
        <v>1.034</v>
      </c>
      <c r="J52" s="232">
        <f>SUMIFS('3b-Emissions Factors'!$F$19:$F$50,'3b-Emissions Factors'!$C$19:$C$50,(LEFT($F52,3)&amp;0),'3b-Emissions Factors'!$D$19:$D$50,'14-Emissions'!$E$37,'3b-Emissions Factors'!$E$19:$E$50,J$3)</f>
        <v>1.17857894327933E-5</v>
      </c>
      <c r="K52" s="232">
        <f>SUMIFS('3b-Emissions Factors'!$F$19:$F$50,'3b-Emissions Factors'!$C$19:$C$50,(LEFT($F52,3)&amp;0),'3b-Emissions Factors'!$D$19:$D$50,'14-Emissions'!$E$37,'3b-Emissions Factors'!$E$19:$E$50,K$3)</f>
        <v>1.4876655645404301E-6</v>
      </c>
      <c r="L52" s="232">
        <f>SUMIFS('3b-Emissions Factors'!$F$19:$F$50,'3b-Emissions Factors'!$C$19:$C$50,(LEFT($F52,3)&amp;0),'3b-Emissions Factors'!$D$19:$D$50,'14-Emissions'!$E$37,'3b-Emissions Factors'!$E$19:$E$50,L$3)</f>
        <v>2.71037144448955E-6</v>
      </c>
      <c r="M52" s="232">
        <f>SUMIFS('3b-Emissions Factors'!$F$19:$F$50,'3b-Emissions Factors'!$C$19:$C$50,(LEFT($F52,3)&amp;0),'3b-Emissions Factors'!$D$19:$D$50,'14-Emissions'!$E$37,'3b-Emissions Factors'!$E$19:$E$50,M$3)</f>
        <v>0.23042846980193199</v>
      </c>
      <c r="O52" s="50">
        <f t="shared" si="24"/>
        <v>0</v>
      </c>
      <c r="P52" s="50">
        <f t="shared" si="25"/>
        <v>0</v>
      </c>
      <c r="Q52" s="50">
        <f t="shared" si="26"/>
        <v>0</v>
      </c>
      <c r="R52" s="50">
        <f t="shared" si="27"/>
        <v>0</v>
      </c>
      <c r="S52" s="50">
        <f t="shared" si="28"/>
        <v>0</v>
      </c>
      <c r="U52" s="31">
        <f t="shared" si="29"/>
        <v>0</v>
      </c>
      <c r="V52" s="31">
        <f>_xlfn.XLOOKUP($F52,'3a-Emissions Inputs'!$B$3:$B$46,'3a-Emissions Inputs'!C$3:C$46)*P52</f>
        <v>0</v>
      </c>
      <c r="W52" s="31">
        <f>_xlfn.XLOOKUP($F52,'3a-Emissions Inputs'!$B$3:$B$46,'3a-Emissions Inputs'!D$3:D$46)*Q52</f>
        <v>0</v>
      </c>
      <c r="X52" s="31">
        <f>_xlfn.XLOOKUP($F52,'3a-Emissions Inputs'!$B$3:$B$46,'3a-Emissions Inputs'!E$3:E$46)*R52</f>
        <v>0</v>
      </c>
      <c r="Y52" s="31">
        <f>_xlfn.XLOOKUP($F52,'3a-Emissions Inputs'!$B$3:$B$46,'3a-Emissions Inputs'!F$3:F$46)*S52</f>
        <v>0</v>
      </c>
      <c r="AA52" s="31">
        <f t="shared" si="30"/>
        <v>0</v>
      </c>
      <c r="AB52" s="31">
        <f t="shared" si="31"/>
        <v>0</v>
      </c>
      <c r="AC52" s="31">
        <f t="shared" si="32"/>
        <v>0</v>
      </c>
    </row>
    <row r="53" spans="5:29" x14ac:dyDescent="0.25">
      <c r="E53" s="2">
        <f t="shared" si="33"/>
        <v>15</v>
      </c>
      <c r="F53" s="2">
        <f t="shared" si="33"/>
        <v>2043</v>
      </c>
      <c r="G53" s="50">
        <f>_xlfn.XLOOKUP(F53,'6-Traffic Data'!$F$9:$F$48,'6-Traffic Data'!$R$9:$R$48)</f>
        <v>0</v>
      </c>
      <c r="I53" s="110">
        <f t="shared" si="23"/>
        <v>1.034</v>
      </c>
      <c r="J53" s="232">
        <f>SUMIFS('3b-Emissions Factors'!$F$19:$F$50,'3b-Emissions Factors'!$C$19:$C$50,(LEFT($F53,3)&amp;0),'3b-Emissions Factors'!$D$19:$D$50,'14-Emissions'!$E$37,'3b-Emissions Factors'!$E$19:$E$50,J$3)</f>
        <v>1.17857894327933E-5</v>
      </c>
      <c r="K53" s="232">
        <f>SUMIFS('3b-Emissions Factors'!$F$19:$F$50,'3b-Emissions Factors'!$C$19:$C$50,(LEFT($F53,3)&amp;0),'3b-Emissions Factors'!$D$19:$D$50,'14-Emissions'!$E$37,'3b-Emissions Factors'!$E$19:$E$50,K$3)</f>
        <v>1.4876655645404301E-6</v>
      </c>
      <c r="L53" s="232">
        <f>SUMIFS('3b-Emissions Factors'!$F$19:$F$50,'3b-Emissions Factors'!$C$19:$C$50,(LEFT($F53,3)&amp;0),'3b-Emissions Factors'!$D$19:$D$50,'14-Emissions'!$E$37,'3b-Emissions Factors'!$E$19:$E$50,L$3)</f>
        <v>2.71037144448955E-6</v>
      </c>
      <c r="M53" s="232">
        <f>SUMIFS('3b-Emissions Factors'!$F$19:$F$50,'3b-Emissions Factors'!$C$19:$C$50,(LEFT($F53,3)&amp;0),'3b-Emissions Factors'!$D$19:$D$50,'14-Emissions'!$E$37,'3b-Emissions Factors'!$E$19:$E$50,M$3)</f>
        <v>0.23042846980193199</v>
      </c>
      <c r="O53" s="50">
        <f t="shared" si="24"/>
        <v>0</v>
      </c>
      <c r="P53" s="50">
        <f t="shared" si="25"/>
        <v>0</v>
      </c>
      <c r="Q53" s="50">
        <f t="shared" si="26"/>
        <v>0</v>
      </c>
      <c r="R53" s="50">
        <f t="shared" si="27"/>
        <v>0</v>
      </c>
      <c r="S53" s="50">
        <f t="shared" si="28"/>
        <v>0</v>
      </c>
      <c r="U53" s="31">
        <f t="shared" si="29"/>
        <v>0</v>
      </c>
      <c r="V53" s="31">
        <f>_xlfn.XLOOKUP($F53,'3a-Emissions Inputs'!$B$3:$B$46,'3a-Emissions Inputs'!C$3:C$46)*P53</f>
        <v>0</v>
      </c>
      <c r="W53" s="31">
        <f>_xlfn.XLOOKUP($F53,'3a-Emissions Inputs'!$B$3:$B$46,'3a-Emissions Inputs'!D$3:D$46)*Q53</f>
        <v>0</v>
      </c>
      <c r="X53" s="31">
        <f>_xlfn.XLOOKUP($F53,'3a-Emissions Inputs'!$B$3:$B$46,'3a-Emissions Inputs'!E$3:E$46)*R53</f>
        <v>0</v>
      </c>
      <c r="Y53" s="31">
        <f>_xlfn.XLOOKUP($F53,'3a-Emissions Inputs'!$B$3:$B$46,'3a-Emissions Inputs'!F$3:F$46)*S53</f>
        <v>0</v>
      </c>
      <c r="AA53" s="31">
        <f t="shared" si="30"/>
        <v>0</v>
      </c>
      <c r="AB53" s="31">
        <f t="shared" si="31"/>
        <v>0</v>
      </c>
      <c r="AC53" s="31">
        <f t="shared" si="32"/>
        <v>0</v>
      </c>
    </row>
    <row r="54" spans="5:29" x14ac:dyDescent="0.25">
      <c r="E54" s="2">
        <f t="shared" si="33"/>
        <v>16</v>
      </c>
      <c r="F54" s="2">
        <f t="shared" si="33"/>
        <v>2044</v>
      </c>
      <c r="G54" s="50">
        <f>_xlfn.XLOOKUP(F54,'6-Traffic Data'!$F$9:$F$48,'6-Traffic Data'!$R$9:$R$48)</f>
        <v>0</v>
      </c>
      <c r="I54" s="110">
        <f t="shared" si="23"/>
        <v>1.034</v>
      </c>
      <c r="J54" s="232">
        <f>SUMIFS('3b-Emissions Factors'!$F$19:$F$50,'3b-Emissions Factors'!$C$19:$C$50,(LEFT($F54,3)&amp;0),'3b-Emissions Factors'!$D$19:$D$50,'14-Emissions'!$E$37,'3b-Emissions Factors'!$E$19:$E$50,J$3)</f>
        <v>1.17857894327933E-5</v>
      </c>
      <c r="K54" s="232">
        <f>SUMIFS('3b-Emissions Factors'!$F$19:$F$50,'3b-Emissions Factors'!$C$19:$C$50,(LEFT($F54,3)&amp;0),'3b-Emissions Factors'!$D$19:$D$50,'14-Emissions'!$E$37,'3b-Emissions Factors'!$E$19:$E$50,K$3)</f>
        <v>1.4876655645404301E-6</v>
      </c>
      <c r="L54" s="232">
        <f>SUMIFS('3b-Emissions Factors'!$F$19:$F$50,'3b-Emissions Factors'!$C$19:$C$50,(LEFT($F54,3)&amp;0),'3b-Emissions Factors'!$D$19:$D$50,'14-Emissions'!$E$37,'3b-Emissions Factors'!$E$19:$E$50,L$3)</f>
        <v>2.71037144448955E-6</v>
      </c>
      <c r="M54" s="232">
        <f>SUMIFS('3b-Emissions Factors'!$F$19:$F$50,'3b-Emissions Factors'!$C$19:$C$50,(LEFT($F54,3)&amp;0),'3b-Emissions Factors'!$D$19:$D$50,'14-Emissions'!$E$37,'3b-Emissions Factors'!$E$19:$E$50,M$3)</f>
        <v>0.23042846980193199</v>
      </c>
      <c r="O54" s="50">
        <f t="shared" si="24"/>
        <v>0</v>
      </c>
      <c r="P54" s="50">
        <f t="shared" si="25"/>
        <v>0</v>
      </c>
      <c r="Q54" s="50">
        <f t="shared" si="26"/>
        <v>0</v>
      </c>
      <c r="R54" s="50">
        <f t="shared" si="27"/>
        <v>0</v>
      </c>
      <c r="S54" s="50">
        <f t="shared" si="28"/>
        <v>0</v>
      </c>
      <c r="U54" s="31">
        <f t="shared" si="29"/>
        <v>0</v>
      </c>
      <c r="V54" s="31">
        <f>_xlfn.XLOOKUP($F54,'3a-Emissions Inputs'!$B$3:$B$46,'3a-Emissions Inputs'!C$3:C$46)*P54</f>
        <v>0</v>
      </c>
      <c r="W54" s="31">
        <f>_xlfn.XLOOKUP($F54,'3a-Emissions Inputs'!$B$3:$B$46,'3a-Emissions Inputs'!D$3:D$46)*Q54</f>
        <v>0</v>
      </c>
      <c r="X54" s="31">
        <f>_xlfn.XLOOKUP($F54,'3a-Emissions Inputs'!$B$3:$B$46,'3a-Emissions Inputs'!E$3:E$46)*R54</f>
        <v>0</v>
      </c>
      <c r="Y54" s="31">
        <f>_xlfn.XLOOKUP($F54,'3a-Emissions Inputs'!$B$3:$B$46,'3a-Emissions Inputs'!F$3:F$46)*S54</f>
        <v>0</v>
      </c>
      <c r="AA54" s="31">
        <f t="shared" si="30"/>
        <v>0</v>
      </c>
      <c r="AB54" s="31">
        <f t="shared" si="31"/>
        <v>0</v>
      </c>
      <c r="AC54" s="31">
        <f t="shared" si="32"/>
        <v>0</v>
      </c>
    </row>
    <row r="55" spans="5:29" x14ac:dyDescent="0.25">
      <c r="E55" s="2">
        <f t="shared" si="33"/>
        <v>17</v>
      </c>
      <c r="F55" s="2">
        <f t="shared" si="33"/>
        <v>2045</v>
      </c>
      <c r="G55" s="50">
        <f>_xlfn.XLOOKUP(F55,'6-Traffic Data'!$F$9:$F$48,'6-Traffic Data'!$R$9:$R$48)</f>
        <v>0</v>
      </c>
      <c r="I55" s="110">
        <f t="shared" si="23"/>
        <v>1.034</v>
      </c>
      <c r="J55" s="232">
        <f>SUMIFS('3b-Emissions Factors'!$F$19:$F$50,'3b-Emissions Factors'!$C$19:$C$50,(LEFT($F55,3)&amp;0),'3b-Emissions Factors'!$D$19:$D$50,'14-Emissions'!$E$37,'3b-Emissions Factors'!$E$19:$E$50,J$3)</f>
        <v>1.17857894327933E-5</v>
      </c>
      <c r="K55" s="232">
        <f>SUMIFS('3b-Emissions Factors'!$F$19:$F$50,'3b-Emissions Factors'!$C$19:$C$50,(LEFT($F55,3)&amp;0),'3b-Emissions Factors'!$D$19:$D$50,'14-Emissions'!$E$37,'3b-Emissions Factors'!$E$19:$E$50,K$3)</f>
        <v>1.4876655645404301E-6</v>
      </c>
      <c r="L55" s="232">
        <f>SUMIFS('3b-Emissions Factors'!$F$19:$F$50,'3b-Emissions Factors'!$C$19:$C$50,(LEFT($F55,3)&amp;0),'3b-Emissions Factors'!$D$19:$D$50,'14-Emissions'!$E$37,'3b-Emissions Factors'!$E$19:$E$50,L$3)</f>
        <v>2.71037144448955E-6</v>
      </c>
      <c r="M55" s="232">
        <f>SUMIFS('3b-Emissions Factors'!$F$19:$F$50,'3b-Emissions Factors'!$C$19:$C$50,(LEFT($F55,3)&amp;0),'3b-Emissions Factors'!$D$19:$D$50,'14-Emissions'!$E$37,'3b-Emissions Factors'!$E$19:$E$50,M$3)</f>
        <v>0.23042846980193199</v>
      </c>
      <c r="O55" s="50">
        <f t="shared" si="24"/>
        <v>0</v>
      </c>
      <c r="P55" s="50">
        <f t="shared" si="25"/>
        <v>0</v>
      </c>
      <c r="Q55" s="50">
        <f t="shared" si="26"/>
        <v>0</v>
      </c>
      <c r="R55" s="50">
        <f t="shared" si="27"/>
        <v>0</v>
      </c>
      <c r="S55" s="50">
        <f t="shared" si="28"/>
        <v>0</v>
      </c>
      <c r="U55" s="31">
        <f t="shared" si="29"/>
        <v>0</v>
      </c>
      <c r="V55" s="31">
        <f>_xlfn.XLOOKUP($F55,'3a-Emissions Inputs'!$B$3:$B$46,'3a-Emissions Inputs'!C$3:C$46)*P55</f>
        <v>0</v>
      </c>
      <c r="W55" s="31">
        <f>_xlfn.XLOOKUP($F55,'3a-Emissions Inputs'!$B$3:$B$46,'3a-Emissions Inputs'!D$3:D$46)*Q55</f>
        <v>0</v>
      </c>
      <c r="X55" s="31">
        <f>_xlfn.XLOOKUP($F55,'3a-Emissions Inputs'!$B$3:$B$46,'3a-Emissions Inputs'!E$3:E$46)*R55</f>
        <v>0</v>
      </c>
      <c r="Y55" s="31">
        <f>_xlfn.XLOOKUP($F55,'3a-Emissions Inputs'!$B$3:$B$46,'3a-Emissions Inputs'!F$3:F$46)*S55</f>
        <v>0</v>
      </c>
      <c r="AA55" s="31">
        <f t="shared" si="30"/>
        <v>0</v>
      </c>
      <c r="AB55" s="31">
        <f t="shared" si="31"/>
        <v>0</v>
      </c>
      <c r="AC55" s="31">
        <f t="shared" si="32"/>
        <v>0</v>
      </c>
    </row>
    <row r="56" spans="5:29" x14ac:dyDescent="0.25">
      <c r="E56" s="2">
        <f t="shared" si="33"/>
        <v>18</v>
      </c>
      <c r="F56" s="2">
        <f t="shared" si="33"/>
        <v>2046</v>
      </c>
      <c r="G56" s="50">
        <f>_xlfn.XLOOKUP(F56,'6-Traffic Data'!$F$9:$F$48,'6-Traffic Data'!$R$9:$R$48)</f>
        <v>0</v>
      </c>
      <c r="I56" s="110">
        <f t="shared" si="23"/>
        <v>1.034</v>
      </c>
      <c r="J56" s="232">
        <f>SUMIFS('3b-Emissions Factors'!$F$19:$F$50,'3b-Emissions Factors'!$C$19:$C$50,(LEFT($F56,3)&amp;0),'3b-Emissions Factors'!$D$19:$D$50,'14-Emissions'!$E$37,'3b-Emissions Factors'!$E$19:$E$50,J$3)</f>
        <v>1.17857894327933E-5</v>
      </c>
      <c r="K56" s="232">
        <f>SUMIFS('3b-Emissions Factors'!$F$19:$F$50,'3b-Emissions Factors'!$C$19:$C$50,(LEFT($F56,3)&amp;0),'3b-Emissions Factors'!$D$19:$D$50,'14-Emissions'!$E$37,'3b-Emissions Factors'!$E$19:$E$50,K$3)</f>
        <v>1.4876655645404301E-6</v>
      </c>
      <c r="L56" s="232">
        <f>SUMIFS('3b-Emissions Factors'!$F$19:$F$50,'3b-Emissions Factors'!$C$19:$C$50,(LEFT($F56,3)&amp;0),'3b-Emissions Factors'!$D$19:$D$50,'14-Emissions'!$E$37,'3b-Emissions Factors'!$E$19:$E$50,L$3)</f>
        <v>2.71037144448955E-6</v>
      </c>
      <c r="M56" s="232">
        <f>SUMIFS('3b-Emissions Factors'!$F$19:$F$50,'3b-Emissions Factors'!$C$19:$C$50,(LEFT($F56,3)&amp;0),'3b-Emissions Factors'!$D$19:$D$50,'14-Emissions'!$E$37,'3b-Emissions Factors'!$E$19:$E$50,M$3)</f>
        <v>0.23042846980193199</v>
      </c>
      <c r="O56" s="50">
        <f t="shared" si="24"/>
        <v>0</v>
      </c>
      <c r="P56" s="50">
        <f t="shared" si="25"/>
        <v>0</v>
      </c>
      <c r="Q56" s="50">
        <f t="shared" si="26"/>
        <v>0</v>
      </c>
      <c r="R56" s="50">
        <f t="shared" si="27"/>
        <v>0</v>
      </c>
      <c r="S56" s="50">
        <f t="shared" si="28"/>
        <v>0</v>
      </c>
      <c r="U56" s="31">
        <f t="shared" si="29"/>
        <v>0</v>
      </c>
      <c r="V56" s="31">
        <f>_xlfn.XLOOKUP($F56,'3a-Emissions Inputs'!$B$3:$B$46,'3a-Emissions Inputs'!C$3:C$46)*P56</f>
        <v>0</v>
      </c>
      <c r="W56" s="31">
        <f>_xlfn.XLOOKUP($F56,'3a-Emissions Inputs'!$B$3:$B$46,'3a-Emissions Inputs'!D$3:D$46)*Q56</f>
        <v>0</v>
      </c>
      <c r="X56" s="31">
        <f>_xlfn.XLOOKUP($F56,'3a-Emissions Inputs'!$B$3:$B$46,'3a-Emissions Inputs'!E$3:E$46)*R56</f>
        <v>0</v>
      </c>
      <c r="Y56" s="31">
        <f>_xlfn.XLOOKUP($F56,'3a-Emissions Inputs'!$B$3:$B$46,'3a-Emissions Inputs'!F$3:F$46)*S56</f>
        <v>0</v>
      </c>
      <c r="AA56" s="31">
        <f t="shared" si="30"/>
        <v>0</v>
      </c>
      <c r="AB56" s="31">
        <f t="shared" si="31"/>
        <v>0</v>
      </c>
      <c r="AC56" s="31">
        <f t="shared" si="32"/>
        <v>0</v>
      </c>
    </row>
    <row r="57" spans="5:29" x14ac:dyDescent="0.25">
      <c r="E57" s="2">
        <f t="shared" si="33"/>
        <v>19</v>
      </c>
      <c r="F57" s="2">
        <f t="shared" si="33"/>
        <v>2047</v>
      </c>
      <c r="G57" s="50">
        <f>_xlfn.XLOOKUP(F57,'6-Traffic Data'!$F$9:$F$48,'6-Traffic Data'!$R$9:$R$48)</f>
        <v>0</v>
      </c>
      <c r="I57" s="110">
        <f t="shared" si="23"/>
        <v>1.034</v>
      </c>
      <c r="J57" s="232">
        <f>SUMIFS('3b-Emissions Factors'!$F$19:$F$50,'3b-Emissions Factors'!$C$19:$C$50,(LEFT($F57,3)&amp;0),'3b-Emissions Factors'!$D$19:$D$50,'14-Emissions'!$E$37,'3b-Emissions Factors'!$E$19:$E$50,J$3)</f>
        <v>1.17857894327933E-5</v>
      </c>
      <c r="K57" s="232">
        <f>SUMIFS('3b-Emissions Factors'!$F$19:$F$50,'3b-Emissions Factors'!$C$19:$C$50,(LEFT($F57,3)&amp;0),'3b-Emissions Factors'!$D$19:$D$50,'14-Emissions'!$E$37,'3b-Emissions Factors'!$E$19:$E$50,K$3)</f>
        <v>1.4876655645404301E-6</v>
      </c>
      <c r="L57" s="232">
        <f>SUMIFS('3b-Emissions Factors'!$F$19:$F$50,'3b-Emissions Factors'!$C$19:$C$50,(LEFT($F57,3)&amp;0),'3b-Emissions Factors'!$D$19:$D$50,'14-Emissions'!$E$37,'3b-Emissions Factors'!$E$19:$E$50,L$3)</f>
        <v>2.71037144448955E-6</v>
      </c>
      <c r="M57" s="232">
        <f>SUMIFS('3b-Emissions Factors'!$F$19:$F$50,'3b-Emissions Factors'!$C$19:$C$50,(LEFT($F57,3)&amp;0),'3b-Emissions Factors'!$D$19:$D$50,'14-Emissions'!$E$37,'3b-Emissions Factors'!$E$19:$E$50,M$3)</f>
        <v>0.23042846980193199</v>
      </c>
      <c r="O57" s="50">
        <f t="shared" si="24"/>
        <v>0</v>
      </c>
      <c r="P57" s="50">
        <f t="shared" si="25"/>
        <v>0</v>
      </c>
      <c r="Q57" s="50">
        <f t="shared" si="26"/>
        <v>0</v>
      </c>
      <c r="R57" s="50">
        <f t="shared" si="27"/>
        <v>0</v>
      </c>
      <c r="S57" s="50">
        <f t="shared" si="28"/>
        <v>0</v>
      </c>
      <c r="U57" s="31">
        <f t="shared" si="29"/>
        <v>0</v>
      </c>
      <c r="V57" s="31">
        <f>_xlfn.XLOOKUP($F57,'3a-Emissions Inputs'!$B$3:$B$46,'3a-Emissions Inputs'!C$3:C$46)*P57</f>
        <v>0</v>
      </c>
      <c r="W57" s="31">
        <f>_xlfn.XLOOKUP($F57,'3a-Emissions Inputs'!$B$3:$B$46,'3a-Emissions Inputs'!D$3:D$46)*Q57</f>
        <v>0</v>
      </c>
      <c r="X57" s="31">
        <f>_xlfn.XLOOKUP($F57,'3a-Emissions Inputs'!$B$3:$B$46,'3a-Emissions Inputs'!E$3:E$46)*R57</f>
        <v>0</v>
      </c>
      <c r="Y57" s="31">
        <f>_xlfn.XLOOKUP($F57,'3a-Emissions Inputs'!$B$3:$B$46,'3a-Emissions Inputs'!F$3:F$46)*S57</f>
        <v>0</v>
      </c>
      <c r="AA57" s="31">
        <f t="shared" si="30"/>
        <v>0</v>
      </c>
      <c r="AB57" s="31">
        <f t="shared" si="31"/>
        <v>0</v>
      </c>
      <c r="AC57" s="31">
        <f t="shared" si="32"/>
        <v>0</v>
      </c>
    </row>
    <row r="58" spans="5:29" x14ac:dyDescent="0.25">
      <c r="E58" s="2">
        <f t="shared" si="33"/>
        <v>20</v>
      </c>
      <c r="F58" s="2">
        <f t="shared" si="33"/>
        <v>2048</v>
      </c>
      <c r="G58" s="50">
        <f>_xlfn.XLOOKUP(F58,'6-Traffic Data'!$F$9:$F$48,'6-Traffic Data'!$R$9:$R$48)</f>
        <v>0</v>
      </c>
      <c r="I58" s="110">
        <f t="shared" si="23"/>
        <v>1.034</v>
      </c>
      <c r="J58" s="232">
        <f>SUMIFS('3b-Emissions Factors'!$F$19:$F$50,'3b-Emissions Factors'!$C$19:$C$50,(LEFT($F58,3)&amp;0),'3b-Emissions Factors'!$D$19:$D$50,'14-Emissions'!$E$37,'3b-Emissions Factors'!$E$19:$E$50,J$3)</f>
        <v>1.17857894327933E-5</v>
      </c>
      <c r="K58" s="232">
        <f>SUMIFS('3b-Emissions Factors'!$F$19:$F$50,'3b-Emissions Factors'!$C$19:$C$50,(LEFT($F58,3)&amp;0),'3b-Emissions Factors'!$D$19:$D$50,'14-Emissions'!$E$37,'3b-Emissions Factors'!$E$19:$E$50,K$3)</f>
        <v>1.4876655645404301E-6</v>
      </c>
      <c r="L58" s="232">
        <f>SUMIFS('3b-Emissions Factors'!$F$19:$F$50,'3b-Emissions Factors'!$C$19:$C$50,(LEFT($F58,3)&amp;0),'3b-Emissions Factors'!$D$19:$D$50,'14-Emissions'!$E$37,'3b-Emissions Factors'!$E$19:$E$50,L$3)</f>
        <v>2.71037144448955E-6</v>
      </c>
      <c r="M58" s="232">
        <f>SUMIFS('3b-Emissions Factors'!$F$19:$F$50,'3b-Emissions Factors'!$C$19:$C$50,(LEFT($F58,3)&amp;0),'3b-Emissions Factors'!$D$19:$D$50,'14-Emissions'!$E$37,'3b-Emissions Factors'!$E$19:$E$50,M$3)</f>
        <v>0.23042846980193199</v>
      </c>
      <c r="O58" s="50">
        <f t="shared" si="24"/>
        <v>0</v>
      </c>
      <c r="P58" s="50">
        <f t="shared" si="25"/>
        <v>0</v>
      </c>
      <c r="Q58" s="50">
        <f t="shared" si="26"/>
        <v>0</v>
      </c>
      <c r="R58" s="50">
        <f t="shared" si="27"/>
        <v>0</v>
      </c>
      <c r="S58" s="50">
        <f t="shared" si="28"/>
        <v>0</v>
      </c>
      <c r="U58" s="31">
        <f t="shared" si="29"/>
        <v>0</v>
      </c>
      <c r="V58" s="31">
        <f>_xlfn.XLOOKUP($F58,'3a-Emissions Inputs'!$B$3:$B$46,'3a-Emissions Inputs'!C$3:C$46)*P58</f>
        <v>0</v>
      </c>
      <c r="W58" s="31">
        <f>_xlfn.XLOOKUP($F58,'3a-Emissions Inputs'!$B$3:$B$46,'3a-Emissions Inputs'!D$3:D$46)*Q58</f>
        <v>0</v>
      </c>
      <c r="X58" s="31">
        <f>_xlfn.XLOOKUP($F58,'3a-Emissions Inputs'!$B$3:$B$46,'3a-Emissions Inputs'!E$3:E$46)*R58</f>
        <v>0</v>
      </c>
      <c r="Y58" s="31">
        <f>_xlfn.XLOOKUP($F58,'3a-Emissions Inputs'!$B$3:$B$46,'3a-Emissions Inputs'!F$3:F$46)*S58</f>
        <v>0</v>
      </c>
      <c r="AA58" s="31">
        <f t="shared" si="30"/>
        <v>0</v>
      </c>
      <c r="AB58" s="31">
        <f t="shared" si="31"/>
        <v>0</v>
      </c>
      <c r="AC58" s="31">
        <f t="shared" si="32"/>
        <v>0</v>
      </c>
    </row>
    <row r="59" spans="5:29" x14ac:dyDescent="0.25">
      <c r="E59" s="2">
        <f t="shared" ref="E59:F59" si="34">E58+1</f>
        <v>21</v>
      </c>
      <c r="F59" s="2">
        <f t="shared" si="34"/>
        <v>2049</v>
      </c>
      <c r="G59" s="50">
        <f>_xlfn.XLOOKUP(F59,'6-Traffic Data'!$F$9:$F$48,'6-Traffic Data'!$R$9:$R$48)</f>
        <v>0</v>
      </c>
      <c r="I59" s="110">
        <f t="shared" si="23"/>
        <v>1.034</v>
      </c>
      <c r="J59" s="232">
        <f>SUMIFS('3b-Emissions Factors'!$F$19:$F$50,'3b-Emissions Factors'!$C$19:$C$50,(LEFT($F59,3)&amp;0),'3b-Emissions Factors'!$D$19:$D$50,'14-Emissions'!$E$37,'3b-Emissions Factors'!$E$19:$E$50,J$3)</f>
        <v>1.17857894327933E-5</v>
      </c>
      <c r="K59" s="232">
        <f>SUMIFS('3b-Emissions Factors'!$F$19:$F$50,'3b-Emissions Factors'!$C$19:$C$50,(LEFT($F59,3)&amp;0),'3b-Emissions Factors'!$D$19:$D$50,'14-Emissions'!$E$37,'3b-Emissions Factors'!$E$19:$E$50,K$3)</f>
        <v>1.4876655645404301E-6</v>
      </c>
      <c r="L59" s="232">
        <f>SUMIFS('3b-Emissions Factors'!$F$19:$F$50,'3b-Emissions Factors'!$C$19:$C$50,(LEFT($F59,3)&amp;0),'3b-Emissions Factors'!$D$19:$D$50,'14-Emissions'!$E$37,'3b-Emissions Factors'!$E$19:$E$50,L$3)</f>
        <v>2.71037144448955E-6</v>
      </c>
      <c r="M59" s="232">
        <f>SUMIFS('3b-Emissions Factors'!$F$19:$F$50,'3b-Emissions Factors'!$C$19:$C$50,(LEFT($F59,3)&amp;0),'3b-Emissions Factors'!$D$19:$D$50,'14-Emissions'!$E$37,'3b-Emissions Factors'!$E$19:$E$50,M$3)</f>
        <v>0.23042846980193199</v>
      </c>
      <c r="O59" s="50">
        <f t="shared" si="24"/>
        <v>0</v>
      </c>
      <c r="P59" s="50">
        <f t="shared" si="25"/>
        <v>0</v>
      </c>
      <c r="Q59" s="50">
        <f t="shared" si="26"/>
        <v>0</v>
      </c>
      <c r="R59" s="50">
        <f t="shared" si="27"/>
        <v>0</v>
      </c>
      <c r="S59" s="50">
        <f t="shared" si="28"/>
        <v>0</v>
      </c>
      <c r="U59" s="31">
        <f t="shared" si="29"/>
        <v>0</v>
      </c>
      <c r="V59" s="31">
        <f>_xlfn.XLOOKUP($F59,'3a-Emissions Inputs'!$B$3:$B$46,'3a-Emissions Inputs'!C$3:C$46)*P59</f>
        <v>0</v>
      </c>
      <c r="W59" s="31">
        <f>_xlfn.XLOOKUP($F59,'3a-Emissions Inputs'!$B$3:$B$46,'3a-Emissions Inputs'!D$3:D$46)*Q59</f>
        <v>0</v>
      </c>
      <c r="X59" s="31">
        <f>_xlfn.XLOOKUP($F59,'3a-Emissions Inputs'!$B$3:$B$46,'3a-Emissions Inputs'!E$3:E$46)*R59</f>
        <v>0</v>
      </c>
      <c r="Y59" s="31">
        <f>_xlfn.XLOOKUP($F59,'3a-Emissions Inputs'!$B$3:$B$46,'3a-Emissions Inputs'!F$3:F$46)*S59</f>
        <v>0</v>
      </c>
      <c r="AA59" s="31">
        <f t="shared" si="30"/>
        <v>0</v>
      </c>
      <c r="AB59" s="31">
        <f t="shared" si="31"/>
        <v>0</v>
      </c>
      <c r="AC59" s="31">
        <f t="shared" si="32"/>
        <v>0</v>
      </c>
    </row>
    <row r="60" spans="5:29" x14ac:dyDescent="0.25">
      <c r="E60" s="2">
        <f t="shared" ref="E60:F60" si="35">E59+1</f>
        <v>22</v>
      </c>
      <c r="F60" s="2">
        <f t="shared" si="35"/>
        <v>2050</v>
      </c>
      <c r="G60" s="50">
        <f>_xlfn.XLOOKUP(F60,'6-Traffic Data'!$F$9:$F$48,'6-Traffic Data'!$R$9:$R$48)</f>
        <v>0</v>
      </c>
      <c r="I60" s="110">
        <f t="shared" si="23"/>
        <v>1.034</v>
      </c>
      <c r="J60" s="232">
        <f>SUMIFS('3b-Emissions Factors'!$F$19:$F$50,'3b-Emissions Factors'!$C$19:$C$50,(LEFT($F60,3)&amp;0),'3b-Emissions Factors'!$D$19:$D$50,'14-Emissions'!$E$37,'3b-Emissions Factors'!$E$19:$E$50,J$3)</f>
        <v>5.9989346447119398E-6</v>
      </c>
      <c r="K60" s="232">
        <f>SUMIFS('3b-Emissions Factors'!$F$19:$F$50,'3b-Emissions Factors'!$C$19:$C$50,(LEFT($F60,3)&amp;0),'3b-Emissions Factors'!$D$19:$D$50,'14-Emissions'!$E$37,'3b-Emissions Factors'!$E$19:$E$50,K$3)</f>
        <v>1.42186439202717E-6</v>
      </c>
      <c r="L60" s="232">
        <f>SUMIFS('3b-Emissions Factors'!$F$19:$F$50,'3b-Emissions Factors'!$C$19:$C$50,(LEFT($F60,3)&amp;0),'3b-Emissions Factors'!$D$19:$D$50,'14-Emissions'!$E$37,'3b-Emissions Factors'!$E$19:$E$50,L$3)</f>
        <v>2.5733014803686201E-6</v>
      </c>
      <c r="M60" s="232">
        <f>SUMIFS('3b-Emissions Factors'!$F$19:$F$50,'3b-Emissions Factors'!$C$19:$C$50,(LEFT($F60,3)&amp;0),'3b-Emissions Factors'!$D$19:$D$50,'14-Emissions'!$E$37,'3b-Emissions Factors'!$E$19:$E$50,M$3)</f>
        <v>0.22068116289112</v>
      </c>
      <c r="O60" s="50">
        <f t="shared" si="24"/>
        <v>0</v>
      </c>
      <c r="P60" s="50">
        <f t="shared" si="25"/>
        <v>0</v>
      </c>
      <c r="Q60" s="50">
        <f t="shared" si="26"/>
        <v>0</v>
      </c>
      <c r="R60" s="50">
        <f t="shared" si="27"/>
        <v>0</v>
      </c>
      <c r="S60" s="50">
        <f t="shared" si="28"/>
        <v>0</v>
      </c>
      <c r="U60" s="31">
        <f t="shared" si="29"/>
        <v>0</v>
      </c>
      <c r="V60" s="31">
        <f>_xlfn.XLOOKUP($F60,'3a-Emissions Inputs'!$B$3:$B$46,'3a-Emissions Inputs'!C$3:C$46)*P60</f>
        <v>0</v>
      </c>
      <c r="W60" s="31">
        <f>_xlfn.XLOOKUP($F60,'3a-Emissions Inputs'!$B$3:$B$46,'3a-Emissions Inputs'!D$3:D$46)*Q60</f>
        <v>0</v>
      </c>
      <c r="X60" s="31">
        <f>_xlfn.XLOOKUP($F60,'3a-Emissions Inputs'!$B$3:$B$46,'3a-Emissions Inputs'!E$3:E$46)*R60</f>
        <v>0</v>
      </c>
      <c r="Y60" s="31">
        <f>_xlfn.XLOOKUP($F60,'3a-Emissions Inputs'!$B$3:$B$46,'3a-Emissions Inputs'!F$3:F$46)*S60</f>
        <v>0</v>
      </c>
      <c r="AA60" s="31">
        <f t="shared" si="30"/>
        <v>0</v>
      </c>
      <c r="AB60" s="31">
        <f t="shared" si="31"/>
        <v>0</v>
      </c>
      <c r="AC60" s="31">
        <f t="shared" si="32"/>
        <v>0</v>
      </c>
    </row>
    <row r="61" spans="5:29" x14ac:dyDescent="0.25">
      <c r="E61" s="2">
        <f t="shared" ref="E61:F61" si="36">E60+1</f>
        <v>23</v>
      </c>
      <c r="F61" s="2">
        <f t="shared" si="36"/>
        <v>2051</v>
      </c>
      <c r="G61" s="50">
        <f>_xlfn.XLOOKUP(F61,'6-Traffic Data'!$F$9:$F$48,'6-Traffic Data'!$R$9:$R$48)</f>
        <v>0</v>
      </c>
      <c r="I61" s="110">
        <f t="shared" si="23"/>
        <v>1.034</v>
      </c>
      <c r="J61" s="232">
        <f>SUMIFS('3b-Emissions Factors'!$F$19:$F$50,'3b-Emissions Factors'!$C$19:$C$50,(LEFT($F61,3)&amp;0),'3b-Emissions Factors'!$D$19:$D$50,'14-Emissions'!$E$37,'3b-Emissions Factors'!$E$19:$E$50,J$3)</f>
        <v>5.9989346447119398E-6</v>
      </c>
      <c r="K61" s="232">
        <f>SUMIFS('3b-Emissions Factors'!$F$19:$F$50,'3b-Emissions Factors'!$C$19:$C$50,(LEFT($F61,3)&amp;0),'3b-Emissions Factors'!$D$19:$D$50,'14-Emissions'!$E$37,'3b-Emissions Factors'!$E$19:$E$50,K$3)</f>
        <v>1.42186439202717E-6</v>
      </c>
      <c r="L61" s="232">
        <f>SUMIFS('3b-Emissions Factors'!$F$19:$F$50,'3b-Emissions Factors'!$C$19:$C$50,(LEFT($F61,3)&amp;0),'3b-Emissions Factors'!$D$19:$D$50,'14-Emissions'!$E$37,'3b-Emissions Factors'!$E$19:$E$50,L$3)</f>
        <v>2.5733014803686201E-6</v>
      </c>
      <c r="M61" s="232">
        <f>SUMIFS('3b-Emissions Factors'!$F$19:$F$50,'3b-Emissions Factors'!$C$19:$C$50,(LEFT($F61,3)&amp;0),'3b-Emissions Factors'!$D$19:$D$50,'14-Emissions'!$E$37,'3b-Emissions Factors'!$E$19:$E$50,M$3)</f>
        <v>0.22068116289112</v>
      </c>
      <c r="O61" s="50">
        <f t="shared" si="24"/>
        <v>0</v>
      </c>
      <c r="P61" s="50">
        <f t="shared" si="25"/>
        <v>0</v>
      </c>
      <c r="Q61" s="50">
        <f t="shared" si="26"/>
        <v>0</v>
      </c>
      <c r="R61" s="50">
        <f t="shared" si="27"/>
        <v>0</v>
      </c>
      <c r="S61" s="50">
        <f t="shared" si="28"/>
        <v>0</v>
      </c>
      <c r="U61" s="31">
        <f t="shared" si="29"/>
        <v>0</v>
      </c>
      <c r="V61" s="31">
        <f>_xlfn.XLOOKUP($F61,'3a-Emissions Inputs'!$B$3:$B$46,'3a-Emissions Inputs'!C$3:C$46)*P61</f>
        <v>0</v>
      </c>
      <c r="W61" s="31">
        <f>_xlfn.XLOOKUP($F61,'3a-Emissions Inputs'!$B$3:$B$46,'3a-Emissions Inputs'!D$3:D$46)*Q61</f>
        <v>0</v>
      </c>
      <c r="X61" s="31">
        <f>_xlfn.XLOOKUP($F61,'3a-Emissions Inputs'!$B$3:$B$46,'3a-Emissions Inputs'!E$3:E$46)*R61</f>
        <v>0</v>
      </c>
      <c r="Y61" s="31">
        <f>_xlfn.XLOOKUP($F61,'3a-Emissions Inputs'!$B$3:$B$46,'3a-Emissions Inputs'!F$3:F$46)*S61</f>
        <v>0</v>
      </c>
      <c r="AA61" s="31">
        <f t="shared" si="30"/>
        <v>0</v>
      </c>
      <c r="AB61" s="31">
        <f t="shared" si="31"/>
        <v>0</v>
      </c>
      <c r="AC61" s="31">
        <f t="shared" si="32"/>
        <v>0</v>
      </c>
    </row>
    <row r="62" spans="5:29" x14ac:dyDescent="0.25">
      <c r="E62" s="2">
        <f t="shared" ref="E62:F62" si="37">E61+1</f>
        <v>24</v>
      </c>
      <c r="F62" s="2">
        <f t="shared" si="37"/>
        <v>2052</v>
      </c>
      <c r="G62" s="50">
        <f>_xlfn.XLOOKUP(F62,'6-Traffic Data'!$F$9:$F$48,'6-Traffic Data'!$R$9:$R$48)</f>
        <v>22450162.090690006</v>
      </c>
      <c r="I62" s="110">
        <f t="shared" si="23"/>
        <v>1.034</v>
      </c>
      <c r="J62" s="232">
        <f>SUMIFS('3b-Emissions Factors'!$F$19:$F$50,'3b-Emissions Factors'!$C$19:$C$50,(LEFT($F62,3)&amp;0),'3b-Emissions Factors'!$D$19:$D$50,'14-Emissions'!$E$37,'3b-Emissions Factors'!$E$19:$E$50,J$3)</f>
        <v>5.9989346447119398E-6</v>
      </c>
      <c r="K62" s="232">
        <f>SUMIFS('3b-Emissions Factors'!$F$19:$F$50,'3b-Emissions Factors'!$C$19:$C$50,(LEFT($F62,3)&amp;0),'3b-Emissions Factors'!$D$19:$D$50,'14-Emissions'!$E$37,'3b-Emissions Factors'!$E$19:$E$50,K$3)</f>
        <v>1.42186439202717E-6</v>
      </c>
      <c r="L62" s="232">
        <f>SUMIFS('3b-Emissions Factors'!$F$19:$F$50,'3b-Emissions Factors'!$C$19:$C$50,(LEFT($F62,3)&amp;0),'3b-Emissions Factors'!$D$19:$D$50,'14-Emissions'!$E$37,'3b-Emissions Factors'!$E$19:$E$50,L$3)</f>
        <v>2.5733014803686201E-6</v>
      </c>
      <c r="M62" s="232">
        <f>SUMIFS('3b-Emissions Factors'!$F$19:$F$50,'3b-Emissions Factors'!$C$19:$C$50,(LEFT($F62,3)&amp;0),'3b-Emissions Factors'!$D$19:$D$50,'14-Emissions'!$E$37,'3b-Emissions Factors'!$E$19:$E$50,M$3)</f>
        <v>0.22068116289112</v>
      </c>
      <c r="O62" s="50">
        <f t="shared" si="24"/>
        <v>10.214823751263951</v>
      </c>
      <c r="P62" s="50">
        <f t="shared" si="25"/>
        <v>8.8154275403006572</v>
      </c>
      <c r="Q62" s="50">
        <f t="shared" si="26"/>
        <v>4.6888221105521273E-2</v>
      </c>
      <c r="R62" s="50">
        <f t="shared" si="27"/>
        <v>0.14455957123344529</v>
      </c>
      <c r="S62" s="50">
        <f t="shared" si="28"/>
        <v>7201.3253675263149</v>
      </c>
      <c r="U62" s="31">
        <f t="shared" si="29"/>
        <v>336104.45216624258</v>
      </c>
      <c r="V62" s="31">
        <f>_xlfn.XLOOKUP($F62,'3a-Emissions Inputs'!$B$3:$B$46,'3a-Emissions Inputs'!C$3:C$46)*P62</f>
        <v>193939.40588661446</v>
      </c>
      <c r="W62" s="31">
        <f>_xlfn.XLOOKUP($F62,'3a-Emissions Inputs'!$B$3:$B$46,'3a-Emissions Inputs'!D$3:D$46)*Q62</f>
        <v>2883.6255979895582</v>
      </c>
      <c r="X62" s="31">
        <f>_xlfn.XLOOKUP($F62,'3a-Emissions Inputs'!$B$3:$B$46,'3a-Emissions Inputs'!E$3:E$46)*R62</f>
        <v>154534.181648553</v>
      </c>
      <c r="Y62" s="31">
        <f>_xlfn.XLOOKUP($F62,'3a-Emissions Inputs'!$B$3:$B$46,'3a-Emissions Inputs'!F$3:F$46)*S62</f>
        <v>2542067.8547367891</v>
      </c>
      <c r="AA62" s="31">
        <f t="shared" si="30"/>
        <v>275098.69312580361</v>
      </c>
      <c r="AB62" s="31">
        <f t="shared" si="31"/>
        <v>1403401.660411797</v>
      </c>
      <c r="AC62" s="31">
        <f t="shared" si="32"/>
        <v>1678500.3535376005</v>
      </c>
    </row>
    <row r="63" spans="5:29" x14ac:dyDescent="0.25">
      <c r="E63" s="2">
        <f t="shared" ref="E63:F63" si="38">E62+1</f>
        <v>25</v>
      </c>
      <c r="F63" s="2">
        <f t="shared" si="38"/>
        <v>2053</v>
      </c>
      <c r="G63" s="50">
        <f>_xlfn.XLOOKUP(F63,'6-Traffic Data'!$F$9:$F$48,'6-Traffic Data'!$R$9:$R$48)</f>
        <v>22984021.200179935</v>
      </c>
      <c r="I63" s="110">
        <f t="shared" si="23"/>
        <v>1.034</v>
      </c>
      <c r="J63" s="232">
        <f>SUMIFS('3b-Emissions Factors'!$F$19:$F$50,'3b-Emissions Factors'!$C$19:$C$50,(LEFT($F63,3)&amp;0),'3b-Emissions Factors'!$D$19:$D$50,'14-Emissions'!$E$37,'3b-Emissions Factors'!$E$19:$E$50,J$3)</f>
        <v>5.9989346447119398E-6</v>
      </c>
      <c r="K63" s="232">
        <f>SUMIFS('3b-Emissions Factors'!$F$19:$F$50,'3b-Emissions Factors'!$C$19:$C$50,(LEFT($F63,3)&amp;0),'3b-Emissions Factors'!$D$19:$D$50,'14-Emissions'!$E$37,'3b-Emissions Factors'!$E$19:$E$50,K$3)</f>
        <v>1.42186439202717E-6</v>
      </c>
      <c r="L63" s="232">
        <f>SUMIFS('3b-Emissions Factors'!$F$19:$F$50,'3b-Emissions Factors'!$C$19:$C$50,(LEFT($F63,3)&amp;0),'3b-Emissions Factors'!$D$19:$D$50,'14-Emissions'!$E$37,'3b-Emissions Factors'!$E$19:$E$50,L$3)</f>
        <v>2.5733014803686201E-6</v>
      </c>
      <c r="M63" s="232">
        <f>SUMIFS('3b-Emissions Factors'!$F$19:$F$50,'3b-Emissions Factors'!$C$19:$C$50,(LEFT($F63,3)&amp;0),'3b-Emissions Factors'!$D$19:$D$50,'14-Emissions'!$E$37,'3b-Emissions Factors'!$E$19:$E$50,M$3)</f>
        <v>0.22068116289112</v>
      </c>
      <c r="O63" s="50">
        <f t="shared" si="24"/>
        <v>10.457729646081871</v>
      </c>
      <c r="P63" s="50">
        <f t="shared" si="25"/>
        <v>9.02505615132924</v>
      </c>
      <c r="Q63" s="50">
        <f t="shared" si="26"/>
        <v>4.8003211004651707E-2</v>
      </c>
      <c r="R63" s="50">
        <f t="shared" si="27"/>
        <v>0.14799716084438785</v>
      </c>
      <c r="S63" s="50">
        <f t="shared" si="28"/>
        <v>7372.5710419372417</v>
      </c>
      <c r="U63" s="31">
        <f t="shared" si="29"/>
        <v>344096.93002917449</v>
      </c>
      <c r="V63" s="31">
        <f>_xlfn.XLOOKUP($F63,'3a-Emissions Inputs'!$B$3:$B$46,'3a-Emissions Inputs'!C$3:C$46)*P63</f>
        <v>198551.23532924327</v>
      </c>
      <c r="W63" s="31">
        <f>_xlfn.XLOOKUP($F63,'3a-Emissions Inputs'!$B$3:$B$46,'3a-Emissions Inputs'!D$3:D$46)*Q63</f>
        <v>2952.1974767860797</v>
      </c>
      <c r="X63" s="31">
        <f>_xlfn.XLOOKUP($F63,'3a-Emissions Inputs'!$B$3:$B$46,'3a-Emissions Inputs'!E$3:E$46)*R63</f>
        <v>158208.96494265061</v>
      </c>
      <c r="Y63" s="31">
        <f>_xlfn.XLOOKUP($F63,'3a-Emissions Inputs'!$B$3:$B$46,'3a-Emissions Inputs'!F$3:F$46)*S63</f>
        <v>2632007.8619715953</v>
      </c>
      <c r="AA63" s="31">
        <f t="shared" si="30"/>
        <v>273172.13351135753</v>
      </c>
      <c r="AB63" s="31">
        <f t="shared" si="31"/>
        <v>1424563.6472164476</v>
      </c>
      <c r="AC63" s="31">
        <f t="shared" si="32"/>
        <v>1697735.7807278051</v>
      </c>
    </row>
    <row r="64" spans="5:29" x14ac:dyDescent="0.25">
      <c r="E64" s="2">
        <f t="shared" ref="E64:F64" si="39">E63+1</f>
        <v>26</v>
      </c>
      <c r="F64" s="2">
        <f t="shared" si="39"/>
        <v>2054</v>
      </c>
      <c r="G64" s="50">
        <f>_xlfn.XLOOKUP(F64,'6-Traffic Data'!$F$9:$F$48,'6-Traffic Data'!$R$9:$R$48)</f>
        <v>23530575.342678264</v>
      </c>
      <c r="I64" s="110">
        <f t="shared" si="23"/>
        <v>1.034</v>
      </c>
      <c r="J64" s="232">
        <f>SUMIFS('3b-Emissions Factors'!$F$19:$F$50,'3b-Emissions Factors'!$C$19:$C$50,(LEFT($F64,3)&amp;0),'3b-Emissions Factors'!$D$19:$D$50,'14-Emissions'!$E$37,'3b-Emissions Factors'!$E$19:$E$50,J$3)</f>
        <v>5.9989346447119398E-6</v>
      </c>
      <c r="K64" s="232">
        <f>SUMIFS('3b-Emissions Factors'!$F$19:$F$50,'3b-Emissions Factors'!$C$19:$C$50,(LEFT($F64,3)&amp;0),'3b-Emissions Factors'!$D$19:$D$50,'14-Emissions'!$E$37,'3b-Emissions Factors'!$E$19:$E$50,K$3)</f>
        <v>1.42186439202717E-6</v>
      </c>
      <c r="L64" s="232">
        <f>SUMIFS('3b-Emissions Factors'!$F$19:$F$50,'3b-Emissions Factors'!$C$19:$C$50,(LEFT($F64,3)&amp;0),'3b-Emissions Factors'!$D$19:$D$50,'14-Emissions'!$E$37,'3b-Emissions Factors'!$E$19:$E$50,L$3)</f>
        <v>2.5733014803686201E-6</v>
      </c>
      <c r="M64" s="232">
        <f>SUMIFS('3b-Emissions Factors'!$F$19:$F$50,'3b-Emissions Factors'!$C$19:$C$50,(LEFT($F64,3)&amp;0),'3b-Emissions Factors'!$D$19:$D$50,'14-Emissions'!$E$37,'3b-Emissions Factors'!$E$19:$E$50,M$3)</f>
        <v>0.22068116289112</v>
      </c>
      <c r="O64" s="50">
        <f t="shared" si="24"/>
        <v>10.706411780918609</v>
      </c>
      <c r="P64" s="50">
        <f t="shared" si="25"/>
        <v>9.2396696770838371</v>
      </c>
      <c r="Q64" s="50">
        <f t="shared" si="26"/>
        <v>4.9144715078256046E-2</v>
      </c>
      <c r="R64" s="50">
        <f t="shared" si="27"/>
        <v>0.15151649545659485</v>
      </c>
      <c r="S64" s="50">
        <f t="shared" si="28"/>
        <v>7547.8888946636607</v>
      </c>
      <c r="U64" s="31">
        <f t="shared" si="29"/>
        <v>352279.46697040077</v>
      </c>
      <c r="V64" s="31">
        <f>_xlfn.XLOOKUP($F64,'3a-Emissions Inputs'!$B$3:$B$46,'3a-Emissions Inputs'!C$3:C$46)*P64</f>
        <v>203272.73289584441</v>
      </c>
      <c r="W64" s="31">
        <f>_xlfn.XLOOKUP($F64,'3a-Emissions Inputs'!$B$3:$B$46,'3a-Emissions Inputs'!D$3:D$46)*Q64</f>
        <v>3022.3999773127466</v>
      </c>
      <c r="X64" s="31">
        <f>_xlfn.XLOOKUP($F64,'3a-Emissions Inputs'!$B$3:$B$46,'3a-Emissions Inputs'!E$3:E$46)*R64</f>
        <v>161971.13364309989</v>
      </c>
      <c r="Y64" s="31">
        <f>_xlfn.XLOOKUP($F64,'3a-Emissions Inputs'!$B$3:$B$46,'3a-Emissions Inputs'!F$3:F$46)*S64</f>
        <v>2694596.3353949268</v>
      </c>
      <c r="AA64" s="31">
        <f t="shared" si="30"/>
        <v>271259.06589829398</v>
      </c>
      <c r="AB64" s="31">
        <f t="shared" si="31"/>
        <v>1429842.5550975495</v>
      </c>
      <c r="AC64" s="31">
        <f t="shared" si="32"/>
        <v>1701101.6209958433</v>
      </c>
    </row>
    <row r="65" spans="5:29" x14ac:dyDescent="0.25">
      <c r="E65" s="2">
        <f t="shared" ref="E65:F65" si="40">E64+1</f>
        <v>27</v>
      </c>
      <c r="F65" s="2">
        <f t="shared" si="40"/>
        <v>2055</v>
      </c>
      <c r="G65" s="50">
        <f>_xlfn.XLOOKUP(F65,'6-Traffic Data'!$F$9:$F$48,'6-Traffic Data'!$R$9:$R$48)</f>
        <v>24090126.402821269</v>
      </c>
      <c r="I65" s="110">
        <f t="shared" si="23"/>
        <v>1.034</v>
      </c>
      <c r="J65" s="232">
        <f>SUMIFS('3b-Emissions Factors'!$F$19:$F$50,'3b-Emissions Factors'!$C$19:$C$50,(LEFT($F65,3)&amp;0),'3b-Emissions Factors'!$D$19:$D$50,'14-Emissions'!$E$37,'3b-Emissions Factors'!$E$19:$E$50,J$3)</f>
        <v>5.9989346447119398E-6</v>
      </c>
      <c r="K65" s="232">
        <f>SUMIFS('3b-Emissions Factors'!$F$19:$F$50,'3b-Emissions Factors'!$C$19:$C$50,(LEFT($F65,3)&amp;0),'3b-Emissions Factors'!$D$19:$D$50,'14-Emissions'!$E$37,'3b-Emissions Factors'!$E$19:$E$50,K$3)</f>
        <v>1.42186439202717E-6</v>
      </c>
      <c r="L65" s="232">
        <f>SUMIFS('3b-Emissions Factors'!$F$19:$F$50,'3b-Emissions Factors'!$C$19:$C$50,(LEFT($F65,3)&amp;0),'3b-Emissions Factors'!$D$19:$D$50,'14-Emissions'!$E$37,'3b-Emissions Factors'!$E$19:$E$50,L$3)</f>
        <v>2.5733014803686201E-6</v>
      </c>
      <c r="M65" s="232">
        <f>SUMIFS('3b-Emissions Factors'!$F$19:$F$50,'3b-Emissions Factors'!$C$19:$C$50,(LEFT($F65,3)&amp;0),'3b-Emissions Factors'!$D$19:$D$50,'14-Emissions'!$E$37,'3b-Emissions Factors'!$E$19:$E$50,M$3)</f>
        <v>0.22068116289112</v>
      </c>
      <c r="O65" s="50">
        <f t="shared" si="24"/>
        <v>10.961007513283677</v>
      </c>
      <c r="P65" s="50">
        <f t="shared" si="25"/>
        <v>9.4593866575609908</v>
      </c>
      <c r="Q65" s="50">
        <f t="shared" si="26"/>
        <v>5.0313363826618274E-2</v>
      </c>
      <c r="R65" s="50">
        <f t="shared" si="27"/>
        <v>0.15511951894527765</v>
      </c>
      <c r="S65" s="50">
        <f t="shared" si="28"/>
        <v>7727.3757610638404</v>
      </c>
      <c r="U65" s="31">
        <f t="shared" si="29"/>
        <v>360656.58254616748</v>
      </c>
      <c r="V65" s="31">
        <f>_xlfn.XLOOKUP($F65,'3a-Emissions Inputs'!$B$3:$B$46,'3a-Emissions Inputs'!C$3:C$46)*P65</f>
        <v>208106.50646634179</v>
      </c>
      <c r="W65" s="31">
        <f>_xlfn.XLOOKUP($F65,'3a-Emissions Inputs'!$B$3:$B$46,'3a-Emissions Inputs'!D$3:D$46)*Q65</f>
        <v>3094.2718753370236</v>
      </c>
      <c r="X65" s="31">
        <f>_xlfn.XLOOKUP($F65,'3a-Emissions Inputs'!$B$3:$B$46,'3a-Emissions Inputs'!E$3:E$46)*R65</f>
        <v>165822.76575250181</v>
      </c>
      <c r="Y65" s="31">
        <f>_xlfn.XLOOKUP($F65,'3a-Emissions Inputs'!$B$3:$B$46,'3a-Emissions Inputs'!F$3:F$46)*S65</f>
        <v>2758673.1466997908</v>
      </c>
      <c r="AA65" s="31">
        <f t="shared" si="30"/>
        <v>269359.39579999569</v>
      </c>
      <c r="AB65" s="31">
        <f t="shared" si="31"/>
        <v>1435141.0246658192</v>
      </c>
      <c r="AC65" s="31">
        <f t="shared" si="32"/>
        <v>1704500.4204658149</v>
      </c>
    </row>
    <row r="66" spans="5:29" x14ac:dyDescent="0.25">
      <c r="E66" s="2">
        <f t="shared" ref="E66:F66" si="41">E65+1</f>
        <v>28</v>
      </c>
      <c r="F66" s="2">
        <f t="shared" si="41"/>
        <v>2056</v>
      </c>
      <c r="G66" s="50">
        <f>_xlfn.XLOOKUP(F66,'6-Traffic Data'!$F$9:$F$48,'6-Traffic Data'!$R$9:$R$48)</f>
        <v>24662983.443984602</v>
      </c>
      <c r="I66" s="110">
        <f t="shared" si="23"/>
        <v>1.034</v>
      </c>
      <c r="J66" s="232">
        <f>SUMIFS('3b-Emissions Factors'!$F$19:$F$50,'3b-Emissions Factors'!$C$19:$C$50,(LEFT($F66,3)&amp;0),'3b-Emissions Factors'!$D$19:$D$50,'14-Emissions'!$E$37,'3b-Emissions Factors'!$E$19:$E$50,J$3)</f>
        <v>5.9989346447119398E-6</v>
      </c>
      <c r="K66" s="232">
        <f>SUMIFS('3b-Emissions Factors'!$F$19:$F$50,'3b-Emissions Factors'!$C$19:$C$50,(LEFT($F66,3)&amp;0),'3b-Emissions Factors'!$D$19:$D$50,'14-Emissions'!$E$37,'3b-Emissions Factors'!$E$19:$E$50,K$3)</f>
        <v>1.42186439202717E-6</v>
      </c>
      <c r="L66" s="232">
        <f>SUMIFS('3b-Emissions Factors'!$F$19:$F$50,'3b-Emissions Factors'!$C$19:$C$50,(LEFT($F66,3)&amp;0),'3b-Emissions Factors'!$D$19:$D$50,'14-Emissions'!$E$37,'3b-Emissions Factors'!$E$19:$E$50,L$3)</f>
        <v>2.5733014803686201E-6</v>
      </c>
      <c r="M66" s="232">
        <f>SUMIFS('3b-Emissions Factors'!$F$19:$F$50,'3b-Emissions Factors'!$C$19:$C$50,(LEFT($F66,3)&amp;0),'3b-Emissions Factors'!$D$19:$D$50,'14-Emissions'!$E$37,'3b-Emissions Factors'!$E$19:$E$50,M$3)</f>
        <v>0.22068116289112</v>
      </c>
      <c r="O66" s="50">
        <f t="shared" si="24"/>
        <v>11.221657467012994</v>
      </c>
      <c r="P66" s="50">
        <f t="shared" si="25"/>
        <v>9.6843284516080193</v>
      </c>
      <c r="Q66" s="50">
        <f t="shared" si="26"/>
        <v>5.1509802743157765E-2</v>
      </c>
      <c r="R66" s="50">
        <f t="shared" si="27"/>
        <v>0.15880822141050274</v>
      </c>
      <c r="S66" s="50">
        <f t="shared" si="28"/>
        <v>7911.1307792160851</v>
      </c>
      <c r="U66" s="31">
        <f t="shared" si="29"/>
        <v>369232.90378661064</v>
      </c>
      <c r="V66" s="31">
        <f>_xlfn.XLOOKUP($F66,'3a-Emissions Inputs'!$B$3:$B$46,'3a-Emissions Inputs'!C$3:C$46)*P66</f>
        <v>213055.22593537642</v>
      </c>
      <c r="W66" s="31">
        <f>_xlfn.XLOOKUP($F66,'3a-Emissions Inputs'!$B$3:$B$46,'3a-Emissions Inputs'!D$3:D$46)*Q66</f>
        <v>3167.8528687042026</v>
      </c>
      <c r="X66" s="31">
        <f>_xlfn.XLOOKUP($F66,'3a-Emissions Inputs'!$B$3:$B$46,'3a-Emissions Inputs'!E$3:E$46)*R66</f>
        <v>169765.98868782743</v>
      </c>
      <c r="Y66" s="31">
        <f>_xlfn.XLOOKUP($F66,'3a-Emissions Inputs'!$B$3:$B$46,'3a-Emissions Inputs'!F$3:F$46)*S66</f>
        <v>2824273.6881801425</v>
      </c>
      <c r="AA66" s="31">
        <f t="shared" si="30"/>
        <v>267473.02939154976</v>
      </c>
      <c r="AB66" s="31">
        <f t="shared" si="31"/>
        <v>1440459.1284096604</v>
      </c>
      <c r="AC66" s="31">
        <f t="shared" si="32"/>
        <v>1707932.1578012102</v>
      </c>
    </row>
    <row r="67" spans="5:29" x14ac:dyDescent="0.25">
      <c r="E67" s="2">
        <f t="shared" ref="E67:F67" si="42">E66+1</f>
        <v>29</v>
      </c>
      <c r="F67" s="2">
        <f t="shared" si="42"/>
        <v>2057</v>
      </c>
      <c r="G67" s="50">
        <f>_xlfn.XLOOKUP(F67,'6-Traffic Data'!$F$9:$F$48,'6-Traffic Data'!$R$9:$R$48)</f>
        <v>25249462.878991913</v>
      </c>
      <c r="I67" s="110">
        <f t="shared" si="23"/>
        <v>1.034</v>
      </c>
      <c r="J67" s="232">
        <f>SUMIFS('3b-Emissions Factors'!$F$19:$F$50,'3b-Emissions Factors'!$C$19:$C$50,(LEFT($F67,3)&amp;0),'3b-Emissions Factors'!$D$19:$D$50,'14-Emissions'!$E$37,'3b-Emissions Factors'!$E$19:$E$50,J$3)</f>
        <v>5.9989346447119398E-6</v>
      </c>
      <c r="K67" s="232">
        <f>SUMIFS('3b-Emissions Factors'!$F$19:$F$50,'3b-Emissions Factors'!$C$19:$C$50,(LEFT($F67,3)&amp;0),'3b-Emissions Factors'!$D$19:$D$50,'14-Emissions'!$E$37,'3b-Emissions Factors'!$E$19:$E$50,K$3)</f>
        <v>1.42186439202717E-6</v>
      </c>
      <c r="L67" s="232">
        <f>SUMIFS('3b-Emissions Factors'!$F$19:$F$50,'3b-Emissions Factors'!$C$19:$C$50,(LEFT($F67,3)&amp;0),'3b-Emissions Factors'!$D$19:$D$50,'14-Emissions'!$E$37,'3b-Emissions Factors'!$E$19:$E$50,L$3)</f>
        <v>2.5733014803686201E-6</v>
      </c>
      <c r="M67" s="232">
        <f>SUMIFS('3b-Emissions Factors'!$F$19:$F$50,'3b-Emissions Factors'!$C$19:$C$50,(LEFT($F67,3)&amp;0),'3b-Emissions Factors'!$D$19:$D$50,'14-Emissions'!$E$37,'3b-Emissions Factors'!$E$19:$E$50,M$3)</f>
        <v>0.22068116289112</v>
      </c>
      <c r="O67" s="50">
        <f t="shared" si="24"/>
        <v>11.488505609941321</v>
      </c>
      <c r="P67" s="50">
        <f t="shared" si="25"/>
        <v>9.9146193039545789</v>
      </c>
      <c r="Q67" s="50">
        <f t="shared" si="26"/>
        <v>5.2734692670962244E-2</v>
      </c>
      <c r="R67" s="50">
        <f t="shared" si="27"/>
        <v>0.16258464027640701</v>
      </c>
      <c r="S67" s="50">
        <f t="shared" si="28"/>
        <v>8099.2554446768345</v>
      </c>
      <c r="U67" s="31">
        <f t="shared" si="29"/>
        <v>378013.1677514594</v>
      </c>
      <c r="V67" s="31">
        <f>_xlfn.XLOOKUP($F67,'3a-Emissions Inputs'!$B$3:$B$46,'3a-Emissions Inputs'!C$3:C$46)*P67</f>
        <v>218121.62468700073</v>
      </c>
      <c r="W67" s="31">
        <f>_xlfn.XLOOKUP($F67,'3a-Emissions Inputs'!$B$3:$B$46,'3a-Emissions Inputs'!D$3:D$46)*Q67</f>
        <v>3243.1835992641782</v>
      </c>
      <c r="X67" s="31">
        <f>_xlfn.XLOOKUP($F67,'3a-Emissions Inputs'!$B$3:$B$46,'3a-Emissions Inputs'!E$3:E$46)*R67</f>
        <v>173802.98045547909</v>
      </c>
      <c r="Y67" s="31">
        <f>_xlfn.XLOOKUP($F67,'3a-Emissions Inputs'!$B$3:$B$46,'3a-Emissions Inputs'!F$3:F$46)*S67</f>
        <v>2891434.1937496299</v>
      </c>
      <c r="AA67" s="31">
        <f t="shared" si="30"/>
        <v>265599.87350511429</v>
      </c>
      <c r="AB67" s="31">
        <f t="shared" si="31"/>
        <v>1445796.9390860915</v>
      </c>
      <c r="AC67" s="31">
        <f t="shared" si="32"/>
        <v>1711396.8125912058</v>
      </c>
    </row>
    <row r="68" spans="5:29" x14ac:dyDescent="0.25">
      <c r="E68" s="2">
        <f t="shared" ref="E68:F68" si="43">E67+1</f>
        <v>30</v>
      </c>
      <c r="F68" s="2">
        <f t="shared" si="43"/>
        <v>2058</v>
      </c>
      <c r="G68" s="50">
        <f>_xlfn.XLOOKUP(F68,'6-Traffic Data'!$F$9:$F$48,'6-Traffic Data'!$R$9:$R$48)</f>
        <v>12924944.32244141</v>
      </c>
      <c r="I68" s="110">
        <f t="shared" si="23"/>
        <v>1.034</v>
      </c>
      <c r="J68" s="232">
        <f>SUMIFS('3b-Emissions Factors'!$F$19:$F$50,'3b-Emissions Factors'!$C$19:$C$50,(LEFT($F68,3)&amp;0),'3b-Emissions Factors'!$D$19:$D$50,'14-Emissions'!$E$37,'3b-Emissions Factors'!$E$19:$E$50,J$3)</f>
        <v>5.9989346447119398E-6</v>
      </c>
      <c r="K68" s="232">
        <f>SUMIFS('3b-Emissions Factors'!$F$19:$F$50,'3b-Emissions Factors'!$C$19:$C$50,(LEFT($F68,3)&amp;0),'3b-Emissions Factors'!$D$19:$D$50,'14-Emissions'!$E$37,'3b-Emissions Factors'!$E$19:$E$50,K$3)</f>
        <v>1.42186439202717E-6</v>
      </c>
      <c r="L68" s="232">
        <f>SUMIFS('3b-Emissions Factors'!$F$19:$F$50,'3b-Emissions Factors'!$C$19:$C$50,(LEFT($F68,3)&amp;0),'3b-Emissions Factors'!$D$19:$D$50,'14-Emissions'!$E$37,'3b-Emissions Factors'!$E$19:$E$50,L$3)</f>
        <v>2.5733014803686201E-6</v>
      </c>
      <c r="M68" s="232">
        <f>SUMIFS('3b-Emissions Factors'!$F$19:$F$50,'3b-Emissions Factors'!$C$19:$C$50,(LEFT($F68,3)&amp;0),'3b-Emissions Factors'!$D$19:$D$50,'14-Emissions'!$E$37,'3b-Emissions Factors'!$E$19:$E$50,M$3)</f>
        <v>0.22068116289112</v>
      </c>
      <c r="O68" s="50">
        <f t="shared" si="24"/>
        <v>5.8808496667108416</v>
      </c>
      <c r="P68" s="50">
        <f t="shared" si="25"/>
        <v>5.0751932069191001</v>
      </c>
      <c r="Q68" s="50">
        <f t="shared" si="26"/>
        <v>2.6994355083899458E-2</v>
      </c>
      <c r="R68" s="50">
        <f t="shared" si="27"/>
        <v>8.3225430708275885E-2</v>
      </c>
      <c r="S68" s="50">
        <f t="shared" si="28"/>
        <v>4145.9268332704423</v>
      </c>
      <c r="U68" s="31">
        <f t="shared" si="29"/>
        <v>193501.11207325547</v>
      </c>
      <c r="V68" s="31">
        <f>_xlfn.XLOOKUP($F68,'3a-Emissions Inputs'!$B$3:$B$46,'3a-Emissions Inputs'!C$3:C$46)*P68</f>
        <v>111654.2505522202</v>
      </c>
      <c r="W68" s="31">
        <f>_xlfn.XLOOKUP($F68,'3a-Emissions Inputs'!$B$3:$B$46,'3a-Emissions Inputs'!D$3:D$46)*Q68</f>
        <v>1660.1528376598167</v>
      </c>
      <c r="X68" s="31">
        <f>_xlfn.XLOOKUP($F68,'3a-Emissions Inputs'!$B$3:$B$46,'3a-Emissions Inputs'!E$3:E$46)*R68</f>
        <v>88967.985427146923</v>
      </c>
      <c r="Y68" s="31">
        <f>_xlfn.XLOOKUP($F68,'3a-Emissions Inputs'!$B$3:$B$46,'3a-Emissions Inputs'!F$3:F$46)*S68</f>
        <v>1480095.8794775479</v>
      </c>
      <c r="AA68" s="31">
        <f t="shared" si="30"/>
        <v>131869.9178126581</v>
      </c>
      <c r="AB68" s="31">
        <f t="shared" si="31"/>
        <v>725577.26486087113</v>
      </c>
      <c r="AC68" s="31">
        <f t="shared" si="32"/>
        <v>857447.18267352926</v>
      </c>
    </row>
    <row r="69" spans="5:29" x14ac:dyDescent="0.25">
      <c r="G69" s="56" t="s">
        <v>156</v>
      </c>
      <c r="I69" s="63"/>
      <c r="J69" s="63"/>
      <c r="K69" s="63"/>
      <c r="L69" s="63"/>
      <c r="M69" s="63"/>
      <c r="O69" s="63">
        <f>SUM(O39:O68)</f>
        <v>70.930985435213273</v>
      </c>
      <c r="P69" s="63">
        <f t="shared" ref="P69:S69" si="44">SUM(P39:P68)</f>
        <v>61.21368098875643</v>
      </c>
      <c r="Q69" s="63">
        <f t="shared" si="44"/>
        <v>0.3255883615130668</v>
      </c>
      <c r="R69" s="63">
        <f t="shared" si="44"/>
        <v>1.0038110388748913</v>
      </c>
      <c r="S69" s="63">
        <f t="shared" si="44"/>
        <v>50005.474122354426</v>
      </c>
      <c r="U69" s="57">
        <f>SUM(U39:U68)</f>
        <v>2333884.6153233107</v>
      </c>
      <c r="V69" s="57">
        <f t="shared" ref="V69:Y69" si="45">SUM(V39:V68)</f>
        <v>1346700.9817526413</v>
      </c>
      <c r="W69" s="57">
        <f t="shared" si="45"/>
        <v>20023.684233053606</v>
      </c>
      <c r="X69" s="57">
        <f t="shared" si="45"/>
        <v>1073074.000557259</v>
      </c>
      <c r="Y69" s="57">
        <f t="shared" si="45"/>
        <v>17823148.960210424</v>
      </c>
      <c r="AA69" s="57">
        <f t="shared" ref="AA69:AC69" si="46">SUM(AA39:AA68)</f>
        <v>1753832.109044773</v>
      </c>
      <c r="AB69" s="57">
        <f t="shared" si="46"/>
        <v>9304782.2197482362</v>
      </c>
      <c r="AC69" s="57">
        <f t="shared" si="46"/>
        <v>11058614.32879301</v>
      </c>
    </row>
    <row r="71" spans="5:29" x14ac:dyDescent="0.25">
      <c r="Y71" s="241" t="s">
        <v>668</v>
      </c>
      <c r="AA71" s="31">
        <f>AA69+AA35</f>
        <v>51533141.243100569</v>
      </c>
      <c r="AB71" s="31">
        <f t="shared" ref="AB71:AC71" si="47">AB69+AB35</f>
        <v>87982554.787081689</v>
      </c>
      <c r="AC71" s="31">
        <f t="shared" si="47"/>
        <v>139515696.03018227</v>
      </c>
    </row>
  </sheetData>
  <sheetProtection algorithmName="SHA-512" hashValue="gp8QLWdHRRhGJ4/OiOEokE2BKzhnLAZ20a+07mejw+f/TrYTN7NjGeTdc+6xm5DZzfvdvFqVnfFKzOCiVzKYaQ==" saltValue="TQbYBZvjQKya7Z1r87UvLA==" spinCount="100000" sheet="1" objects="1" scenarios="1"/>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BF25-DC35-4DD5-B9B4-A4FBEFEF6410}">
  <sheetPr>
    <tabColor theme="3" tint="0.89999084444715716"/>
  </sheetPr>
  <dimension ref="B2:M45"/>
  <sheetViews>
    <sheetView topLeftCell="A8" zoomScale="90" zoomScaleNormal="90" workbookViewId="0">
      <selection activeCell="C37" sqref="C37"/>
    </sheetView>
  </sheetViews>
  <sheetFormatPr defaultRowHeight="14.25" x14ac:dyDescent="0.2"/>
  <cols>
    <col min="2" max="2" width="14.375" customWidth="1"/>
    <col min="3" max="3" width="22.375" customWidth="1"/>
    <col min="4" max="4" width="34.875" customWidth="1"/>
    <col min="5" max="5" width="9.125" customWidth="1"/>
    <col min="11" max="11" width="14" customWidth="1"/>
    <col min="12" max="12" width="13" customWidth="1"/>
    <col min="13" max="13" width="14.375" customWidth="1"/>
  </cols>
  <sheetData>
    <row r="2" spans="2:13" ht="15" x14ac:dyDescent="0.25">
      <c r="B2" s="47" t="s">
        <v>157</v>
      </c>
      <c r="C2" s="47" t="s">
        <v>34</v>
      </c>
    </row>
    <row r="3" spans="2:13" ht="27" x14ac:dyDescent="0.25">
      <c r="B3" s="5" t="str">
        <f>'3-Inputs'!B4</f>
        <v>Discount Rate</v>
      </c>
      <c r="C3" s="48">
        <f>'3-Inputs'!C4</f>
        <v>3.1E-2</v>
      </c>
      <c r="I3" s="49" t="s">
        <v>178</v>
      </c>
      <c r="J3" s="49" t="s">
        <v>174</v>
      </c>
      <c r="K3" s="79" t="s">
        <v>262</v>
      </c>
      <c r="L3" s="80" t="s">
        <v>263</v>
      </c>
      <c r="M3" s="80" t="s">
        <v>264</v>
      </c>
    </row>
    <row r="4" spans="2:13" ht="15" x14ac:dyDescent="0.25">
      <c r="B4" s="5" t="str">
        <f>'3-Inputs'!B6</f>
        <v>Discount Year</v>
      </c>
      <c r="C4" s="5">
        <f>'3-Inputs'!C6</f>
        <v>2022</v>
      </c>
      <c r="I4" s="2">
        <v>1</v>
      </c>
      <c r="J4" s="2">
        <f>$C$7</f>
        <v>2029</v>
      </c>
      <c r="K4" s="81">
        <f t="shared" ref="K4:K33" si="0">IF(J4=$C$9,$C$45-$C$44,IF(J4&gt;$C$9,K3*(1+$D$30),0))</f>
        <v>0</v>
      </c>
      <c r="L4" s="31">
        <f>$K4*$C$35*$C$8</f>
        <v>0</v>
      </c>
      <c r="M4" s="31">
        <f t="shared" ref="M4:M32" si="1">L4/((1+$C$3)^($J4-$C$4))</f>
        <v>0</v>
      </c>
    </row>
    <row r="5" spans="2:13" ht="15" x14ac:dyDescent="0.25">
      <c r="B5" s="5" t="str">
        <f>'3-Inputs'!B78</f>
        <v>Cardiac arrest per population per 100,000</v>
      </c>
      <c r="C5" s="5">
        <f>'3-Inputs'!C78</f>
        <v>58.5</v>
      </c>
      <c r="I5" s="2">
        <f>I4+1</f>
        <v>2</v>
      </c>
      <c r="J5" s="2">
        <f>J4+1</f>
        <v>2030</v>
      </c>
      <c r="K5" s="81">
        <f t="shared" si="0"/>
        <v>0</v>
      </c>
      <c r="L5" s="31">
        <f t="shared" ref="L5:L32" si="2">$K5*$C$35</f>
        <v>0</v>
      </c>
      <c r="M5" s="31">
        <f t="shared" si="1"/>
        <v>0</v>
      </c>
    </row>
    <row r="6" spans="2:13" ht="15" x14ac:dyDescent="0.25">
      <c r="B6" s="5" t="str">
        <f>'3-Inputs'!B24</f>
        <v>Million multiplier</v>
      </c>
      <c r="C6" s="5">
        <f>'3-Inputs'!C24</f>
        <v>1000000</v>
      </c>
      <c r="I6" s="2">
        <f t="shared" ref="I6:J21" si="3">I5+1</f>
        <v>3</v>
      </c>
      <c r="J6" s="2">
        <f t="shared" si="3"/>
        <v>2031</v>
      </c>
      <c r="K6" s="81">
        <f t="shared" si="0"/>
        <v>0</v>
      </c>
      <c r="L6" s="31">
        <f t="shared" si="2"/>
        <v>0</v>
      </c>
      <c r="M6" s="31">
        <f t="shared" si="1"/>
        <v>0</v>
      </c>
    </row>
    <row r="7" spans="2:13" ht="15" x14ac:dyDescent="0.25">
      <c r="B7" s="5" t="str">
        <f>'3-Inputs'!B9</f>
        <v>Project Start Year</v>
      </c>
      <c r="C7" s="5">
        <f>'3-Inputs'!C9</f>
        <v>2029</v>
      </c>
      <c r="I7" s="2">
        <f t="shared" si="3"/>
        <v>4</v>
      </c>
      <c r="J7" s="2">
        <f t="shared" si="3"/>
        <v>2032</v>
      </c>
      <c r="K7" s="81">
        <f t="shared" si="0"/>
        <v>0</v>
      </c>
      <c r="L7" s="31">
        <f t="shared" si="2"/>
        <v>0</v>
      </c>
      <c r="M7" s="31">
        <f t="shared" si="1"/>
        <v>0</v>
      </c>
    </row>
    <row r="8" spans="2:13" ht="15" x14ac:dyDescent="0.25">
      <c r="B8" s="5" t="str">
        <f>'3-Inputs'!B14</f>
        <v>Half Year Benefits</v>
      </c>
      <c r="C8" s="5">
        <f>'3-Inputs'!C14</f>
        <v>0.5</v>
      </c>
      <c r="I8" s="2">
        <f t="shared" si="3"/>
        <v>5</v>
      </c>
      <c r="J8" s="2">
        <f t="shared" si="3"/>
        <v>2033</v>
      </c>
      <c r="K8" s="81">
        <f t="shared" si="0"/>
        <v>0</v>
      </c>
      <c r="L8" s="31">
        <f t="shared" si="2"/>
        <v>0</v>
      </c>
      <c r="M8" s="31">
        <f t="shared" si="1"/>
        <v>0</v>
      </c>
    </row>
    <row r="9" spans="2:13" ht="27" x14ac:dyDescent="0.25">
      <c r="B9" s="114" t="str">
        <f>'3-Inputs'!B18</f>
        <v>Bridge Close Year -- Passenger Vehicles</v>
      </c>
      <c r="C9" s="113">
        <f>'3-Inputs'!C18</f>
        <v>2052</v>
      </c>
      <c r="I9" s="2">
        <f t="shared" si="3"/>
        <v>6</v>
      </c>
      <c r="J9" s="2">
        <f t="shared" si="3"/>
        <v>2034</v>
      </c>
      <c r="K9" s="81">
        <f t="shared" si="0"/>
        <v>0</v>
      </c>
      <c r="L9" s="31">
        <f t="shared" si="2"/>
        <v>0</v>
      </c>
      <c r="M9" s="31">
        <f t="shared" si="1"/>
        <v>0</v>
      </c>
    </row>
    <row r="10" spans="2:13" ht="15" x14ac:dyDescent="0.25">
      <c r="B10" s="5" t="str">
        <f>'3-Inputs'!B77</f>
        <v>Value of Statistical Life (VSL)</v>
      </c>
      <c r="C10" s="58">
        <f>'3-Inputs'!C77</f>
        <v>12500000</v>
      </c>
      <c r="I10" s="2">
        <f t="shared" si="3"/>
        <v>7</v>
      </c>
      <c r="J10" s="2">
        <f t="shared" si="3"/>
        <v>2035</v>
      </c>
      <c r="K10" s="81">
        <f t="shared" si="0"/>
        <v>0</v>
      </c>
      <c r="L10" s="31">
        <f t="shared" si="2"/>
        <v>0</v>
      </c>
      <c r="M10" s="31">
        <f t="shared" si="1"/>
        <v>0</v>
      </c>
    </row>
    <row r="11" spans="2:13" ht="54" x14ac:dyDescent="0.25">
      <c r="B11" s="114" t="str">
        <f>'3-Inputs'!B79</f>
        <v>National Rural Median Response Time for Cardiac Arrest (minutes)</v>
      </c>
      <c r="C11" s="84">
        <f>'3-Inputs'!C79</f>
        <v>8</v>
      </c>
      <c r="I11" s="2">
        <f t="shared" si="3"/>
        <v>8</v>
      </c>
      <c r="J11" s="2">
        <f t="shared" si="3"/>
        <v>2036</v>
      </c>
      <c r="K11" s="81">
        <f t="shared" si="0"/>
        <v>0</v>
      </c>
      <c r="L11" s="31">
        <f t="shared" si="2"/>
        <v>0</v>
      </c>
      <c r="M11" s="31">
        <f t="shared" si="1"/>
        <v>0</v>
      </c>
    </row>
    <row r="12" spans="2:13" ht="15" x14ac:dyDescent="0.25">
      <c r="B12" s="5" t="str">
        <f>'3-Inputs'!B80</f>
        <v>Survival Probability Formula</v>
      </c>
      <c r="C12" s="84" t="str">
        <f>'3-Inputs'!C80</f>
        <v>(1+e^-0.26+0.106(x)+0.139(x))^-1</v>
      </c>
      <c r="I12" s="2">
        <f t="shared" si="3"/>
        <v>9</v>
      </c>
      <c r="J12" s="2">
        <f t="shared" si="3"/>
        <v>2037</v>
      </c>
      <c r="K12" s="81">
        <f t="shared" si="0"/>
        <v>0</v>
      </c>
      <c r="L12" s="31">
        <f t="shared" si="2"/>
        <v>0</v>
      </c>
      <c r="M12" s="31">
        <f t="shared" si="1"/>
        <v>0</v>
      </c>
    </row>
    <row r="13" spans="2:13" ht="15" x14ac:dyDescent="0.25">
      <c r="I13" s="2">
        <f t="shared" si="3"/>
        <v>10</v>
      </c>
      <c r="J13" s="2">
        <f t="shared" si="3"/>
        <v>2038</v>
      </c>
      <c r="K13" s="81">
        <f t="shared" si="0"/>
        <v>0</v>
      </c>
      <c r="L13" s="31">
        <f t="shared" si="2"/>
        <v>0</v>
      </c>
      <c r="M13" s="31">
        <f t="shared" si="1"/>
        <v>0</v>
      </c>
    </row>
    <row r="14" spans="2:13" ht="15" x14ac:dyDescent="0.25">
      <c r="I14" s="2">
        <f t="shared" si="3"/>
        <v>11</v>
      </c>
      <c r="J14" s="2">
        <f t="shared" si="3"/>
        <v>2039</v>
      </c>
      <c r="K14" s="81">
        <f t="shared" si="0"/>
        <v>0</v>
      </c>
      <c r="L14" s="31">
        <f t="shared" si="2"/>
        <v>0</v>
      </c>
      <c r="M14" s="31">
        <f t="shared" si="1"/>
        <v>0</v>
      </c>
    </row>
    <row r="15" spans="2:13" ht="15" x14ac:dyDescent="0.25">
      <c r="I15" s="2">
        <f t="shared" si="3"/>
        <v>12</v>
      </c>
      <c r="J15" s="2">
        <f t="shared" si="3"/>
        <v>2040</v>
      </c>
      <c r="K15" s="81">
        <f t="shared" si="0"/>
        <v>0</v>
      </c>
      <c r="L15" s="31">
        <f t="shared" si="2"/>
        <v>0</v>
      </c>
      <c r="M15" s="31">
        <f t="shared" si="1"/>
        <v>0</v>
      </c>
    </row>
    <row r="16" spans="2:13" ht="15" x14ac:dyDescent="0.25">
      <c r="B16" s="5" t="s">
        <v>265</v>
      </c>
      <c r="I16" s="2">
        <f t="shared" si="3"/>
        <v>13</v>
      </c>
      <c r="J16" s="2">
        <f t="shared" si="3"/>
        <v>2041</v>
      </c>
      <c r="K16" s="81">
        <f t="shared" si="0"/>
        <v>0</v>
      </c>
      <c r="L16" s="31">
        <f t="shared" si="2"/>
        <v>0</v>
      </c>
      <c r="M16" s="31">
        <f t="shared" si="1"/>
        <v>0</v>
      </c>
    </row>
    <row r="17" spans="2:13" ht="15" x14ac:dyDescent="0.25">
      <c r="B17" s="5" t="s">
        <v>266</v>
      </c>
      <c r="I17" s="2">
        <f t="shared" si="3"/>
        <v>14</v>
      </c>
      <c r="J17" s="2">
        <f t="shared" si="3"/>
        <v>2042</v>
      </c>
      <c r="K17" s="81">
        <f t="shared" si="0"/>
        <v>0</v>
      </c>
      <c r="L17" s="31">
        <f t="shared" si="2"/>
        <v>0</v>
      </c>
      <c r="M17" s="31">
        <f t="shared" si="1"/>
        <v>0</v>
      </c>
    </row>
    <row r="18" spans="2:13" ht="15" x14ac:dyDescent="0.25">
      <c r="B18" s="5" t="s">
        <v>267</v>
      </c>
      <c r="I18" s="2">
        <f t="shared" si="3"/>
        <v>15</v>
      </c>
      <c r="J18" s="2">
        <f t="shared" si="3"/>
        <v>2043</v>
      </c>
      <c r="K18" s="81">
        <f t="shared" si="0"/>
        <v>0</v>
      </c>
      <c r="L18" s="31">
        <f t="shared" si="2"/>
        <v>0</v>
      </c>
      <c r="M18" s="31">
        <f t="shared" si="1"/>
        <v>0</v>
      </c>
    </row>
    <row r="19" spans="2:13" ht="15" x14ac:dyDescent="0.25">
      <c r="I19" s="2">
        <f t="shared" si="3"/>
        <v>16</v>
      </c>
      <c r="J19" s="2">
        <f t="shared" si="3"/>
        <v>2044</v>
      </c>
      <c r="K19" s="81">
        <f t="shared" si="0"/>
        <v>0</v>
      </c>
      <c r="L19" s="31">
        <f t="shared" si="2"/>
        <v>0</v>
      </c>
      <c r="M19" s="31">
        <f t="shared" si="1"/>
        <v>0</v>
      </c>
    </row>
    <row r="20" spans="2:13" ht="15" x14ac:dyDescent="0.25">
      <c r="C20" s="5" t="s">
        <v>268</v>
      </c>
      <c r="D20" s="5"/>
      <c r="E20" s="5"/>
      <c r="I20" s="2">
        <f t="shared" si="3"/>
        <v>17</v>
      </c>
      <c r="J20" s="2">
        <f t="shared" si="3"/>
        <v>2045</v>
      </c>
      <c r="K20" s="81">
        <f t="shared" si="0"/>
        <v>0</v>
      </c>
      <c r="L20" s="31">
        <f t="shared" si="2"/>
        <v>0</v>
      </c>
      <c r="M20" s="31">
        <f t="shared" si="1"/>
        <v>0</v>
      </c>
    </row>
    <row r="21" spans="2:13" ht="15" x14ac:dyDescent="0.25">
      <c r="C21" s="5"/>
      <c r="D21" s="5"/>
      <c r="E21" s="5"/>
      <c r="I21" s="2">
        <f t="shared" si="3"/>
        <v>18</v>
      </c>
      <c r="J21" s="2">
        <f t="shared" si="3"/>
        <v>2046</v>
      </c>
      <c r="K21" s="81">
        <f t="shared" si="0"/>
        <v>0</v>
      </c>
      <c r="L21" s="31">
        <f t="shared" si="2"/>
        <v>0</v>
      </c>
      <c r="M21" s="31">
        <f t="shared" si="1"/>
        <v>0</v>
      </c>
    </row>
    <row r="22" spans="2:13" ht="15" x14ac:dyDescent="0.25">
      <c r="C22" s="5" t="s">
        <v>269</v>
      </c>
      <c r="D22" s="5"/>
      <c r="E22" s="5"/>
      <c r="I22" s="2">
        <f t="shared" ref="I22:J23" si="4">I21+1</f>
        <v>19</v>
      </c>
      <c r="J22" s="2">
        <f t="shared" si="4"/>
        <v>2047</v>
      </c>
      <c r="K22" s="81">
        <f t="shared" si="0"/>
        <v>0</v>
      </c>
      <c r="L22" s="31">
        <f t="shared" si="2"/>
        <v>0</v>
      </c>
      <c r="M22" s="31">
        <f t="shared" si="1"/>
        <v>0</v>
      </c>
    </row>
    <row r="23" spans="2:13" ht="15" x14ac:dyDescent="0.25">
      <c r="C23" s="5"/>
      <c r="D23" s="5"/>
      <c r="E23" s="5"/>
      <c r="I23" s="2">
        <f t="shared" si="4"/>
        <v>20</v>
      </c>
      <c r="J23" s="2">
        <f t="shared" si="4"/>
        <v>2048</v>
      </c>
      <c r="K23" s="81">
        <f t="shared" si="0"/>
        <v>0</v>
      </c>
      <c r="L23" s="31">
        <f t="shared" si="2"/>
        <v>0</v>
      </c>
      <c r="M23" s="31">
        <f t="shared" si="1"/>
        <v>0</v>
      </c>
    </row>
    <row r="24" spans="2:13" ht="15" x14ac:dyDescent="0.25">
      <c r="C24" s="5" t="str">
        <f>'3-Inputs'!B81</f>
        <v>Webbers Falls to Sequoyah Hospital (miles)</v>
      </c>
      <c r="D24" s="5">
        <f>'3-Inputs'!C81</f>
        <v>25.4</v>
      </c>
      <c r="E24" s="5"/>
      <c r="I24" s="2">
        <f t="shared" ref="I24:J24" si="5">I23+1</f>
        <v>21</v>
      </c>
      <c r="J24" s="2">
        <f t="shared" si="5"/>
        <v>2049</v>
      </c>
      <c r="K24" s="81">
        <f t="shared" si="0"/>
        <v>0</v>
      </c>
      <c r="L24" s="31">
        <f t="shared" si="2"/>
        <v>0</v>
      </c>
      <c r="M24" s="31">
        <f t="shared" si="1"/>
        <v>0</v>
      </c>
    </row>
    <row r="25" spans="2:13" ht="15" x14ac:dyDescent="0.25">
      <c r="C25" s="5" t="str">
        <f>'3-Inputs'!B82</f>
        <v>Webbers Falls to Saint Francis (miles)</v>
      </c>
      <c r="D25" s="5">
        <f>'3-Inputs'!C82</f>
        <v>31.9</v>
      </c>
      <c r="E25" s="5"/>
      <c r="I25" s="2">
        <f t="shared" ref="I25:J25" si="6">I24+1</f>
        <v>22</v>
      </c>
      <c r="J25" s="2">
        <f t="shared" si="6"/>
        <v>2050</v>
      </c>
      <c r="K25" s="81">
        <f t="shared" si="0"/>
        <v>0</v>
      </c>
      <c r="L25" s="31">
        <f t="shared" si="2"/>
        <v>0</v>
      </c>
      <c r="M25" s="31">
        <f t="shared" si="1"/>
        <v>0</v>
      </c>
    </row>
    <row r="26" spans="2:13" ht="15" x14ac:dyDescent="0.25">
      <c r="C26" s="60">
        <f>D25-D24</f>
        <v>6.5</v>
      </c>
      <c r="D26" s="5" t="s">
        <v>270</v>
      </c>
      <c r="E26" s="5"/>
      <c r="I26" s="2">
        <f t="shared" ref="I26:J26" si="7">I25+1</f>
        <v>23</v>
      </c>
      <c r="J26" s="2">
        <f t="shared" si="7"/>
        <v>2051</v>
      </c>
      <c r="K26" s="81">
        <f t="shared" si="0"/>
        <v>0</v>
      </c>
      <c r="L26" s="31">
        <f t="shared" si="2"/>
        <v>0</v>
      </c>
      <c r="M26" s="31">
        <f t="shared" si="1"/>
        <v>0</v>
      </c>
    </row>
    <row r="27" spans="2:13" ht="15" x14ac:dyDescent="0.25">
      <c r="C27" s="5"/>
      <c r="D27" s="5"/>
      <c r="E27" s="5"/>
      <c r="I27" s="2">
        <f t="shared" ref="I27:J27" si="8">I26+1</f>
        <v>24</v>
      </c>
      <c r="J27" s="2">
        <f t="shared" si="8"/>
        <v>2052</v>
      </c>
      <c r="K27" s="81">
        <f t="shared" si="0"/>
        <v>2.1004106511514284E-3</v>
      </c>
      <c r="L27" s="31">
        <f t="shared" si="2"/>
        <v>26255.133139392856</v>
      </c>
      <c r="M27" s="31">
        <f t="shared" si="1"/>
        <v>10506.408108363887</v>
      </c>
    </row>
    <row r="28" spans="2:13" ht="15" x14ac:dyDescent="0.25">
      <c r="C28" s="5" t="s">
        <v>271</v>
      </c>
      <c r="D28" s="5"/>
      <c r="E28" s="5"/>
      <c r="I28" s="2">
        <f t="shared" ref="I28:J28" si="9">I27+1</f>
        <v>25</v>
      </c>
      <c r="J28" s="2">
        <f t="shared" si="9"/>
        <v>2053</v>
      </c>
      <c r="K28" s="81">
        <f t="shared" si="0"/>
        <v>2.150357878937898E-3</v>
      </c>
      <c r="L28" s="31">
        <f t="shared" si="2"/>
        <v>26879.473486723724</v>
      </c>
      <c r="M28" s="31">
        <f t="shared" si="1"/>
        <v>10432.830072334442</v>
      </c>
    </row>
    <row r="29" spans="2:13" ht="15" x14ac:dyDescent="0.25">
      <c r="C29" s="252" t="str">
        <f>'3-Inputs'!B83</f>
        <v>Webbers Falls Population (2020 Dicennial)</v>
      </c>
      <c r="D29" s="252">
        <f>'3-Inputs'!C83</f>
        <v>338</v>
      </c>
      <c r="E29" s="113">
        <v>2020</v>
      </c>
      <c r="I29" s="2">
        <f t="shared" ref="I29:J29" si="10">I28+1</f>
        <v>26</v>
      </c>
      <c r="J29" s="2">
        <f t="shared" si="10"/>
        <v>2054</v>
      </c>
      <c r="K29" s="81">
        <f t="shared" si="0"/>
        <v>2.2014928390195671E-3</v>
      </c>
      <c r="L29" s="31">
        <f t="shared" si="2"/>
        <v>27518.66048774459</v>
      </c>
      <c r="M29" s="31">
        <f t="shared" si="1"/>
        <v>10359.76731491688</v>
      </c>
    </row>
    <row r="30" spans="2:13" ht="15" x14ac:dyDescent="0.25">
      <c r="C30" s="252" t="s">
        <v>673</v>
      </c>
      <c r="D30" s="253">
        <f>'6-Traffic Data'!F5</f>
        <v>2.3779744098654687E-2</v>
      </c>
      <c r="E30" s="113"/>
      <c r="I30" s="2">
        <f t="shared" ref="I30:J30" si="11">I29+1</f>
        <v>27</v>
      </c>
      <c r="J30" s="2">
        <f t="shared" si="11"/>
        <v>2055</v>
      </c>
      <c r="K30" s="81">
        <f t="shared" si="0"/>
        <v>2.2538437753664734E-3</v>
      </c>
      <c r="L30" s="31">
        <f t="shared" si="2"/>
        <v>28173.047192080918</v>
      </c>
      <c r="M30" s="31">
        <f t="shared" si="1"/>
        <v>10287.21622753367</v>
      </c>
    </row>
    <row r="31" spans="2:13" ht="15" x14ac:dyDescent="0.25">
      <c r="C31" s="130"/>
      <c r="D31" s="252">
        <f>D29*(1+D30)^(E31-E29)</f>
        <v>417.61442722837359</v>
      </c>
      <c r="E31" s="113">
        <f>C7</f>
        <v>2029</v>
      </c>
      <c r="I31" s="2">
        <f t="shared" ref="I31:J33" si="12">I30+1</f>
        <v>28</v>
      </c>
      <c r="J31" s="2">
        <f t="shared" si="12"/>
        <v>2056</v>
      </c>
      <c r="K31" s="81">
        <f t="shared" si="0"/>
        <v>2.3074396035830339E-3</v>
      </c>
      <c r="L31" s="31">
        <f t="shared" si="2"/>
        <v>28842.995044787924</v>
      </c>
      <c r="M31" s="31">
        <f t="shared" si="1"/>
        <v>10215.173226878709</v>
      </c>
    </row>
    <row r="32" spans="2:13" ht="15" x14ac:dyDescent="0.25">
      <c r="C32" s="113"/>
      <c r="D32" s="113"/>
      <c r="E32" s="113"/>
      <c r="I32" s="2">
        <f t="shared" ref="I32:J32" si="13">I31+1</f>
        <v>29</v>
      </c>
      <c r="J32" s="2">
        <f t="shared" si="13"/>
        <v>2057</v>
      </c>
      <c r="K32" s="81">
        <f t="shared" si="0"/>
        <v>2.3623099268793397E-3</v>
      </c>
      <c r="L32" s="31">
        <f t="shared" si="2"/>
        <v>29528.874085991745</v>
      </c>
      <c r="M32" s="31">
        <f t="shared" si="1"/>
        <v>10143.634754740362</v>
      </c>
    </row>
    <row r="33" spans="2:13" ht="15" x14ac:dyDescent="0.25">
      <c r="C33" s="113"/>
      <c r="D33" s="113"/>
      <c r="E33" s="113"/>
      <c r="I33" s="2">
        <f t="shared" si="12"/>
        <v>30</v>
      </c>
      <c r="J33" s="2">
        <f t="shared" si="12"/>
        <v>2058</v>
      </c>
      <c r="K33" s="81">
        <f t="shared" si="0"/>
        <v>2.4184850524222421E-3</v>
      </c>
      <c r="L33" s="31">
        <f>$K33*$C$35*$C$8</f>
        <v>15115.531577639013</v>
      </c>
      <c r="M33" s="31">
        <f t="shared" ref="M33" si="14">L33/((1+$C$3)^($J33-$C$4))</f>
        <v>5036.2986389128555</v>
      </c>
    </row>
    <row r="34" spans="2:13" ht="15" x14ac:dyDescent="0.25">
      <c r="C34" s="113" t="s">
        <v>272</v>
      </c>
      <c r="D34" s="113"/>
      <c r="E34" s="113"/>
      <c r="K34" s="64" t="s">
        <v>156</v>
      </c>
      <c r="L34" s="57">
        <f>SUM(L4:L33)</f>
        <v>182313.71501436082</v>
      </c>
      <c r="M34" s="57">
        <f>SUM(M4:M33)</f>
        <v>66981.328343680798</v>
      </c>
    </row>
    <row r="35" spans="2:13" ht="15" x14ac:dyDescent="0.25">
      <c r="C35" s="254">
        <f>C10</f>
        <v>12500000</v>
      </c>
      <c r="D35" s="113"/>
      <c r="E35" s="113"/>
    </row>
    <row r="36" spans="2:13" ht="15" x14ac:dyDescent="0.25">
      <c r="C36" s="5"/>
      <c r="D36" s="5"/>
      <c r="E36" s="5"/>
    </row>
    <row r="37" spans="2:13" ht="15" x14ac:dyDescent="0.25">
      <c r="C37" s="60">
        <f>D31*C5/C6</f>
        <v>2.4430443992859856E-2</v>
      </c>
      <c r="D37" s="5" t="s">
        <v>273</v>
      </c>
      <c r="E37" s="5"/>
    </row>
    <row r="38" spans="2:13" ht="15" x14ac:dyDescent="0.25">
      <c r="C38" s="77">
        <f>C11</f>
        <v>8</v>
      </c>
      <c r="D38" s="5" t="s">
        <v>464</v>
      </c>
      <c r="E38" s="27"/>
    </row>
    <row r="39" spans="2:13" ht="15" x14ac:dyDescent="0.25">
      <c r="C39" s="85">
        <f>C38+(C26)</f>
        <v>14.5</v>
      </c>
      <c r="D39" s="5" t="s">
        <v>465</v>
      </c>
    </row>
    <row r="41" spans="2:13" ht="15" x14ac:dyDescent="0.25">
      <c r="B41" s="5" t="s">
        <v>274</v>
      </c>
      <c r="C41" s="78">
        <f>(1+EXP(1)^(-0.26+0.106*(C38+1)+0.139*(C38+2)))^(-1)</f>
        <v>0.11066169048677241</v>
      </c>
      <c r="D41" s="5" t="s">
        <v>462</v>
      </c>
      <c r="E41" s="82" t="str">
        <f>C12</f>
        <v>(1+e^-0.26+0.106(x)+0.139(x))^-1</v>
      </c>
    </row>
    <row r="42" spans="2:13" ht="15" x14ac:dyDescent="0.25">
      <c r="B42" s="5"/>
      <c r="C42" s="78">
        <f>(1+EXP(1)^(-0.26+0.106*(C39+1)+0.139*(C39+2)))^(-1)</f>
        <v>2.4686558321130973E-2</v>
      </c>
      <c r="D42" s="5" t="s">
        <v>463</v>
      </c>
    </row>
    <row r="43" spans="2:13" ht="15" x14ac:dyDescent="0.25">
      <c r="B43" s="5"/>
      <c r="C43" s="5"/>
      <c r="D43" s="5"/>
    </row>
    <row r="44" spans="2:13" ht="15" x14ac:dyDescent="0.25">
      <c r="B44" s="5" t="s">
        <v>275</v>
      </c>
      <c r="C44" s="255">
        <f>C37*(1-C41)</f>
        <v>2.1726929761267569E-2</v>
      </c>
      <c r="D44" s="5" t="s">
        <v>462</v>
      </c>
    </row>
    <row r="45" spans="2:13" ht="15" x14ac:dyDescent="0.25">
      <c r="B45" s="5"/>
      <c r="C45" s="255">
        <f>C37*(1-C42)</f>
        <v>2.3827340412418997E-2</v>
      </c>
      <c r="D45" s="5" t="s">
        <v>463</v>
      </c>
      <c r="E45" s="115"/>
    </row>
  </sheetData>
  <sheetProtection algorithmName="SHA-512" hashValue="IhkZzes7Et7etAJ4YvnEtH3IIy/x73v06X3tNh4Merl7jGF1kXDc2NkqHo++w8Oja/lLxaKtA1BGNmPeteOqhA==" saltValue="McgiW8qDv5IZSrY4TJBMDQ==" spinCount="100000" sheet="1" objects="1" scenarios="1"/>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F16E-0EBA-4B58-B01C-2842149C5F51}">
  <sheetPr>
    <tabColor theme="3" tint="0.89999084444715716"/>
  </sheetPr>
  <dimension ref="A1:I10"/>
  <sheetViews>
    <sheetView zoomScaleNormal="100" workbookViewId="0">
      <selection activeCell="G6" sqref="G6"/>
    </sheetView>
  </sheetViews>
  <sheetFormatPr defaultColWidth="9" defaultRowHeight="13.5" x14ac:dyDescent="0.25"/>
  <cols>
    <col min="1" max="1" width="9" style="5"/>
    <col min="2" max="2" width="17.375" style="5" customWidth="1"/>
    <col min="3" max="4" width="9" style="5"/>
    <col min="5" max="7" width="22.625" style="5" customWidth="1"/>
    <col min="8" max="8" width="27.125" style="5" customWidth="1"/>
    <col min="9" max="9" width="17.375" style="5" customWidth="1"/>
    <col min="10" max="16384" width="9" style="5"/>
  </cols>
  <sheetData>
    <row r="1" spans="1:9" ht="15" x14ac:dyDescent="0.25">
      <c r="A1"/>
    </row>
    <row r="2" spans="1:9" x14ac:dyDescent="0.25">
      <c r="B2" s="47" t="s">
        <v>157</v>
      </c>
      <c r="C2" s="47" t="s">
        <v>34</v>
      </c>
      <c r="E2" s="75" t="s">
        <v>276</v>
      </c>
      <c r="F2" s="76" t="s">
        <v>277</v>
      </c>
      <c r="G2" s="76" t="s">
        <v>4</v>
      </c>
      <c r="H2" s="76" t="s">
        <v>278</v>
      </c>
      <c r="I2" s="76" t="s">
        <v>250</v>
      </c>
    </row>
    <row r="3" spans="1:9" x14ac:dyDescent="0.25">
      <c r="B3" s="5" t="str">
        <f>'3-Inputs'!B9</f>
        <v>Project Start Year</v>
      </c>
      <c r="C3" s="5">
        <f>'3-Inputs'!C9</f>
        <v>2029</v>
      </c>
      <c r="E3" s="2" t="s">
        <v>149</v>
      </c>
      <c r="F3" s="256">
        <f>($C$3+$C$4)-$C$3</f>
        <v>30</v>
      </c>
      <c r="G3" s="117">
        <f>'5-Capital Costs'!E80</f>
        <v>428923.69615167478</v>
      </c>
      <c r="H3" s="31">
        <f>($G$3/$C$9)*($C$9-$F$3)</f>
        <v>214461.84807583739</v>
      </c>
      <c r="I3" s="31">
        <f>H3/(1+$C$5)^(($C$3+$C$4)-$C$6)</f>
        <v>69307.371529199838</v>
      </c>
    </row>
    <row r="4" spans="1:9" x14ac:dyDescent="0.25">
      <c r="B4" s="5" t="str">
        <f>'3-Inputs'!B8</f>
        <v>Analysis Period (years)</v>
      </c>
      <c r="C4" s="5">
        <f>'3-Inputs'!C8</f>
        <v>30</v>
      </c>
      <c r="E4" s="2" t="s">
        <v>141</v>
      </c>
      <c r="F4" s="256">
        <f>($C$3+$C$4)-$C$3</f>
        <v>30</v>
      </c>
      <c r="G4" s="117">
        <f>'5-Capital Costs'!D80</f>
        <v>774372.16845182166</v>
      </c>
      <c r="H4" s="31">
        <f>($G$4/$C$8)*($C$8-$F$4)</f>
        <v>387186.08422591083</v>
      </c>
      <c r="I4" s="31">
        <f>H4/(1+$C$5)^(($C$3+$C$4)-$C$6)</f>
        <v>125126.45037401711</v>
      </c>
    </row>
    <row r="5" spans="1:9" x14ac:dyDescent="0.25">
      <c r="B5" s="5" t="str">
        <f>'3-Inputs'!B4</f>
        <v>Discount Rate</v>
      </c>
      <c r="C5" s="48">
        <f>'3-Inputs'!C4</f>
        <v>3.1E-2</v>
      </c>
      <c r="E5" s="2" t="s">
        <v>432</v>
      </c>
      <c r="F5" s="256">
        <f>($C$3+$C$4)-$C$3</f>
        <v>30</v>
      </c>
      <c r="G5" s="117">
        <f>'5-Capital Costs'!F80</f>
        <v>68139584.50483577</v>
      </c>
      <c r="H5" s="31">
        <f>($G$5/$C$10)*($C$10-$F$5)</f>
        <v>40883750.702901468</v>
      </c>
      <c r="I5" s="31">
        <f>H5/(1+$C$5)^(($C$3+$C$4)-$C$6)</f>
        <v>13212351.403738659</v>
      </c>
    </row>
    <row r="6" spans="1:9" x14ac:dyDescent="0.25">
      <c r="B6" s="5" t="str">
        <f>'3-Inputs'!B6</f>
        <v>Discount Year</v>
      </c>
      <c r="C6" s="5">
        <f>'3-Inputs'!C6</f>
        <v>2022</v>
      </c>
      <c r="G6" s="64" t="s">
        <v>156</v>
      </c>
      <c r="H6" s="57">
        <f>H5+H3+H4</f>
        <v>41485398.635203212</v>
      </c>
      <c r="I6" s="57">
        <f>I5+I3+I4</f>
        <v>13406785.225641875</v>
      </c>
    </row>
    <row r="7" spans="1:9" x14ac:dyDescent="0.25">
      <c r="B7" s="5" t="s">
        <v>279</v>
      </c>
    </row>
    <row r="8" spans="1:9" x14ac:dyDescent="0.25">
      <c r="B8" s="5" t="str">
        <f>'3-Inputs'!B71</f>
        <v>Roadway useful life (years)</v>
      </c>
      <c r="C8" s="5">
        <f>'3-Inputs'!C71</f>
        <v>60</v>
      </c>
    </row>
    <row r="9" spans="1:9" x14ac:dyDescent="0.25">
      <c r="B9" s="5" t="str">
        <f>'3-Inputs'!B72</f>
        <v>Utilities useful life (years)</v>
      </c>
      <c r="C9" s="5">
        <f>'3-Inputs'!C72</f>
        <v>60</v>
      </c>
    </row>
    <row r="10" spans="1:9" x14ac:dyDescent="0.25">
      <c r="B10" s="5" t="str">
        <f>'3-Inputs'!B73</f>
        <v>Bridges useful life (years)</v>
      </c>
      <c r="C10" s="5">
        <f>'3-Inputs'!C73</f>
        <v>75</v>
      </c>
    </row>
  </sheetData>
  <sheetProtection algorithmName="SHA-512" hashValue="fZOfxXjtKM800YrRISBy53xntIYQy4P9cHC4QqYub81sWGa1XKlY4ebzJEcuc8r4DX+XMqnSjowH82MkxD0U5Q==" saltValue="Ox+/jcn91sX7sGpQTnMVC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2A77-990D-4BD7-BC11-DE99459AE832}">
  <sheetPr>
    <tabColor theme="0"/>
  </sheetPr>
  <dimension ref="B2:F109"/>
  <sheetViews>
    <sheetView tabSelected="1" topLeftCell="A30" zoomScale="70" zoomScaleNormal="70" workbookViewId="0">
      <selection activeCell="N25" sqref="N25"/>
    </sheetView>
  </sheetViews>
  <sheetFormatPr defaultColWidth="8.875" defaultRowHeight="14.25" x14ac:dyDescent="0.2"/>
  <cols>
    <col min="1" max="1" width="8.875" style="174"/>
    <col min="2" max="2" width="66.875" style="174" customWidth="1"/>
    <col min="3" max="3" width="19.875" style="174" customWidth="1"/>
    <col min="4" max="4" width="23.375" style="174" customWidth="1"/>
    <col min="5" max="16384" width="8.875" style="174"/>
  </cols>
  <sheetData>
    <row r="2" spans="2:6" ht="18" x14ac:dyDescent="0.25">
      <c r="B2" s="173" t="s">
        <v>556</v>
      </c>
    </row>
    <row r="3" spans="2:6" x14ac:dyDescent="0.2">
      <c r="B3" s="174" t="s">
        <v>656</v>
      </c>
    </row>
    <row r="4" spans="2:6" x14ac:dyDescent="0.2">
      <c r="B4" s="174" t="s">
        <v>2</v>
      </c>
    </row>
    <row r="5" spans="2:6" x14ac:dyDescent="0.2">
      <c r="B5" s="174" t="s">
        <v>3</v>
      </c>
    </row>
    <row r="6" spans="2:6" ht="15" x14ac:dyDescent="0.25">
      <c r="C6" s="175" t="s">
        <v>4</v>
      </c>
      <c r="D6" s="175" t="s">
        <v>5</v>
      </c>
    </row>
    <row r="7" spans="2:6" ht="15" x14ac:dyDescent="0.2">
      <c r="B7" s="176" t="s">
        <v>6</v>
      </c>
      <c r="C7" s="177"/>
      <c r="D7" s="178"/>
    </row>
    <row r="8" spans="2:6" x14ac:dyDescent="0.2">
      <c r="B8" s="179" t="s">
        <v>7</v>
      </c>
      <c r="C8" s="180">
        <f>'5-Capital Costs'!L78</f>
        <v>71357584.446965829</v>
      </c>
      <c r="D8" s="287">
        <f>C8/10^6</f>
        <v>71.357584446965831</v>
      </c>
    </row>
    <row r="9" spans="2:6" ht="15" x14ac:dyDescent="0.2">
      <c r="B9" s="182" t="s">
        <v>156</v>
      </c>
      <c r="C9" s="183">
        <f>C8</f>
        <v>71357584.446965829</v>
      </c>
      <c r="D9" s="289">
        <f>C9/10^6</f>
        <v>71.357584446965831</v>
      </c>
    </row>
    <row r="11" spans="2:6" ht="15" x14ac:dyDescent="0.2">
      <c r="B11" s="176" t="s">
        <v>8</v>
      </c>
      <c r="C11" s="177"/>
      <c r="D11" s="178"/>
    </row>
    <row r="12" spans="2:6" ht="15" x14ac:dyDescent="0.2">
      <c r="B12" s="176" t="s">
        <v>9</v>
      </c>
      <c r="C12" s="177"/>
      <c r="D12" s="178"/>
    </row>
    <row r="13" spans="2:6" x14ac:dyDescent="0.2">
      <c r="B13" s="184" t="s">
        <v>10</v>
      </c>
      <c r="C13" s="185">
        <f>'17-O&amp;M Cost Avoided'!O34</f>
        <v>30054890.853106312</v>
      </c>
      <c r="D13" s="288">
        <f t="shared" ref="D13:D17" si="0">C13/10^6</f>
        <v>30.054890853106311</v>
      </c>
      <c r="E13" s="186"/>
      <c r="F13" s="187"/>
    </row>
    <row r="14" spans="2:6" x14ac:dyDescent="0.2">
      <c r="B14" s="181" t="s">
        <v>26</v>
      </c>
      <c r="C14" s="193">
        <f>'8-Annual O&amp;M'!M34</f>
        <v>-356180.27655687259</v>
      </c>
      <c r="D14" s="283">
        <f>C14/10^6</f>
        <v>-0.35618027655687257</v>
      </c>
    </row>
    <row r="15" spans="2:6" s="200" customFormat="1" x14ac:dyDescent="0.2">
      <c r="B15" s="238" t="s">
        <v>11</v>
      </c>
      <c r="C15" s="247">
        <f>'16-Residual Value'!I6</f>
        <v>13406785.225641875</v>
      </c>
      <c r="D15" s="288">
        <f t="shared" si="0"/>
        <v>13.406785225641874</v>
      </c>
      <c r="F15" s="248"/>
    </row>
    <row r="16" spans="2:6" s="200" customFormat="1" x14ac:dyDescent="0.2">
      <c r="B16" s="239" t="s">
        <v>543</v>
      </c>
      <c r="C16" s="249">
        <f>'13-Marginal Social Cost'!P34</f>
        <v>13499498.435062956</v>
      </c>
      <c r="D16" s="290">
        <f t="shared" si="0"/>
        <v>13.499498435062955</v>
      </c>
      <c r="F16" s="248"/>
    </row>
    <row r="17" spans="2:6" s="200" customFormat="1" ht="15" x14ac:dyDescent="0.2">
      <c r="B17" s="190" t="s">
        <v>12</v>
      </c>
      <c r="C17" s="191">
        <f>SUM(C13:C16)</f>
        <v>56604994.237254277</v>
      </c>
      <c r="D17" s="291">
        <f t="shared" si="0"/>
        <v>56.604994237254274</v>
      </c>
    </row>
    <row r="18" spans="2:6" s="200" customFormat="1" ht="15" x14ac:dyDescent="0.2">
      <c r="B18" s="176" t="s">
        <v>489</v>
      </c>
      <c r="C18" s="177"/>
      <c r="D18" s="178"/>
    </row>
    <row r="19" spans="2:6" s="200" customFormat="1" x14ac:dyDescent="0.2">
      <c r="B19" s="240" t="s">
        <v>525</v>
      </c>
      <c r="C19" s="192">
        <f>'19-Safety Disbenefits'!X16</f>
        <v>-29763440.537144452</v>
      </c>
      <c r="D19" s="292">
        <f t="shared" ref="D19:D20" si="1">C19/10^6</f>
        <v>-29.763440537144451</v>
      </c>
      <c r="F19" s="248"/>
    </row>
    <row r="20" spans="2:6" s="200" customFormat="1" x14ac:dyDescent="0.2">
      <c r="B20" s="184" t="s">
        <v>526</v>
      </c>
      <c r="C20" s="193">
        <f>'19-Safety Disbenefits'!X8</f>
        <v>-23502500.526564199</v>
      </c>
      <c r="D20" s="293">
        <f t="shared" si="1"/>
        <v>-23.502500526564198</v>
      </c>
      <c r="F20" s="248"/>
    </row>
    <row r="21" spans="2:6" s="200" customFormat="1" x14ac:dyDescent="0.2">
      <c r="B21" s="195" t="s">
        <v>527</v>
      </c>
      <c r="C21" s="194">
        <f>'10-Safety'!U69</f>
        <v>21747730.114654973</v>
      </c>
      <c r="D21" s="290">
        <f>C21/10^6</f>
        <v>21.747730114654974</v>
      </c>
      <c r="F21" s="248"/>
    </row>
    <row r="22" spans="2:6" s="200" customFormat="1" x14ac:dyDescent="0.2">
      <c r="B22" s="195" t="s">
        <v>528</v>
      </c>
      <c r="C22" s="194">
        <f>'10-Safety'!U34</f>
        <v>56937511.21840857</v>
      </c>
      <c r="D22" s="290">
        <f t="shared" ref="D22:D26" si="2">C22/10^6</f>
        <v>56.937511218408567</v>
      </c>
      <c r="F22" s="248"/>
    </row>
    <row r="23" spans="2:6" s="200" customFormat="1" x14ac:dyDescent="0.2">
      <c r="B23" s="195" t="s">
        <v>529</v>
      </c>
      <c r="C23" s="196">
        <f>'12-Shoulder Widening'!X68</f>
        <v>312939.64811088343</v>
      </c>
      <c r="D23" s="290">
        <f t="shared" si="2"/>
        <v>0.31293964811088343</v>
      </c>
      <c r="F23" s="248"/>
    </row>
    <row r="24" spans="2:6" s="200" customFormat="1" x14ac:dyDescent="0.2">
      <c r="B24" s="195" t="s">
        <v>530</v>
      </c>
      <c r="C24" s="196">
        <f>'12-Shoulder Widening'!X34</f>
        <v>97977.089090584617</v>
      </c>
      <c r="D24" s="290">
        <f t="shared" si="2"/>
        <v>9.7977089090584613E-2</v>
      </c>
      <c r="F24" s="248"/>
    </row>
    <row r="25" spans="2:6" s="200" customFormat="1" x14ac:dyDescent="0.2">
      <c r="B25" s="195" t="s">
        <v>14</v>
      </c>
      <c r="C25" s="196" t="s">
        <v>15</v>
      </c>
      <c r="D25" s="196" t="s">
        <v>15</v>
      </c>
    </row>
    <row r="26" spans="2:6" s="200" customFormat="1" ht="15" x14ac:dyDescent="0.2">
      <c r="B26" s="190" t="s">
        <v>16</v>
      </c>
      <c r="C26" s="191">
        <f>SUM(C19:C25)</f>
        <v>25830217.006556366</v>
      </c>
      <c r="D26" s="291">
        <f t="shared" si="2"/>
        <v>25.830217006556367</v>
      </c>
      <c r="F26"/>
    </row>
    <row r="27" spans="2:6" s="200" customFormat="1" ht="15" x14ac:dyDescent="0.2">
      <c r="B27" s="176" t="s">
        <v>17</v>
      </c>
      <c r="C27" s="177"/>
      <c r="D27" s="178"/>
      <c r="F27"/>
    </row>
    <row r="28" spans="2:6" s="200" customFormat="1" x14ac:dyDescent="0.2">
      <c r="B28" s="197" t="s">
        <v>531</v>
      </c>
      <c r="C28" s="198">
        <f>'9-Travel Time Savings'!K68</f>
        <v>60529962.795021079</v>
      </c>
      <c r="D28" s="287">
        <f t="shared" ref="D28:D38" si="3">C28/10^6</f>
        <v>60.529962795021078</v>
      </c>
      <c r="F28"/>
    </row>
    <row r="29" spans="2:6" s="200" customFormat="1" x14ac:dyDescent="0.2">
      <c r="B29" s="195" t="s">
        <v>532</v>
      </c>
      <c r="C29" s="194">
        <f>'9-Travel Time Savings'!K34</f>
        <v>158472880.50392678</v>
      </c>
      <c r="D29" s="290">
        <f t="shared" si="3"/>
        <v>158.47288050392677</v>
      </c>
      <c r="F29"/>
    </row>
    <row r="30" spans="2:6" s="200" customFormat="1" x14ac:dyDescent="0.2">
      <c r="B30" s="184" t="s">
        <v>670</v>
      </c>
      <c r="C30" s="193">
        <f>'18-Travel Time Disbenefits'!L16</f>
        <v>-10079938.705666928</v>
      </c>
      <c r="D30" s="283">
        <f t="shared" si="3"/>
        <v>-10.079938705666928</v>
      </c>
      <c r="E30" s="250"/>
      <c r="F30"/>
    </row>
    <row r="31" spans="2:6" s="200" customFormat="1" x14ac:dyDescent="0.2">
      <c r="B31" s="184" t="s">
        <v>544</v>
      </c>
      <c r="C31" s="193">
        <f>'18-Travel Time Disbenefits'!L8</f>
        <v>-13604342.76298587</v>
      </c>
      <c r="D31" s="283">
        <f t="shared" si="3"/>
        <v>-13.604342762985871</v>
      </c>
      <c r="F31"/>
    </row>
    <row r="32" spans="2:6" s="200" customFormat="1" x14ac:dyDescent="0.2">
      <c r="B32" s="184" t="s">
        <v>533</v>
      </c>
      <c r="C32" s="185">
        <f>'11-Vehicle Operating Cost'!I70</f>
        <v>29782582.651495591</v>
      </c>
      <c r="D32" s="288">
        <f t="shared" si="3"/>
        <v>29.782582651495591</v>
      </c>
      <c r="F32" s="248"/>
    </row>
    <row r="33" spans="2:6" s="200" customFormat="1" x14ac:dyDescent="0.2">
      <c r="B33" s="195" t="s">
        <v>534</v>
      </c>
      <c r="C33" s="194">
        <f>'11-Vehicle Operating Cost'!I34</f>
        <v>197932672.37708142</v>
      </c>
      <c r="D33" s="290">
        <f t="shared" si="3"/>
        <v>197.93267237708142</v>
      </c>
      <c r="F33" s="248"/>
    </row>
    <row r="34" spans="2:6" s="200" customFormat="1" x14ac:dyDescent="0.2">
      <c r="B34" s="195" t="s">
        <v>535</v>
      </c>
      <c r="C34" s="194">
        <f>'13-Marginal Social Cost'!J68</f>
        <v>1660951.7247949464</v>
      </c>
      <c r="D34" s="290">
        <f t="shared" si="3"/>
        <v>1.6609517247949463</v>
      </c>
      <c r="F34" s="248"/>
    </row>
    <row r="35" spans="2:6" s="200" customFormat="1" x14ac:dyDescent="0.2">
      <c r="B35" s="195" t="s">
        <v>536</v>
      </c>
      <c r="C35" s="194">
        <f>'13-Marginal Social Cost'!J34</f>
        <v>11246174.566879623</v>
      </c>
      <c r="D35" s="290">
        <f t="shared" si="3"/>
        <v>11.246174566879622</v>
      </c>
      <c r="F35" s="248"/>
    </row>
    <row r="36" spans="2:6" s="200" customFormat="1" x14ac:dyDescent="0.2">
      <c r="B36" s="184" t="s">
        <v>537</v>
      </c>
      <c r="C36" s="208" t="s">
        <v>15</v>
      </c>
      <c r="D36" s="208" t="s">
        <v>15</v>
      </c>
      <c r="E36" s="250"/>
    </row>
    <row r="37" spans="2:6" s="200" customFormat="1" x14ac:dyDescent="0.2">
      <c r="B37" s="184" t="s">
        <v>538</v>
      </c>
      <c r="C37" s="208" t="s">
        <v>15</v>
      </c>
      <c r="D37" s="208" t="s">
        <v>15</v>
      </c>
    </row>
    <row r="38" spans="2:6" s="200" customFormat="1" ht="15" x14ac:dyDescent="0.2">
      <c r="B38" s="190" t="s">
        <v>18</v>
      </c>
      <c r="C38" s="191">
        <f>SUM(C28:C37)</f>
        <v>435940943.15054661</v>
      </c>
      <c r="D38" s="291">
        <f t="shared" si="3"/>
        <v>435.94094315054662</v>
      </c>
    </row>
    <row r="39" spans="2:6" s="200" customFormat="1" ht="15" x14ac:dyDescent="0.2">
      <c r="B39" s="176" t="s">
        <v>490</v>
      </c>
      <c r="C39" s="177"/>
      <c r="D39" s="178"/>
    </row>
    <row r="40" spans="2:6" s="200" customFormat="1" x14ac:dyDescent="0.2">
      <c r="B40" s="197" t="s">
        <v>539</v>
      </c>
      <c r="C40" s="198">
        <f>'14-Emissions'!AC69</f>
        <v>11058614.32879301</v>
      </c>
      <c r="D40" s="287">
        <f t="shared" ref="D40:D46" si="4">C40/10^6</f>
        <v>11.058614328793009</v>
      </c>
      <c r="F40" s="248"/>
    </row>
    <row r="41" spans="2:6" s="200" customFormat="1" x14ac:dyDescent="0.2">
      <c r="B41" s="195" t="s">
        <v>540</v>
      </c>
      <c r="C41" s="194">
        <f>'14-Emissions'!AC35</f>
        <v>128457081.70138925</v>
      </c>
      <c r="D41" s="290">
        <f t="shared" si="4"/>
        <v>128.45708170138926</v>
      </c>
      <c r="F41" s="248"/>
    </row>
    <row r="42" spans="2:6" s="200" customFormat="1" x14ac:dyDescent="0.2">
      <c r="B42" s="195" t="s">
        <v>541</v>
      </c>
      <c r="C42" s="194">
        <f>'13-Marginal Social Cost'!M68</f>
        <v>11454.839481344457</v>
      </c>
      <c r="D42" s="290">
        <f t="shared" si="4"/>
        <v>1.1454839481344457E-2</v>
      </c>
    </row>
    <row r="43" spans="2:6" s="200" customFormat="1" x14ac:dyDescent="0.2">
      <c r="B43" s="195" t="s">
        <v>542</v>
      </c>
      <c r="C43" s="194">
        <f>'13-Marginal Social Cost'!M34</f>
        <v>554811.27863272815</v>
      </c>
      <c r="D43" s="290">
        <f t="shared" si="4"/>
        <v>0.55481127863272817</v>
      </c>
    </row>
    <row r="44" spans="2:6" s="200" customFormat="1" x14ac:dyDescent="0.2">
      <c r="B44" s="195" t="s">
        <v>19</v>
      </c>
      <c r="C44" s="196" t="s">
        <v>15</v>
      </c>
      <c r="D44" s="196" t="s">
        <v>15</v>
      </c>
    </row>
    <row r="45" spans="2:6" s="200" customFormat="1" x14ac:dyDescent="0.2">
      <c r="B45" s="195" t="s">
        <v>20</v>
      </c>
      <c r="C45" s="196" t="s">
        <v>15</v>
      </c>
      <c r="D45" s="196" t="s">
        <v>15</v>
      </c>
    </row>
    <row r="46" spans="2:6" s="200" customFormat="1" ht="15" x14ac:dyDescent="0.2">
      <c r="B46" s="190" t="s">
        <v>21</v>
      </c>
      <c r="C46" s="191">
        <f>SUM(C40:C45)</f>
        <v>140081962.14829636</v>
      </c>
      <c r="D46" s="291">
        <f t="shared" si="4"/>
        <v>140.08196214829636</v>
      </c>
    </row>
    <row r="47" spans="2:6" s="200" customFormat="1" ht="15" x14ac:dyDescent="0.2">
      <c r="B47" s="176" t="s">
        <v>22</v>
      </c>
      <c r="C47" s="177"/>
      <c r="D47" s="178"/>
    </row>
    <row r="48" spans="2:6" s="200" customFormat="1" x14ac:dyDescent="0.2">
      <c r="B48" s="197" t="s">
        <v>504</v>
      </c>
      <c r="C48" s="198">
        <f>'15-Emergency Medical Response'!M34</f>
        <v>66981.328343680798</v>
      </c>
      <c r="D48" s="287">
        <f t="shared" ref="D48:D49" si="5">C48/10^6</f>
        <v>6.6981328343680799E-2</v>
      </c>
    </row>
    <row r="49" spans="2:4" s="200" customFormat="1" ht="15" x14ac:dyDescent="0.2">
      <c r="B49" s="190" t="s">
        <v>23</v>
      </c>
      <c r="C49" s="191">
        <f>C48</f>
        <v>66981.328343680798</v>
      </c>
      <c r="D49" s="291">
        <f t="shared" si="5"/>
        <v>6.6981328343680799E-2</v>
      </c>
    </row>
    <row r="50" spans="2:4" s="200" customFormat="1" ht="15" x14ac:dyDescent="0.2">
      <c r="B50" s="176" t="s">
        <v>24</v>
      </c>
      <c r="C50" s="177"/>
      <c r="D50" s="178"/>
    </row>
    <row r="51" spans="2:4" s="200" customFormat="1" x14ac:dyDescent="0.2">
      <c r="B51" s="195" t="s">
        <v>506</v>
      </c>
      <c r="C51" s="199" t="s">
        <v>15</v>
      </c>
      <c r="D51" s="199" t="s">
        <v>15</v>
      </c>
    </row>
    <row r="52" spans="2:4" s="200" customFormat="1" x14ac:dyDescent="0.2">
      <c r="B52" s="195" t="s">
        <v>507</v>
      </c>
      <c r="C52" s="199" t="s">
        <v>15</v>
      </c>
      <c r="D52" s="199" t="s">
        <v>15</v>
      </c>
    </row>
    <row r="53" spans="2:4" s="200" customFormat="1" x14ac:dyDescent="0.2">
      <c r="B53" s="195" t="s">
        <v>508</v>
      </c>
      <c r="C53" s="199" t="s">
        <v>15</v>
      </c>
      <c r="D53" s="199" t="s">
        <v>15</v>
      </c>
    </row>
    <row r="54" spans="2:4" s="200" customFormat="1" ht="15" x14ac:dyDescent="0.2">
      <c r="B54" s="201" t="s">
        <v>25</v>
      </c>
      <c r="C54" s="202" t="str">
        <f>C51</f>
        <v>Qualitative</v>
      </c>
      <c r="D54" s="202" t="str">
        <f>D51</f>
        <v>Qualitative</v>
      </c>
    </row>
    <row r="56" spans="2:4" ht="15" x14ac:dyDescent="0.2">
      <c r="B56" s="203" t="s">
        <v>27</v>
      </c>
      <c r="C56" s="204">
        <f>C17+C26+C38+C46+C49</f>
        <v>658525097.87099719</v>
      </c>
      <c r="D56" s="286">
        <f>C56/10^6</f>
        <v>658.52509787099723</v>
      </c>
    </row>
    <row r="57" spans="2:4" x14ac:dyDescent="0.2">
      <c r="C57" s="205"/>
      <c r="D57" s="205"/>
    </row>
    <row r="58" spans="2:4" ht="15" x14ac:dyDescent="0.2">
      <c r="B58" s="203" t="s">
        <v>28</v>
      </c>
      <c r="C58" s="206">
        <f>C56/C9</f>
        <v>9.2285228399291501</v>
      </c>
      <c r="D58" s="206">
        <f>C58</f>
        <v>9.2285228399291501</v>
      </c>
    </row>
    <row r="59" spans="2:4" ht="15" x14ac:dyDescent="0.2">
      <c r="B59" s="203" t="s">
        <v>29</v>
      </c>
      <c r="C59" s="204">
        <f>C56-C9</f>
        <v>587167513.42403138</v>
      </c>
      <c r="D59" s="286">
        <f>C59/10^6</f>
        <v>587.16751342403143</v>
      </c>
    </row>
    <row r="60" spans="2:4" x14ac:dyDescent="0.2">
      <c r="B60" s="207" t="s">
        <v>30</v>
      </c>
    </row>
    <row r="62" spans="2:4" ht="15" x14ac:dyDescent="0.25">
      <c r="B62" s="244" t="s">
        <v>674</v>
      </c>
      <c r="C62" s="245"/>
      <c r="D62" s="246"/>
    </row>
    <row r="63" spans="2:4" x14ac:dyDescent="0.2">
      <c r="D63" s="205"/>
    </row>
    <row r="64" spans="2:4" ht="15" x14ac:dyDescent="0.25">
      <c r="C64" s="175" t="s">
        <v>4</v>
      </c>
      <c r="D64" s="175" t="s">
        <v>5</v>
      </c>
    </row>
    <row r="65" spans="2:4" ht="15" x14ac:dyDescent="0.2">
      <c r="B65" s="176" t="s">
        <v>6</v>
      </c>
      <c r="C65" s="177"/>
      <c r="D65" s="178"/>
    </row>
    <row r="66" spans="2:4" x14ac:dyDescent="0.2">
      <c r="B66" s="179" t="s">
        <v>7</v>
      </c>
      <c r="C66" s="180">
        <f>'5-Capital Costs'!L78</f>
        <v>71357584.446965829</v>
      </c>
      <c r="D66" s="287">
        <f>C66/10^6</f>
        <v>71.357584446965831</v>
      </c>
    </row>
    <row r="67" spans="2:4" ht="15" x14ac:dyDescent="0.2">
      <c r="B67" s="182" t="s">
        <v>156</v>
      </c>
      <c r="C67" s="183">
        <f>C66</f>
        <v>71357584.446965829</v>
      </c>
      <c r="D67" s="289">
        <f t="shared" ref="D67" si="6">C67/10^6</f>
        <v>71.357584446965831</v>
      </c>
    </row>
    <row r="68" spans="2:4" x14ac:dyDescent="0.2">
      <c r="B68" s="200"/>
    </row>
    <row r="69" spans="2:4" ht="15" x14ac:dyDescent="0.2">
      <c r="B69" s="176" t="s">
        <v>8</v>
      </c>
      <c r="C69" s="177"/>
      <c r="D69" s="178"/>
    </row>
    <row r="70" spans="2:4" ht="15" x14ac:dyDescent="0.2">
      <c r="B70" s="176" t="s">
        <v>9</v>
      </c>
      <c r="C70" s="177"/>
      <c r="D70" s="178"/>
    </row>
    <row r="71" spans="2:4" x14ac:dyDescent="0.2">
      <c r="B71" s="184" t="s">
        <v>10</v>
      </c>
      <c r="C71" s="185">
        <f>'17-O&amp;M Cost Avoided'!O34</f>
        <v>30054890.853106312</v>
      </c>
      <c r="D71" s="288">
        <f t="shared" ref="D71:D75" si="7">C71/10^6</f>
        <v>30.054890853106311</v>
      </c>
    </row>
    <row r="72" spans="2:4" x14ac:dyDescent="0.2">
      <c r="B72" s="181" t="s">
        <v>26</v>
      </c>
      <c r="C72" s="192">
        <f>'8-Annual O&amp;M'!M34</f>
        <v>-356180.27655687259</v>
      </c>
      <c r="D72" s="288">
        <f>C72/10^6</f>
        <v>-0.35618027655687257</v>
      </c>
    </row>
    <row r="73" spans="2:4" x14ac:dyDescent="0.2">
      <c r="B73" s="238" t="s">
        <v>11</v>
      </c>
      <c r="C73" s="188">
        <f>'16-Residual Value'!I6</f>
        <v>13406785.225641875</v>
      </c>
      <c r="D73" s="288">
        <f t="shared" si="7"/>
        <v>13.406785225641874</v>
      </c>
    </row>
    <row r="74" spans="2:4" x14ac:dyDescent="0.2">
      <c r="B74" s="239" t="s">
        <v>667</v>
      </c>
      <c r="C74" s="189">
        <f>'13-Marginal Social Cost'!P70</f>
        <v>13499498.435062956</v>
      </c>
      <c r="D74" s="290">
        <f t="shared" si="7"/>
        <v>13.499498435062955</v>
      </c>
    </row>
    <row r="75" spans="2:4" ht="15" x14ac:dyDescent="0.2">
      <c r="B75" s="190" t="s">
        <v>12</v>
      </c>
      <c r="C75" s="191">
        <f>SUM(C71:C74)</f>
        <v>56604994.237254277</v>
      </c>
      <c r="D75" s="291">
        <f t="shared" si="7"/>
        <v>56.604994237254274</v>
      </c>
    </row>
    <row r="76" spans="2:4" ht="15" x14ac:dyDescent="0.2">
      <c r="B76" s="176" t="s">
        <v>489</v>
      </c>
      <c r="C76" s="177"/>
      <c r="D76" s="178"/>
    </row>
    <row r="77" spans="2:4" x14ac:dyDescent="0.2">
      <c r="B77" s="240" t="s">
        <v>657</v>
      </c>
      <c r="C77" s="192">
        <f>'19-Safety Disbenefits'!X18</f>
        <v>-53265941.063708648</v>
      </c>
      <c r="D77" s="292">
        <f t="shared" ref="D77:D79" si="8">C77/10^6</f>
        <v>-53.265941063708645</v>
      </c>
    </row>
    <row r="78" spans="2:4" x14ac:dyDescent="0.2">
      <c r="B78" s="195" t="s">
        <v>658</v>
      </c>
      <c r="C78" s="194">
        <f>'10-Safety'!U71</f>
        <v>78685241.333063543</v>
      </c>
      <c r="D78" s="290">
        <f t="shared" si="8"/>
        <v>78.685241333063544</v>
      </c>
    </row>
    <row r="79" spans="2:4" x14ac:dyDescent="0.2">
      <c r="B79" s="195" t="s">
        <v>659</v>
      </c>
      <c r="C79" s="196">
        <f>'12-Shoulder Widening'!X70</f>
        <v>410916.73720146803</v>
      </c>
      <c r="D79" s="290">
        <f t="shared" si="8"/>
        <v>0.41091673720146804</v>
      </c>
    </row>
    <row r="80" spans="2:4" x14ac:dyDescent="0.2">
      <c r="B80" s="195" t="s">
        <v>14</v>
      </c>
      <c r="C80" s="243" t="s">
        <v>15</v>
      </c>
      <c r="D80" s="242" t="s">
        <v>15</v>
      </c>
    </row>
    <row r="81" spans="2:4" ht="15" x14ac:dyDescent="0.2">
      <c r="B81" s="190" t="s">
        <v>16</v>
      </c>
      <c r="C81" s="191">
        <f>SUM(C77:C80)</f>
        <v>25830217.006556362</v>
      </c>
      <c r="D81" s="291">
        <f>C81/10^6</f>
        <v>25.830217006556364</v>
      </c>
    </row>
    <row r="82" spans="2:4" ht="15" x14ac:dyDescent="0.2">
      <c r="B82" s="176" t="s">
        <v>17</v>
      </c>
      <c r="C82" s="177"/>
      <c r="D82" s="178"/>
    </row>
    <row r="83" spans="2:4" x14ac:dyDescent="0.2">
      <c r="B83" s="197" t="s">
        <v>666</v>
      </c>
      <c r="C83" s="198">
        <f>'9-Travel Time Savings'!K70</f>
        <v>219002843.29894787</v>
      </c>
      <c r="D83" s="287">
        <f t="shared" ref="D83:D86" si="9">C83/10^6</f>
        <v>219.00284329894788</v>
      </c>
    </row>
    <row r="84" spans="2:4" x14ac:dyDescent="0.2">
      <c r="B84" s="184" t="s">
        <v>660</v>
      </c>
      <c r="C84" s="193">
        <f>'18-Travel Time Disbenefits'!L18</f>
        <v>-23684281.4686528</v>
      </c>
      <c r="D84" s="283">
        <f t="shared" si="9"/>
        <v>-23.684281468652799</v>
      </c>
    </row>
    <row r="85" spans="2:4" x14ac:dyDescent="0.2">
      <c r="B85" s="184" t="s">
        <v>661</v>
      </c>
      <c r="C85" s="185">
        <f>'11-Vehicle Operating Cost'!I72</f>
        <v>227715255.02857703</v>
      </c>
      <c r="D85" s="288">
        <f t="shared" si="9"/>
        <v>227.71525502857702</v>
      </c>
    </row>
    <row r="86" spans="2:4" x14ac:dyDescent="0.2">
      <c r="B86" s="195" t="s">
        <v>664</v>
      </c>
      <c r="C86" s="194">
        <f>'13-Marginal Social Cost'!J70</f>
        <v>12907126.291674569</v>
      </c>
      <c r="D86" s="290">
        <f t="shared" si="9"/>
        <v>12.907126291674569</v>
      </c>
    </row>
    <row r="87" spans="2:4" x14ac:dyDescent="0.2">
      <c r="B87" s="184" t="s">
        <v>665</v>
      </c>
      <c r="C87" s="243" t="s">
        <v>15</v>
      </c>
      <c r="D87" s="242" t="s">
        <v>15</v>
      </c>
    </row>
    <row r="88" spans="2:4" ht="15" x14ac:dyDescent="0.2">
      <c r="B88" s="190" t="s">
        <v>18</v>
      </c>
      <c r="C88" s="191">
        <f>SUM(C83:C87)</f>
        <v>435940943.15054667</v>
      </c>
      <c r="D88" s="291">
        <f>C88/10^6</f>
        <v>435.94094315054667</v>
      </c>
    </row>
    <row r="89" spans="2:4" ht="15" x14ac:dyDescent="0.2">
      <c r="B89" s="176" t="s">
        <v>490</v>
      </c>
      <c r="C89" s="177"/>
      <c r="D89" s="178"/>
    </row>
    <row r="90" spans="2:4" x14ac:dyDescent="0.2">
      <c r="B90" s="197" t="s">
        <v>662</v>
      </c>
      <c r="C90" s="198">
        <f>'14-Emissions'!AC71</f>
        <v>139515696.03018227</v>
      </c>
      <c r="D90" s="287">
        <f t="shared" ref="D90:D91" si="10">C90/10^6</f>
        <v>139.51569603018228</v>
      </c>
    </row>
    <row r="91" spans="2:4" x14ac:dyDescent="0.2">
      <c r="B91" s="195" t="s">
        <v>663</v>
      </c>
      <c r="C91" s="194">
        <f>'13-Marginal Social Cost'!M70</f>
        <v>566266.1181140726</v>
      </c>
      <c r="D91" s="290">
        <f t="shared" si="10"/>
        <v>0.56626611811407257</v>
      </c>
    </row>
    <row r="92" spans="2:4" x14ac:dyDescent="0.2">
      <c r="B92" s="195" t="s">
        <v>19</v>
      </c>
      <c r="C92" s="243" t="s">
        <v>15</v>
      </c>
      <c r="D92" s="242" t="s">
        <v>15</v>
      </c>
    </row>
    <row r="93" spans="2:4" x14ac:dyDescent="0.2">
      <c r="B93" s="195" t="s">
        <v>20</v>
      </c>
      <c r="C93" s="243" t="s">
        <v>15</v>
      </c>
      <c r="D93" s="242" t="s">
        <v>15</v>
      </c>
    </row>
    <row r="94" spans="2:4" ht="15" x14ac:dyDescent="0.2">
      <c r="B94" s="190" t="s">
        <v>21</v>
      </c>
      <c r="C94" s="191">
        <f>SUM(C90:C93)</f>
        <v>140081962.14829636</v>
      </c>
      <c r="D94" s="291">
        <f>C94/10^6</f>
        <v>140.08196214829636</v>
      </c>
    </row>
    <row r="95" spans="2:4" ht="15" x14ac:dyDescent="0.2">
      <c r="B95" s="176" t="s">
        <v>22</v>
      </c>
      <c r="C95" s="177"/>
      <c r="D95" s="178"/>
    </row>
    <row r="96" spans="2:4" x14ac:dyDescent="0.2">
      <c r="B96" s="197" t="s">
        <v>504</v>
      </c>
      <c r="C96" s="198">
        <f>'15-Emergency Medical Response'!M34</f>
        <v>66981.328343680798</v>
      </c>
      <c r="D96" s="287">
        <f t="shared" ref="D96:D97" si="11">C96/10^6</f>
        <v>6.6981328343680799E-2</v>
      </c>
    </row>
    <row r="97" spans="2:4" ht="15" x14ac:dyDescent="0.2">
      <c r="B97" s="190" t="s">
        <v>23</v>
      </c>
      <c r="C97" s="191">
        <f>C96</f>
        <v>66981.328343680798</v>
      </c>
      <c r="D97" s="291">
        <f t="shared" si="11"/>
        <v>6.6981328343680799E-2</v>
      </c>
    </row>
    <row r="98" spans="2:4" ht="15" x14ac:dyDescent="0.2">
      <c r="B98" s="176" t="s">
        <v>24</v>
      </c>
      <c r="C98" s="177"/>
      <c r="D98" s="178"/>
    </row>
    <row r="99" spans="2:4" x14ac:dyDescent="0.2">
      <c r="B99" s="195" t="s">
        <v>506</v>
      </c>
      <c r="C99" s="242" t="s">
        <v>15</v>
      </c>
      <c r="D99" s="242" t="s">
        <v>15</v>
      </c>
    </row>
    <row r="100" spans="2:4" x14ac:dyDescent="0.2">
      <c r="B100" s="195" t="s">
        <v>507</v>
      </c>
      <c r="C100" s="242" t="s">
        <v>15</v>
      </c>
      <c r="D100" s="242" t="s">
        <v>15</v>
      </c>
    </row>
    <row r="101" spans="2:4" x14ac:dyDescent="0.2">
      <c r="B101" s="195" t="s">
        <v>508</v>
      </c>
      <c r="C101" s="242" t="s">
        <v>15</v>
      </c>
      <c r="D101" s="242" t="s">
        <v>15</v>
      </c>
    </row>
    <row r="102" spans="2:4" ht="15" x14ac:dyDescent="0.2">
      <c r="B102" s="201" t="s">
        <v>25</v>
      </c>
      <c r="C102" s="202" t="s">
        <v>15</v>
      </c>
      <c r="D102" s="202" t="s">
        <v>15</v>
      </c>
    </row>
    <row r="103" spans="2:4" x14ac:dyDescent="0.2">
      <c r="B103" s="200"/>
    </row>
    <row r="104" spans="2:4" ht="15" x14ac:dyDescent="0.2">
      <c r="B104" s="203" t="s">
        <v>27</v>
      </c>
      <c r="C104" s="204">
        <f>C75+C81+C88+C94+C97</f>
        <v>658525097.87099731</v>
      </c>
      <c r="D104" s="286">
        <f>C104/10^6</f>
        <v>658.52509787099734</v>
      </c>
    </row>
    <row r="105" spans="2:4" x14ac:dyDescent="0.2">
      <c r="B105" s="200"/>
      <c r="C105" s="205"/>
      <c r="D105" s="205"/>
    </row>
    <row r="106" spans="2:4" ht="15" x14ac:dyDescent="0.2">
      <c r="B106" s="203" t="s">
        <v>28</v>
      </c>
      <c r="C106" s="206">
        <f>C104/C67</f>
        <v>9.2285228399291519</v>
      </c>
      <c r="D106" s="206">
        <f>C106</f>
        <v>9.2285228399291519</v>
      </c>
    </row>
    <row r="107" spans="2:4" ht="15" x14ac:dyDescent="0.2">
      <c r="B107" s="203" t="s">
        <v>29</v>
      </c>
      <c r="C107" s="204">
        <f>C104-C67</f>
        <v>587167513.4240315</v>
      </c>
      <c r="D107" s="286">
        <f>C107/10^6</f>
        <v>587.16751342403154</v>
      </c>
    </row>
    <row r="108" spans="2:4" x14ac:dyDescent="0.2">
      <c r="B108" s="207" t="s">
        <v>30</v>
      </c>
    </row>
    <row r="109" spans="2:4" x14ac:dyDescent="0.2">
      <c r="C109" s="251"/>
      <c r="D109" s="251"/>
    </row>
  </sheetData>
  <sheetProtection algorithmName="SHA-512" hashValue="ONkO+4Nzf7kP01n0wSj/J0NdqyIKfrzxCD2Ae/VAYgz/TLjAecSPQY1bQYH6ZIypcJjrLTPtCIBBcKOfYvUkZw==" saltValue="LnmNRlwPFkI130P/qIlPXg==" spinCount="100000" sheet="1" objects="1" scenarios="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0D42B-4804-4CDC-A4B3-0400A4AEF59C}">
  <sheetPr>
    <tabColor theme="3" tint="0.89999084444715716"/>
  </sheetPr>
  <dimension ref="B1:R51"/>
  <sheetViews>
    <sheetView zoomScale="85" zoomScaleNormal="85" workbookViewId="0">
      <selection activeCell="R34" sqref="R34"/>
    </sheetView>
  </sheetViews>
  <sheetFormatPr defaultColWidth="9" defaultRowHeight="13.5" x14ac:dyDescent="0.25"/>
  <cols>
    <col min="1" max="1" width="4.375" style="5" customWidth="1"/>
    <col min="2" max="2" width="53" style="5" customWidth="1"/>
    <col min="3" max="3" width="18.625" style="5" customWidth="1"/>
    <col min="4" max="4" width="9" style="5" bestFit="1" customWidth="1"/>
    <col min="5" max="5" width="11.375" style="5" customWidth="1"/>
    <col min="6" max="6" width="12.125" style="5" customWidth="1"/>
    <col min="7" max="7" width="3.25" style="5" customWidth="1"/>
    <col min="8" max="8" width="20.625" style="5" customWidth="1"/>
    <col min="9" max="9" width="17.25" style="5" customWidth="1"/>
    <col min="10" max="10" width="21.125" style="5" customWidth="1"/>
    <col min="11" max="11" width="20.125" style="5" customWidth="1"/>
    <col min="12" max="12" width="22.375" style="5" customWidth="1"/>
    <col min="13" max="13" width="25" style="5" customWidth="1"/>
    <col min="14" max="14" width="14.875" style="5" customWidth="1"/>
    <col min="15" max="15" width="20.375" style="5" customWidth="1"/>
    <col min="16" max="17" width="9" style="5"/>
    <col min="18" max="18" width="11.75" style="5" customWidth="1"/>
    <col min="19" max="16384" width="9" style="5"/>
  </cols>
  <sheetData>
    <row r="1" spans="2:15" ht="15" x14ac:dyDescent="0.25">
      <c r="B1"/>
    </row>
    <row r="2" spans="2:15" x14ac:dyDescent="0.25">
      <c r="B2" s="47" t="s">
        <v>157</v>
      </c>
      <c r="C2" s="47" t="s">
        <v>34</v>
      </c>
      <c r="E2" s="5" t="s">
        <v>10</v>
      </c>
    </row>
    <row r="3" spans="2:15" ht="39" customHeight="1" x14ac:dyDescent="0.25">
      <c r="B3" s="5" t="str">
        <f>'3-Inputs'!B4</f>
        <v>Discount Rate</v>
      </c>
      <c r="C3" s="48">
        <f>'3-Inputs'!C4</f>
        <v>3.1E-2</v>
      </c>
      <c r="E3" s="49" t="s">
        <v>178</v>
      </c>
      <c r="F3" s="49" t="s">
        <v>174</v>
      </c>
      <c r="H3" s="49" t="s">
        <v>390</v>
      </c>
      <c r="I3" s="49" t="s">
        <v>409</v>
      </c>
      <c r="J3" s="49" t="s">
        <v>416</v>
      </c>
      <c r="K3" s="119" t="s">
        <v>424</v>
      </c>
      <c r="L3" s="49" t="s">
        <v>417</v>
      </c>
      <c r="M3" s="49" t="s">
        <v>418</v>
      </c>
      <c r="N3" s="49" t="s">
        <v>170</v>
      </c>
      <c r="O3" s="49" t="s">
        <v>391</v>
      </c>
    </row>
    <row r="4" spans="2:15" x14ac:dyDescent="0.25">
      <c r="B4" s="5" t="str">
        <f>'3-Inputs'!B6</f>
        <v>Discount Year</v>
      </c>
      <c r="C4" s="5">
        <f>'3-Inputs'!C6</f>
        <v>2022</v>
      </c>
      <c r="E4" s="2">
        <v>1</v>
      </c>
      <c r="F4" s="2">
        <f>$C$5</f>
        <v>2029</v>
      </c>
      <c r="H4" s="31">
        <f t="shared" ref="H4:H33" si="0">$C$6</f>
        <v>37255.246150163563</v>
      </c>
      <c r="I4" s="31">
        <f>$C$7</f>
        <v>4656.9057687704453</v>
      </c>
      <c r="J4" s="31"/>
      <c r="K4" s="31"/>
      <c r="L4" s="31"/>
      <c r="M4" s="31"/>
      <c r="N4" s="31">
        <f>SUM(H4:M4)</f>
        <v>41912.151918934011</v>
      </c>
      <c r="O4" s="31">
        <f t="shared" ref="O4:O7" si="1">N4/((1+$C$3)^($F4-$C$4))</f>
        <v>33847.710876693818</v>
      </c>
    </row>
    <row r="5" spans="2:15" x14ac:dyDescent="0.25">
      <c r="B5" s="5" t="str">
        <f>'3-Inputs'!B9</f>
        <v>Project Start Year</v>
      </c>
      <c r="C5" s="5">
        <f>'3-Inputs'!C9</f>
        <v>2029</v>
      </c>
      <c r="E5" s="2">
        <f t="shared" ref="E5:E33" si="2">E4+1</f>
        <v>2</v>
      </c>
      <c r="F5" s="2">
        <f t="shared" ref="F5:F33" si="3">F4+1</f>
        <v>2030</v>
      </c>
      <c r="H5" s="31">
        <f t="shared" si="0"/>
        <v>37255.246150163563</v>
      </c>
      <c r="I5" s="31">
        <f t="shared" ref="I5:I33" si="4">IF(I4=$C$7,0,IF(I3=$C$7,$C$7))</f>
        <v>0</v>
      </c>
      <c r="J5" s="31">
        <f>$C$8</f>
        <v>9313.8115375408906</v>
      </c>
      <c r="K5" s="31">
        <f>$C$9</f>
        <v>18627.623075081781</v>
      </c>
      <c r="L5" s="31"/>
      <c r="M5" s="31"/>
      <c r="N5" s="31">
        <f t="shared" ref="N5:N7" si="5">SUM(H5:M5)</f>
        <v>65196.680762786229</v>
      </c>
      <c r="O5" s="31">
        <f t="shared" si="1"/>
        <v>51068.860035964361</v>
      </c>
    </row>
    <row r="6" spans="2:15" x14ac:dyDescent="0.25">
      <c r="B6" s="52" t="str">
        <f>'3-Inputs'!B91</f>
        <v>Annual O&amp;M Cost- Maintenance and Operations (2022$)</v>
      </c>
      <c r="C6" s="58">
        <f>'3-Inputs'!C91</f>
        <v>37255.246150163563</v>
      </c>
      <c r="E6" s="2">
        <f t="shared" si="2"/>
        <v>3</v>
      </c>
      <c r="F6" s="2">
        <f t="shared" si="3"/>
        <v>2031</v>
      </c>
      <c r="H6" s="31">
        <f t="shared" si="0"/>
        <v>37255.246150163563</v>
      </c>
      <c r="I6" s="31">
        <f t="shared" si="4"/>
        <v>4656.9057687704453</v>
      </c>
      <c r="J6" s="31">
        <f t="shared" ref="J6:J33" si="6">IF(J5=$C$8,0,IF(J4=$C$8,$C$8))</f>
        <v>0</v>
      </c>
      <c r="K6" s="31"/>
      <c r="L6" s="31"/>
      <c r="M6" s="31"/>
      <c r="N6" s="31">
        <f t="shared" si="5"/>
        <v>41912.151918934011</v>
      </c>
      <c r="O6" s="31">
        <f t="shared" si="1"/>
        <v>31842.853008430055</v>
      </c>
    </row>
    <row r="7" spans="2:15" x14ac:dyDescent="0.25">
      <c r="B7" s="52" t="str">
        <f>'3-Inputs'!B92</f>
        <v>Special Inspection- Every 2 Years (2022$)</v>
      </c>
      <c r="C7" s="58">
        <f>'3-Inputs'!C92</f>
        <v>4656.9057687704453</v>
      </c>
      <c r="E7" s="2">
        <f t="shared" si="2"/>
        <v>4</v>
      </c>
      <c r="F7" s="2">
        <f t="shared" si="3"/>
        <v>2032</v>
      </c>
      <c r="H7" s="31">
        <f t="shared" si="0"/>
        <v>37255.246150163563</v>
      </c>
      <c r="I7" s="31">
        <f t="shared" si="4"/>
        <v>0</v>
      </c>
      <c r="J7" s="31">
        <f t="shared" si="6"/>
        <v>9313.8115375408906</v>
      </c>
      <c r="K7" s="31"/>
      <c r="L7" s="31"/>
      <c r="M7" s="31"/>
      <c r="N7" s="31">
        <f t="shared" si="5"/>
        <v>46569.057687704451</v>
      </c>
      <c r="O7" s="31">
        <f t="shared" si="1"/>
        <v>34317.117155329295</v>
      </c>
    </row>
    <row r="8" spans="2:15" x14ac:dyDescent="0.25">
      <c r="B8" s="52" t="str">
        <f>'3-Inputs'!B93</f>
        <v>NBI and NSTM Inspection- Every 2 Years (2022$)</v>
      </c>
      <c r="C8" s="58">
        <f>'3-Inputs'!C93</f>
        <v>9313.8115375408906</v>
      </c>
      <c r="E8" s="2">
        <f t="shared" si="2"/>
        <v>5</v>
      </c>
      <c r="F8" s="2">
        <f t="shared" si="3"/>
        <v>2033</v>
      </c>
      <c r="H8" s="31">
        <f t="shared" si="0"/>
        <v>37255.246150163563</v>
      </c>
      <c r="I8" s="31">
        <f t="shared" si="4"/>
        <v>4656.9057687704453</v>
      </c>
      <c r="J8" s="31">
        <f t="shared" si="6"/>
        <v>0</v>
      </c>
      <c r="K8" s="31"/>
      <c r="L8" s="31">
        <f>C10</f>
        <v>27941434.612622675</v>
      </c>
      <c r="M8" s="31"/>
      <c r="N8" s="31">
        <f t="shared" ref="N8:N33" si="7">SUM(H8:M8)</f>
        <v>27983346.764541607</v>
      </c>
      <c r="O8" s="31">
        <f t="shared" ref="O8:O33" si="8">N8/((1+$C$3)^($F8-$C$4))</f>
        <v>20001120.94921181</v>
      </c>
    </row>
    <row r="9" spans="2:15" x14ac:dyDescent="0.25">
      <c r="B9" s="52" t="str">
        <f>'3-Inputs'!B94</f>
        <v>Under water inspection- Every 5 Years (2022$)</v>
      </c>
      <c r="C9" s="58">
        <f>'3-Inputs'!C94</f>
        <v>18627.623075081781</v>
      </c>
      <c r="E9" s="2">
        <f t="shared" si="2"/>
        <v>6</v>
      </c>
      <c r="F9" s="2">
        <f t="shared" si="3"/>
        <v>2034</v>
      </c>
      <c r="H9" s="31">
        <f t="shared" si="0"/>
        <v>37255.246150163563</v>
      </c>
      <c r="I9" s="31">
        <f t="shared" si="4"/>
        <v>0</v>
      </c>
      <c r="J9" s="31">
        <f t="shared" si="6"/>
        <v>9313.8115375408906</v>
      </c>
      <c r="K9" s="31"/>
      <c r="L9" s="58"/>
      <c r="M9" s="31"/>
      <c r="N9" s="31">
        <f t="shared" si="7"/>
        <v>46569.057687704451</v>
      </c>
      <c r="O9" s="31">
        <f t="shared" si="8"/>
        <v>32284.455549478575</v>
      </c>
    </row>
    <row r="10" spans="2:15" x14ac:dyDescent="0.25">
      <c r="B10" s="52" t="str">
        <f>'3-Inputs'!B95</f>
        <v>Rehabilitation (at year 5) (2022$)</v>
      </c>
      <c r="C10" s="58">
        <f>'3-Inputs'!C95</f>
        <v>27941434.612622675</v>
      </c>
      <c r="E10" s="2">
        <f t="shared" si="2"/>
        <v>7</v>
      </c>
      <c r="F10" s="2">
        <f t="shared" si="3"/>
        <v>2035</v>
      </c>
      <c r="H10" s="31">
        <f t="shared" si="0"/>
        <v>37255.246150163563</v>
      </c>
      <c r="I10" s="31">
        <f t="shared" si="4"/>
        <v>4656.9057687704453</v>
      </c>
      <c r="J10" s="31">
        <f t="shared" si="6"/>
        <v>0</v>
      </c>
      <c r="K10" s="31">
        <f>K5</f>
        <v>18627.623075081781</v>
      </c>
      <c r="L10" s="31"/>
      <c r="M10" s="31"/>
      <c r="N10" s="31">
        <f t="shared" si="7"/>
        <v>60539.774994015796</v>
      </c>
      <c r="O10" s="31">
        <f t="shared" si="8"/>
        <v>40707.848898469594</v>
      </c>
    </row>
    <row r="11" spans="2:15" x14ac:dyDescent="0.25">
      <c r="B11" s="52" t="str">
        <f>'3-Inputs'!B96</f>
        <v>Additional Rehabilitation (25 years after initial rehab) (2022$)</v>
      </c>
      <c r="C11" s="58">
        <f>'3-Inputs'!C96</f>
        <v>27941434.612622675</v>
      </c>
      <c r="E11" s="2">
        <f t="shared" si="2"/>
        <v>8</v>
      </c>
      <c r="F11" s="2">
        <f t="shared" si="3"/>
        <v>2036</v>
      </c>
      <c r="H11" s="31">
        <f t="shared" si="0"/>
        <v>37255.246150163563</v>
      </c>
      <c r="I11" s="31">
        <f t="shared" si="4"/>
        <v>0</v>
      </c>
      <c r="J11" s="31">
        <f t="shared" si="6"/>
        <v>9313.8115375408906</v>
      </c>
      <c r="K11" s="31"/>
      <c r="L11" s="31"/>
      <c r="M11" s="31"/>
      <c r="N11" s="31">
        <f t="shared" si="7"/>
        <v>46569.057687704451</v>
      </c>
      <c r="O11" s="31">
        <f t="shared" si="8"/>
        <v>30372.191970804743</v>
      </c>
    </row>
    <row r="12" spans="2:15" x14ac:dyDescent="0.25">
      <c r="E12" s="2">
        <f t="shared" si="2"/>
        <v>9</v>
      </c>
      <c r="F12" s="2">
        <f t="shared" si="3"/>
        <v>2037</v>
      </c>
      <c r="H12" s="31">
        <f t="shared" si="0"/>
        <v>37255.246150163563</v>
      </c>
      <c r="I12" s="31">
        <f t="shared" si="4"/>
        <v>4656.9057687704453</v>
      </c>
      <c r="J12" s="31">
        <f t="shared" si="6"/>
        <v>0</v>
      </c>
      <c r="K12" s="31"/>
      <c r="L12" s="31"/>
      <c r="M12" s="31"/>
      <c r="N12" s="31">
        <f t="shared" si="7"/>
        <v>41912.151918934011</v>
      </c>
      <c r="O12" s="31">
        <f t="shared" si="8"/>
        <v>26513.067675775241</v>
      </c>
    </row>
    <row r="13" spans="2:15" x14ac:dyDescent="0.25">
      <c r="E13" s="2">
        <f t="shared" si="2"/>
        <v>10</v>
      </c>
      <c r="F13" s="2">
        <f t="shared" si="3"/>
        <v>2038</v>
      </c>
      <c r="H13" s="31">
        <f t="shared" si="0"/>
        <v>37255.246150163563</v>
      </c>
      <c r="I13" s="31">
        <f t="shared" si="4"/>
        <v>0</v>
      </c>
      <c r="J13" s="31">
        <f t="shared" si="6"/>
        <v>9313.8115375408906</v>
      </c>
      <c r="K13" s="31"/>
      <c r="L13" s="31"/>
      <c r="M13" s="31"/>
      <c r="N13" s="31">
        <f t="shared" si="7"/>
        <v>46569.057687704451</v>
      </c>
      <c r="O13" s="31">
        <f t="shared" si="8"/>
        <v>28573.195038016205</v>
      </c>
    </row>
    <row r="14" spans="2:15" x14ac:dyDescent="0.25">
      <c r="E14" s="2">
        <f t="shared" si="2"/>
        <v>11</v>
      </c>
      <c r="F14" s="2">
        <f t="shared" si="3"/>
        <v>2039</v>
      </c>
      <c r="H14" s="31">
        <f t="shared" si="0"/>
        <v>37255.246150163563</v>
      </c>
      <c r="I14" s="31">
        <f t="shared" si="4"/>
        <v>4656.9057687704453</v>
      </c>
      <c r="J14" s="31">
        <f t="shared" si="6"/>
        <v>0</v>
      </c>
      <c r="K14" s="31"/>
      <c r="L14" s="31"/>
      <c r="M14" s="31"/>
      <c r="N14" s="31">
        <f t="shared" si="7"/>
        <v>41912.151918934011</v>
      </c>
      <c r="O14" s="31">
        <f t="shared" si="8"/>
        <v>24942.653282458381</v>
      </c>
    </row>
    <row r="15" spans="2:15" x14ac:dyDescent="0.25">
      <c r="E15" s="2">
        <f t="shared" si="2"/>
        <v>12</v>
      </c>
      <c r="F15" s="2">
        <f t="shared" si="3"/>
        <v>2040</v>
      </c>
      <c r="H15" s="31">
        <f t="shared" si="0"/>
        <v>37255.246150163563</v>
      </c>
      <c r="I15" s="31">
        <f t="shared" si="4"/>
        <v>0</v>
      </c>
      <c r="J15" s="31">
        <f t="shared" si="6"/>
        <v>9313.8115375408906</v>
      </c>
      <c r="K15" s="31">
        <f>K10</f>
        <v>18627.623075081781</v>
      </c>
      <c r="L15" s="31"/>
      <c r="M15" s="31"/>
      <c r="N15" s="31">
        <f t="shared" si="7"/>
        <v>65196.680762786229</v>
      </c>
      <c r="O15" s="31">
        <f t="shared" si="8"/>
        <v>37633.058083243595</v>
      </c>
    </row>
    <row r="16" spans="2:15" x14ac:dyDescent="0.25">
      <c r="B16" s="52"/>
      <c r="C16" s="58"/>
      <c r="E16" s="2">
        <f t="shared" si="2"/>
        <v>13</v>
      </c>
      <c r="F16" s="2">
        <f t="shared" si="3"/>
        <v>2041</v>
      </c>
      <c r="H16" s="31">
        <f t="shared" si="0"/>
        <v>37255.246150163563</v>
      </c>
      <c r="I16" s="31">
        <f t="shared" si="4"/>
        <v>4656.9057687704453</v>
      </c>
      <c r="J16" s="31">
        <f t="shared" si="6"/>
        <v>0</v>
      </c>
      <c r="K16" s="31"/>
      <c r="L16" s="31"/>
      <c r="M16" s="31"/>
      <c r="N16" s="31">
        <f t="shared" si="7"/>
        <v>41912.151918934011</v>
      </c>
      <c r="O16" s="31">
        <f t="shared" si="8"/>
        <v>23465.257222474189</v>
      </c>
    </row>
    <row r="17" spans="2:16" x14ac:dyDescent="0.25">
      <c r="B17" s="52"/>
      <c r="C17" s="58"/>
      <c r="E17" s="2">
        <f t="shared" si="2"/>
        <v>14</v>
      </c>
      <c r="F17" s="2">
        <f t="shared" si="3"/>
        <v>2042</v>
      </c>
      <c r="H17" s="31">
        <f t="shared" si="0"/>
        <v>37255.246150163563</v>
      </c>
      <c r="I17" s="31">
        <f t="shared" si="4"/>
        <v>0</v>
      </c>
      <c r="J17" s="31">
        <f t="shared" si="6"/>
        <v>9313.8115375408906</v>
      </c>
      <c r="K17" s="31"/>
      <c r="L17" s="31"/>
      <c r="M17" s="31"/>
      <c r="N17" s="31">
        <f t="shared" si="7"/>
        <v>46569.057687704451</v>
      </c>
      <c r="O17" s="31">
        <f t="shared" si="8"/>
        <v>25288.562584841238</v>
      </c>
    </row>
    <row r="18" spans="2:16" x14ac:dyDescent="0.25">
      <c r="B18" s="52"/>
      <c r="C18" s="58"/>
      <c r="E18" s="2">
        <f t="shared" si="2"/>
        <v>15</v>
      </c>
      <c r="F18" s="2">
        <f t="shared" si="3"/>
        <v>2043</v>
      </c>
      <c r="H18" s="31">
        <f t="shared" si="0"/>
        <v>37255.246150163563</v>
      </c>
      <c r="I18" s="31">
        <f t="shared" si="4"/>
        <v>4656.9057687704453</v>
      </c>
      <c r="J18" s="31">
        <f t="shared" si="6"/>
        <v>0</v>
      </c>
      <c r="K18" s="31"/>
      <c r="L18" s="31"/>
      <c r="M18" s="31"/>
      <c r="N18" s="31">
        <f t="shared" si="7"/>
        <v>41912.151918934011</v>
      </c>
      <c r="O18" s="31">
        <f t="shared" si="8"/>
        <v>22075.369860676157</v>
      </c>
    </row>
    <row r="19" spans="2:16" x14ac:dyDescent="0.25">
      <c r="E19" s="2">
        <f t="shared" si="2"/>
        <v>16</v>
      </c>
      <c r="F19" s="2">
        <f t="shared" si="3"/>
        <v>2044</v>
      </c>
      <c r="H19" s="31">
        <f t="shared" si="0"/>
        <v>37255.246150163563</v>
      </c>
      <c r="I19" s="31">
        <f t="shared" si="4"/>
        <v>0</v>
      </c>
      <c r="J19" s="31">
        <f t="shared" si="6"/>
        <v>9313.8115375408906</v>
      </c>
      <c r="K19" s="31"/>
      <c r="L19" s="31"/>
      <c r="M19" s="31"/>
      <c r="N19" s="31">
        <f t="shared" si="7"/>
        <v>46569.057687704451</v>
      </c>
      <c r="O19" s="31">
        <f t="shared" si="8"/>
        <v>23790.677724621357</v>
      </c>
    </row>
    <row r="20" spans="2:16" x14ac:dyDescent="0.25">
      <c r="E20" s="2">
        <f t="shared" si="2"/>
        <v>17</v>
      </c>
      <c r="F20" s="2">
        <f t="shared" si="3"/>
        <v>2045</v>
      </c>
      <c r="H20" s="31">
        <f t="shared" si="0"/>
        <v>37255.246150163563</v>
      </c>
      <c r="I20" s="31">
        <f t="shared" si="4"/>
        <v>4656.9057687704453</v>
      </c>
      <c r="J20" s="31">
        <f t="shared" si="6"/>
        <v>0</v>
      </c>
      <c r="K20" s="31">
        <f>K15</f>
        <v>18627.623075081781</v>
      </c>
      <c r="L20" s="31"/>
      <c r="M20" s="31"/>
      <c r="N20" s="31">
        <f t="shared" si="7"/>
        <v>60539.774994015796</v>
      </c>
      <c r="O20" s="31">
        <f t="shared" si="8"/>
        <v>29997.944754614713</v>
      </c>
    </row>
    <row r="21" spans="2:16" x14ac:dyDescent="0.25">
      <c r="E21" s="2">
        <f t="shared" si="2"/>
        <v>18</v>
      </c>
      <c r="F21" s="2">
        <f t="shared" si="3"/>
        <v>2046</v>
      </c>
      <c r="H21" s="31">
        <f t="shared" si="0"/>
        <v>37255.246150163563</v>
      </c>
      <c r="I21" s="31">
        <f t="shared" si="4"/>
        <v>0</v>
      </c>
      <c r="J21" s="31">
        <f t="shared" si="6"/>
        <v>9313.8115375408906</v>
      </c>
      <c r="K21" s="31"/>
      <c r="L21" s="31"/>
      <c r="M21" s="31"/>
      <c r="N21" s="31">
        <f t="shared" si="7"/>
        <v>46569.057687704451</v>
      </c>
      <c r="O21" s="31">
        <f t="shared" si="8"/>
        <v>22381.515149305909</v>
      </c>
    </row>
    <row r="22" spans="2:16" x14ac:dyDescent="0.25">
      <c r="E22" s="2">
        <f t="shared" si="2"/>
        <v>19</v>
      </c>
      <c r="F22" s="2">
        <f t="shared" si="3"/>
        <v>2047</v>
      </c>
      <c r="H22" s="31">
        <f t="shared" si="0"/>
        <v>37255.246150163563</v>
      </c>
      <c r="I22" s="31">
        <f t="shared" si="4"/>
        <v>4656.9057687704453</v>
      </c>
      <c r="J22" s="31">
        <f t="shared" si="6"/>
        <v>0</v>
      </c>
      <c r="K22" s="31"/>
      <c r="L22" s="31"/>
      <c r="M22" s="31"/>
      <c r="N22" s="31">
        <f t="shared" si="7"/>
        <v>41912.151918934011</v>
      </c>
      <c r="O22" s="31">
        <f t="shared" si="8"/>
        <v>19537.695086687992</v>
      </c>
    </row>
    <row r="23" spans="2:16" x14ac:dyDescent="0.25">
      <c r="E23" s="2">
        <f t="shared" si="2"/>
        <v>20</v>
      </c>
      <c r="F23" s="2">
        <f t="shared" si="3"/>
        <v>2048</v>
      </c>
      <c r="H23" s="31">
        <f t="shared" si="0"/>
        <v>37255.246150163563</v>
      </c>
      <c r="I23" s="31">
        <f t="shared" si="4"/>
        <v>0</v>
      </c>
      <c r="J23" s="31">
        <f t="shared" si="6"/>
        <v>9313.8115375408906</v>
      </c>
      <c r="K23" s="31"/>
      <c r="L23" s="31"/>
      <c r="M23" s="31"/>
      <c r="N23" s="31">
        <f t="shared" si="7"/>
        <v>46569.057687704451</v>
      </c>
      <c r="O23" s="31">
        <f t="shared" si="8"/>
        <v>21055.819686052371</v>
      </c>
    </row>
    <row r="24" spans="2:16" x14ac:dyDescent="0.25">
      <c r="E24" s="2">
        <f t="shared" si="2"/>
        <v>21</v>
      </c>
      <c r="F24" s="2">
        <f t="shared" si="3"/>
        <v>2049</v>
      </c>
      <c r="H24" s="31">
        <f t="shared" si="0"/>
        <v>37255.246150163563</v>
      </c>
      <c r="I24" s="31">
        <f t="shared" si="4"/>
        <v>4656.9057687704453</v>
      </c>
      <c r="J24" s="31">
        <f t="shared" si="6"/>
        <v>0</v>
      </c>
      <c r="K24" s="31"/>
      <c r="L24" s="31"/>
      <c r="M24" s="31"/>
      <c r="N24" s="31">
        <f t="shared" si="7"/>
        <v>41912.151918934011</v>
      </c>
      <c r="O24" s="31">
        <f t="shared" si="8"/>
        <v>18380.44395484688</v>
      </c>
    </row>
    <row r="25" spans="2:16" x14ac:dyDescent="0.25">
      <c r="E25" s="2">
        <f t="shared" si="2"/>
        <v>22</v>
      </c>
      <c r="F25" s="2">
        <f t="shared" si="3"/>
        <v>2050</v>
      </c>
      <c r="H25" s="31">
        <f t="shared" si="0"/>
        <v>37255.246150163563</v>
      </c>
      <c r="I25" s="31">
        <f t="shared" si="4"/>
        <v>0</v>
      </c>
      <c r="J25" s="31">
        <f t="shared" si="6"/>
        <v>9313.8115375408906</v>
      </c>
      <c r="K25" s="31">
        <f>K20</f>
        <v>18627.623075081781</v>
      </c>
      <c r="L25" s="31"/>
      <c r="M25" s="31"/>
      <c r="N25" s="31">
        <f t="shared" si="7"/>
        <v>65196.680762786229</v>
      </c>
      <c r="O25" s="31">
        <f t="shared" si="8"/>
        <v>27732.10640886478</v>
      </c>
    </row>
    <row r="26" spans="2:16" ht="15" x14ac:dyDescent="0.25">
      <c r="E26" s="2">
        <f t="shared" si="2"/>
        <v>23</v>
      </c>
      <c r="F26" s="2">
        <f t="shared" si="3"/>
        <v>2051</v>
      </c>
      <c r="H26" s="31">
        <f t="shared" si="0"/>
        <v>37255.246150163563</v>
      </c>
      <c r="I26" s="31">
        <f t="shared" si="4"/>
        <v>4656.9057687704453</v>
      </c>
      <c r="J26" s="31">
        <f t="shared" si="6"/>
        <v>0</v>
      </c>
      <c r="K26" s="31"/>
      <c r="L26" s="31"/>
      <c r="M26" s="31"/>
      <c r="N26" s="31">
        <f t="shared" si="7"/>
        <v>41912.151918934011</v>
      </c>
      <c r="O26" s="31">
        <f t="shared" si="8"/>
        <v>17291.738788955459</v>
      </c>
      <c r="P26"/>
    </row>
    <row r="27" spans="2:16" ht="15" x14ac:dyDescent="0.25">
      <c r="E27" s="2">
        <f t="shared" si="2"/>
        <v>24</v>
      </c>
      <c r="F27" s="2">
        <f t="shared" si="3"/>
        <v>2052</v>
      </c>
      <c r="H27" s="31">
        <f t="shared" si="0"/>
        <v>37255.246150163563</v>
      </c>
      <c r="I27" s="31">
        <f t="shared" si="4"/>
        <v>0</v>
      </c>
      <c r="J27" s="31">
        <f t="shared" si="6"/>
        <v>9313.8115375408906</v>
      </c>
      <c r="K27" s="31"/>
      <c r="L27" s="31"/>
      <c r="M27" s="31"/>
      <c r="N27" s="31">
        <f t="shared" si="7"/>
        <v>46569.057687704451</v>
      </c>
      <c r="O27" s="31">
        <f t="shared" si="8"/>
        <v>18635.347331561006</v>
      </c>
      <c r="P27"/>
    </row>
    <row r="28" spans="2:16" ht="15" x14ac:dyDescent="0.25">
      <c r="E28" s="2">
        <f t="shared" si="2"/>
        <v>25</v>
      </c>
      <c r="F28" s="2">
        <f t="shared" si="3"/>
        <v>2053</v>
      </c>
      <c r="H28" s="31">
        <f t="shared" si="0"/>
        <v>37255.246150163563</v>
      </c>
      <c r="I28" s="31">
        <f t="shared" si="4"/>
        <v>4656.9057687704453</v>
      </c>
      <c r="J28" s="31">
        <f t="shared" si="6"/>
        <v>0</v>
      </c>
      <c r="K28" s="31"/>
      <c r="L28" s="31"/>
      <c r="M28" s="31"/>
      <c r="N28" s="31">
        <f t="shared" si="7"/>
        <v>41912.151918934011</v>
      </c>
      <c r="O28" s="31">
        <f t="shared" si="8"/>
        <v>16267.519494088176</v>
      </c>
      <c r="P28"/>
    </row>
    <row r="29" spans="2:16" ht="15" x14ac:dyDescent="0.25">
      <c r="E29" s="2">
        <f t="shared" si="2"/>
        <v>26</v>
      </c>
      <c r="F29" s="2">
        <f t="shared" si="3"/>
        <v>2054</v>
      </c>
      <c r="H29" s="31">
        <f t="shared" si="0"/>
        <v>37255.246150163563</v>
      </c>
      <c r="I29" s="31">
        <f t="shared" si="4"/>
        <v>0</v>
      </c>
      <c r="J29" s="31">
        <f t="shared" si="6"/>
        <v>9313.8115375408906</v>
      </c>
      <c r="K29" s="31"/>
      <c r="L29" s="31"/>
      <c r="M29" s="31"/>
      <c r="N29" s="31">
        <f t="shared" si="7"/>
        <v>46569.057687704451</v>
      </c>
      <c r="O29" s="31">
        <f t="shared" si="8"/>
        <v>17531.543802228876</v>
      </c>
      <c r="P29"/>
    </row>
    <row r="30" spans="2:16" ht="15" x14ac:dyDescent="0.25">
      <c r="E30" s="2">
        <f t="shared" si="2"/>
        <v>27</v>
      </c>
      <c r="F30" s="2">
        <f t="shared" si="3"/>
        <v>2055</v>
      </c>
      <c r="H30" s="31">
        <f t="shared" si="0"/>
        <v>37255.246150163563</v>
      </c>
      <c r="I30" s="31">
        <f t="shared" si="4"/>
        <v>4656.9057687704453</v>
      </c>
      <c r="J30" s="31">
        <f t="shared" si="6"/>
        <v>0</v>
      </c>
      <c r="K30" s="31">
        <f>K25</f>
        <v>18627.623075081781</v>
      </c>
      <c r="L30" s="31"/>
      <c r="M30" s="31"/>
      <c r="N30" s="31">
        <f t="shared" si="7"/>
        <v>60539.774994015796</v>
      </c>
      <c r="O30" s="31">
        <f t="shared" si="8"/>
        <v>22105.729333557269</v>
      </c>
      <c r="P30"/>
    </row>
    <row r="31" spans="2:16" ht="15" x14ac:dyDescent="0.25">
      <c r="E31" s="2">
        <f t="shared" si="2"/>
        <v>28</v>
      </c>
      <c r="F31" s="2">
        <f t="shared" si="3"/>
        <v>2056</v>
      </c>
      <c r="H31" s="31">
        <f t="shared" si="0"/>
        <v>37255.246150163563</v>
      </c>
      <c r="I31" s="31">
        <f t="shared" si="4"/>
        <v>0</v>
      </c>
      <c r="J31" s="31">
        <f t="shared" si="6"/>
        <v>9313.8115375408906</v>
      </c>
      <c r="K31" s="31"/>
      <c r="L31" s="31"/>
      <c r="M31" s="31"/>
      <c r="N31" s="31">
        <f t="shared" si="7"/>
        <v>46569.057687704451</v>
      </c>
      <c r="O31" s="31">
        <f t="shared" si="8"/>
        <v>16493.120445838445</v>
      </c>
      <c r="P31"/>
    </row>
    <row r="32" spans="2:16" ht="15" x14ac:dyDescent="0.25">
      <c r="E32" s="2">
        <f t="shared" si="2"/>
        <v>29</v>
      </c>
      <c r="F32" s="2">
        <f t="shared" si="3"/>
        <v>2057</v>
      </c>
      <c r="H32" s="31">
        <f t="shared" si="0"/>
        <v>37255.246150163563</v>
      </c>
      <c r="I32" s="31">
        <f t="shared" si="4"/>
        <v>4656.9057687704453</v>
      </c>
      <c r="J32" s="31">
        <f t="shared" si="6"/>
        <v>0</v>
      </c>
      <c r="K32" s="31"/>
      <c r="L32" s="31"/>
      <c r="M32" s="31"/>
      <c r="N32" s="31">
        <f t="shared" si="7"/>
        <v>41912.151918934011</v>
      </c>
      <c r="O32" s="31">
        <f t="shared" si="8"/>
        <v>14397.486325174201</v>
      </c>
      <c r="P32"/>
    </row>
    <row r="33" spans="5:18" ht="15" x14ac:dyDescent="0.25">
      <c r="E33" s="2">
        <f t="shared" si="2"/>
        <v>30</v>
      </c>
      <c r="F33" s="2">
        <f t="shared" si="3"/>
        <v>2058</v>
      </c>
      <c r="H33" s="31">
        <f t="shared" si="0"/>
        <v>37255.246150163563</v>
      </c>
      <c r="I33" s="31">
        <f t="shared" si="4"/>
        <v>0</v>
      </c>
      <c r="J33" s="31">
        <f t="shared" si="6"/>
        <v>9313.8115375408906</v>
      </c>
      <c r="K33" s="31"/>
      <c r="L33" s="31"/>
      <c r="M33" s="31">
        <f>$C$11</f>
        <v>27941434.612622675</v>
      </c>
      <c r="N33" s="31">
        <f t="shared" si="7"/>
        <v>27988003.670310378</v>
      </c>
      <c r="O33" s="31">
        <f t="shared" si="8"/>
        <v>9325239.014365444</v>
      </c>
      <c r="P33"/>
    </row>
    <row r="34" spans="5:18" ht="15" x14ac:dyDescent="0.25">
      <c r="E34"/>
      <c r="F34" s="56" t="s">
        <v>156</v>
      </c>
      <c r="H34" s="57">
        <f t="shared" ref="H34:N34" si="9">SUM(H4:H33)</f>
        <v>1117657.3845049071</v>
      </c>
      <c r="I34" s="57">
        <f t="shared" si="9"/>
        <v>69853.586531556692</v>
      </c>
      <c r="J34" s="57">
        <f t="shared" si="9"/>
        <v>139707.17306311338</v>
      </c>
      <c r="K34" s="57">
        <f t="shared" si="9"/>
        <v>111765.73845049068</v>
      </c>
      <c r="L34" s="57">
        <f t="shared" si="9"/>
        <v>27941434.612622675</v>
      </c>
      <c r="M34" s="57">
        <f t="shared" si="9"/>
        <v>27941434.612622675</v>
      </c>
      <c r="N34" s="57">
        <f t="shared" si="9"/>
        <v>57321853.107795395</v>
      </c>
      <c r="O34" s="57">
        <f>SUM(O4:O33)</f>
        <v>30054890.853106312</v>
      </c>
      <c r="Q34" s="5" t="s">
        <v>669</v>
      </c>
      <c r="R34" s="58">
        <f>(O34/Deflator!C89)*Deflator!C91</f>
        <v>32269163.630770274</v>
      </c>
    </row>
    <row r="35" spans="5:18" ht="15" x14ac:dyDescent="0.25">
      <c r="E35"/>
      <c r="F35"/>
      <c r="G35"/>
      <c r="H35"/>
      <c r="I35"/>
      <c r="J35"/>
    </row>
    <row r="36" spans="5:18" ht="15" x14ac:dyDescent="0.25">
      <c r="E36"/>
      <c r="F36"/>
      <c r="G36"/>
      <c r="H36"/>
      <c r="I36"/>
      <c r="J36"/>
    </row>
    <row r="37" spans="5:18" ht="15" x14ac:dyDescent="0.25">
      <c r="E37"/>
      <c r="F37"/>
      <c r="G37"/>
      <c r="H37"/>
      <c r="I37"/>
      <c r="J37"/>
    </row>
    <row r="38" spans="5:18" ht="15" x14ac:dyDescent="0.25">
      <c r="E38"/>
      <c r="F38"/>
      <c r="G38"/>
      <c r="H38"/>
      <c r="I38"/>
      <c r="J38"/>
    </row>
    <row r="39" spans="5:18" ht="15" x14ac:dyDescent="0.25">
      <c r="E39"/>
      <c r="F39"/>
      <c r="G39"/>
      <c r="H39"/>
      <c r="I39"/>
      <c r="J39"/>
    </row>
    <row r="40" spans="5:18" ht="15" x14ac:dyDescent="0.25">
      <c r="E40"/>
      <c r="F40"/>
      <c r="G40"/>
      <c r="H40"/>
      <c r="I40"/>
      <c r="J40"/>
    </row>
    <row r="41" spans="5:18" ht="15" x14ac:dyDescent="0.25">
      <c r="E41"/>
      <c r="F41"/>
      <c r="G41"/>
      <c r="H41"/>
      <c r="I41"/>
      <c r="J41"/>
    </row>
    <row r="42" spans="5:18" ht="15" x14ac:dyDescent="0.25">
      <c r="E42"/>
      <c r="F42"/>
      <c r="G42"/>
      <c r="H42"/>
      <c r="I42"/>
      <c r="J42"/>
    </row>
    <row r="43" spans="5:18" ht="15" x14ac:dyDescent="0.25">
      <c r="E43"/>
      <c r="F43"/>
      <c r="G43"/>
      <c r="H43"/>
      <c r="I43"/>
      <c r="J43"/>
    </row>
    <row r="44" spans="5:18" ht="15" x14ac:dyDescent="0.25">
      <c r="E44"/>
      <c r="F44"/>
      <c r="G44"/>
      <c r="H44"/>
      <c r="I44"/>
      <c r="J44"/>
    </row>
    <row r="45" spans="5:18" ht="15" x14ac:dyDescent="0.25">
      <c r="E45"/>
      <c r="F45"/>
      <c r="G45"/>
      <c r="H45"/>
      <c r="I45"/>
      <c r="J45"/>
    </row>
    <row r="46" spans="5:18" ht="15" x14ac:dyDescent="0.25">
      <c r="E46"/>
      <c r="F46"/>
      <c r="G46"/>
      <c r="H46"/>
      <c r="I46"/>
      <c r="J46"/>
    </row>
    <row r="47" spans="5:18" ht="15" x14ac:dyDescent="0.25">
      <c r="E47"/>
      <c r="F47"/>
      <c r="G47"/>
      <c r="H47"/>
      <c r="I47"/>
      <c r="J47"/>
    </row>
    <row r="48" spans="5:18" ht="15" x14ac:dyDescent="0.25">
      <c r="E48"/>
      <c r="F48"/>
      <c r="G48"/>
      <c r="H48"/>
      <c r="I48"/>
      <c r="J48"/>
    </row>
    <row r="49" spans="5:10" ht="15" x14ac:dyDescent="0.25">
      <c r="E49"/>
      <c r="F49"/>
      <c r="G49"/>
      <c r="H49"/>
      <c r="I49"/>
      <c r="J49"/>
    </row>
    <row r="50" spans="5:10" ht="15" x14ac:dyDescent="0.25">
      <c r="E50"/>
      <c r="F50"/>
      <c r="G50"/>
      <c r="H50"/>
      <c r="I50"/>
      <c r="J50"/>
    </row>
    <row r="51" spans="5:10" ht="15" x14ac:dyDescent="0.25">
      <c r="E51"/>
      <c r="F51"/>
      <c r="G51"/>
      <c r="H51"/>
      <c r="I51"/>
      <c r="J51"/>
    </row>
  </sheetData>
  <sheetProtection algorithmName="SHA-512" hashValue="3An5kUeOfjr4dXyfXZM+ePr65GlGDQuAhCP1eXH+58z47QGsXN7ZZ7s5tu1Z5NQh7WU4rRllUO2904Znuj8vbw==" saltValue="eGkEBL3k9OmAJDK/BwVePQ==" spinCount="100000" sheet="1" objects="1" scenarios="1"/>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7896-F7C6-4336-A095-CBF45065AEA0}">
  <sheetPr>
    <tabColor theme="5" tint="0.79998168889431442"/>
  </sheetPr>
  <dimension ref="A1:M31"/>
  <sheetViews>
    <sheetView zoomScale="91" workbookViewId="0">
      <selection activeCell="Q19" sqref="Q19"/>
    </sheetView>
  </sheetViews>
  <sheetFormatPr defaultColWidth="9" defaultRowHeight="13.5" x14ac:dyDescent="0.25"/>
  <cols>
    <col min="1" max="1" width="4.375" style="5" customWidth="1"/>
    <col min="2" max="2" width="29" style="5" customWidth="1"/>
    <col min="3" max="4" width="9" style="5" bestFit="1"/>
    <col min="5" max="5" width="15.25" style="5" customWidth="1"/>
    <col min="6" max="6" width="9" style="5" bestFit="1"/>
    <col min="7" max="7" width="16.875" style="5" customWidth="1"/>
    <col min="8" max="11" width="14.375" style="5" customWidth="1"/>
    <col min="12" max="12" width="13.375" style="5" customWidth="1"/>
    <col min="13" max="13" width="9.375" style="5" customWidth="1"/>
    <col min="14" max="16384" width="9" style="5"/>
  </cols>
  <sheetData>
    <row r="1" spans="1:12" ht="15" x14ac:dyDescent="0.25">
      <c r="A1"/>
    </row>
    <row r="2" spans="1:12" x14ac:dyDescent="0.25">
      <c r="B2" s="47" t="s">
        <v>157</v>
      </c>
      <c r="C2" s="47" t="s">
        <v>34</v>
      </c>
      <c r="E2" s="5" t="s">
        <v>179</v>
      </c>
    </row>
    <row r="3" spans="1:12" ht="27" x14ac:dyDescent="0.25">
      <c r="B3" s="5" t="str">
        <f>'3-Inputs'!B4</f>
        <v>Discount Rate</v>
      </c>
      <c r="C3" s="48">
        <f>'3-Inputs'!C4</f>
        <v>3.1E-2</v>
      </c>
      <c r="E3" s="49" t="s">
        <v>557</v>
      </c>
      <c r="F3" s="49" t="s">
        <v>174</v>
      </c>
      <c r="G3" s="49" t="s">
        <v>671</v>
      </c>
      <c r="H3" s="49" t="s">
        <v>240</v>
      </c>
      <c r="I3" s="49" t="s">
        <v>400</v>
      </c>
      <c r="J3" s="49" t="s">
        <v>404</v>
      </c>
      <c r="K3" s="49" t="s">
        <v>488</v>
      </c>
      <c r="L3" s="49" t="s">
        <v>244</v>
      </c>
    </row>
    <row r="4" spans="1:12" x14ac:dyDescent="0.25">
      <c r="B4" s="5" t="str">
        <f>'3-Inputs'!B6</f>
        <v>Discount Year</v>
      </c>
      <c r="C4" s="5">
        <f>'3-Inputs'!C6</f>
        <v>2022</v>
      </c>
      <c r="E4" s="106">
        <v>1</v>
      </c>
      <c r="F4" s="2">
        <f>C7</f>
        <v>2026</v>
      </c>
      <c r="G4" s="2">
        <f>_xlfn.XLOOKUP(F4,'6-Traffic Data'!$F$9:$F$48,'6-Traffic Data'!$W$9:$W$48)</f>
        <v>0.5</v>
      </c>
      <c r="H4" s="129">
        <f>_xlfn.XLOOKUP(F4,'6-Traffic Data'!$F$9:$F$48,'6-Traffic Data'!$J$9:$J$48)*G4</f>
        <v>1202798.2792329546</v>
      </c>
      <c r="I4" s="110">
        <f>$C$18*(1+$C$13)</f>
        <v>6.4253080253080269E-2</v>
      </c>
      <c r="J4" s="50">
        <f>I4*H4</f>
        <v>77283.494363821883</v>
      </c>
      <c r="K4" s="31">
        <f>J4*$C$6*$C$9</f>
        <v>-2588997.0611880329</v>
      </c>
      <c r="L4" s="31">
        <f>K4/((1+$C$3)^($F4-$C$4))</f>
        <v>-2291378.8299388317</v>
      </c>
    </row>
    <row r="5" spans="1:12" x14ac:dyDescent="0.25">
      <c r="B5" s="5" t="str">
        <f>'3-Inputs'!B48</f>
        <v>Travel Time- All Purposes</v>
      </c>
      <c r="C5" s="52">
        <f>'3-Inputs'!C48</f>
        <v>19.600000000000001</v>
      </c>
      <c r="E5" s="106">
        <f t="shared" ref="E5:E7" si="0">E4+1</f>
        <v>2</v>
      </c>
      <c r="F5" s="2">
        <f>F4+1</f>
        <v>2027</v>
      </c>
      <c r="G5" s="2">
        <f>_xlfn.XLOOKUP(F5,'6-Traffic Data'!$F$9:$F$48,'6-Traffic Data'!$W$9:$W$48)</f>
        <v>1</v>
      </c>
      <c r="H5" s="129">
        <f>_xlfn.XLOOKUP(F5,'6-Traffic Data'!$F$9:$F$48,'6-Traffic Data'!$J$9:$J$48)*G5</f>
        <v>2462792.6254738588</v>
      </c>
      <c r="I5" s="110">
        <f>$C$18*(1+$C$13)</f>
        <v>6.4253080253080269E-2</v>
      </c>
      <c r="J5" s="50">
        <f>I5*H5</f>
        <v>158242.01221126612</v>
      </c>
      <c r="K5" s="31">
        <f>J5*$C$6*$C$9</f>
        <v>-5301107.4090774152</v>
      </c>
      <c r="L5" s="31">
        <f t="shared" ref="L5:L7" si="1">K5/((1+$C$3)^($F5-$C$4))</f>
        <v>-4550648.3561431179</v>
      </c>
    </row>
    <row r="6" spans="1:12" x14ac:dyDescent="0.25">
      <c r="B6" s="5" t="str">
        <f>'3-Inputs'!B49</f>
        <v>Travel Time- Truck Drivers</v>
      </c>
      <c r="C6" s="52">
        <f>'3-Inputs'!C49</f>
        <v>33.5</v>
      </c>
      <c r="E6" s="106">
        <f t="shared" si="0"/>
        <v>3</v>
      </c>
      <c r="F6" s="2">
        <f>F5+1</f>
        <v>2028</v>
      </c>
      <c r="G6" s="2">
        <f>_xlfn.XLOOKUP(F6,'6-Traffic Data'!$F$9:$F$48,'6-Traffic Data'!$W$9:$W$48)</f>
        <v>1</v>
      </c>
      <c r="H6" s="129">
        <f>_xlfn.XLOOKUP(F6,'6-Traffic Data'!$F$9:$F$48,'6-Traffic Data'!$J$9:$J$48)*G6</f>
        <v>2521348.6005136291</v>
      </c>
      <c r="I6" s="110">
        <f>$C$18*(1+$C$13)</f>
        <v>6.4253080253080269E-2</v>
      </c>
      <c r="J6" s="50">
        <f>I6*H6</f>
        <v>162004.41397479383</v>
      </c>
      <c r="K6" s="31">
        <f>J6*$C$6*$C$9</f>
        <v>-5427147.8681555931</v>
      </c>
      <c r="L6" s="31">
        <f t="shared" si="1"/>
        <v>-4518764.0277319103</v>
      </c>
    </row>
    <row r="7" spans="1:12" x14ac:dyDescent="0.25">
      <c r="B7" s="5" t="str">
        <f>'3-Inputs'!B107</f>
        <v>Construction Close Date- Start</v>
      </c>
      <c r="C7" s="5">
        <f>'3-Inputs'!C107</f>
        <v>2026</v>
      </c>
      <c r="E7" s="106">
        <f t="shared" si="0"/>
        <v>4</v>
      </c>
      <c r="F7" s="2">
        <f>F6+1</f>
        <v>2029</v>
      </c>
      <c r="G7" s="2">
        <f>_xlfn.XLOOKUP(F7,'6-Traffic Data'!$F$9:$F$48,'6-Traffic Data'!$W$9:$W$48)</f>
        <v>0.5</v>
      </c>
      <c r="H7" s="129">
        <f>_xlfn.XLOOKUP(F7,'6-Traffic Data'!$F$9:$F$48,'6-Traffic Data'!$J$9:$J$48)*G7</f>
        <v>1290648.4085497991</v>
      </c>
      <c r="I7" s="110">
        <f>$C$18*(1+$C$13)</f>
        <v>6.4253080253080269E-2</v>
      </c>
      <c r="J7" s="50">
        <f>I7*H7</f>
        <v>82928.135773060567</v>
      </c>
      <c r="K7" s="31">
        <f>J7*$C$6*$C$9</f>
        <v>-2778092.5483975289</v>
      </c>
      <c r="L7" s="31">
        <f t="shared" si="1"/>
        <v>-2243551.5491720112</v>
      </c>
    </row>
    <row r="8" spans="1:12" x14ac:dyDescent="0.25">
      <c r="B8" s="5" t="str">
        <f>'3-Inputs'!B108</f>
        <v>Construction Close Date- End</v>
      </c>
      <c r="C8" s="5">
        <f>'3-Inputs'!C108</f>
        <v>2029</v>
      </c>
      <c r="H8" s="54"/>
      <c r="I8" s="56" t="s">
        <v>156</v>
      </c>
      <c r="J8" s="50">
        <f>SUM(J4:J7)</f>
        <v>480458.05632294243</v>
      </c>
      <c r="K8" s="57">
        <f>SUM(K4:K7)</f>
        <v>-16095344.886818569</v>
      </c>
      <c r="L8" s="57">
        <f>SUM(L4:L7)</f>
        <v>-13604342.76298587</v>
      </c>
    </row>
    <row r="9" spans="1:12" x14ac:dyDescent="0.25">
      <c r="B9" s="5" t="str">
        <f>'3-Inputs'!B19</f>
        <v>Disbenefit</v>
      </c>
      <c r="C9" s="5">
        <f>'3-Inputs'!C19</f>
        <v>-1</v>
      </c>
      <c r="H9" s="54"/>
      <c r="I9" s="55"/>
      <c r="J9" s="108"/>
      <c r="K9" s="109"/>
      <c r="L9" s="109"/>
    </row>
    <row r="10" spans="1:12" x14ac:dyDescent="0.25">
      <c r="B10" s="5" t="str">
        <f>'3-Inputs'!B109</f>
        <v>Construction zone speed limit</v>
      </c>
      <c r="C10" s="5">
        <f>'3-Inputs'!C109</f>
        <v>55</v>
      </c>
      <c r="E10" s="5" t="s">
        <v>247</v>
      </c>
    </row>
    <row r="11" spans="1:12" ht="27" x14ac:dyDescent="0.25">
      <c r="B11" s="5" t="str">
        <f>'3-Inputs'!B110</f>
        <v>I-40 Freeflow Speed Limit (miles/hour)</v>
      </c>
      <c r="C11" s="5">
        <f>'3-Inputs'!C110</f>
        <v>70</v>
      </c>
      <c r="E11" s="49" t="s">
        <v>558</v>
      </c>
      <c r="F11" s="49" t="s">
        <v>174</v>
      </c>
      <c r="G11" s="49" t="s">
        <v>671</v>
      </c>
      <c r="H11" s="49" t="s">
        <v>493</v>
      </c>
      <c r="I11" s="49" t="s">
        <v>400</v>
      </c>
      <c r="J11" s="49" t="s">
        <v>404</v>
      </c>
      <c r="K11" s="49" t="s">
        <v>488</v>
      </c>
      <c r="L11" s="49" t="s">
        <v>244</v>
      </c>
    </row>
    <row r="12" spans="1:12" x14ac:dyDescent="0.25">
      <c r="B12" s="5" t="str">
        <f>'3-Inputs'!B112</f>
        <v>Construction Zone Length (miles)</v>
      </c>
      <c r="C12" s="5">
        <f>'3-Inputs'!C112</f>
        <v>4</v>
      </c>
      <c r="E12" s="106">
        <v>1</v>
      </c>
      <c r="F12" s="2">
        <f>C7</f>
        <v>2026</v>
      </c>
      <c r="G12" s="2">
        <f>_xlfn.XLOOKUP(F12,'6-Traffic Data'!$F$9:$F$48,'6-Traffic Data'!$W$9:$W$48)</f>
        <v>0.5</v>
      </c>
      <c r="H12" s="129">
        <f>_xlfn.XLOOKUP(F12,'6-Traffic Data'!$F$9:$F$48,'6-Traffic Data'!$K$9:$K$48)*G12</f>
        <v>1523209.5230494421</v>
      </c>
      <c r="I12" s="110">
        <f>$C$18*(1+$C$13)</f>
        <v>6.4253080253080269E-2</v>
      </c>
      <c r="J12" s="50">
        <f>I12*H12</f>
        <v>97870.903726751916</v>
      </c>
      <c r="K12" s="31">
        <f>J12*$C$5*$C$9</f>
        <v>-1918269.7130443377</v>
      </c>
      <c r="L12" s="31">
        <f>K12/((1+$C$3)^($F12-$C$4))</f>
        <v>-1697754.9632928686</v>
      </c>
    </row>
    <row r="13" spans="1:12" x14ac:dyDescent="0.25">
      <c r="B13" s="113" t="str">
        <f>'3-Inputs'!B113</f>
        <v>Congestion Factor</v>
      </c>
      <c r="C13" s="113">
        <f>'3-Inputs'!C113</f>
        <v>0.78</v>
      </c>
      <c r="E13" s="106">
        <f t="shared" ref="E13:E15" si="2">E12+1</f>
        <v>2</v>
      </c>
      <c r="F13" s="2">
        <f>F12+1</f>
        <v>2027</v>
      </c>
      <c r="G13" s="2">
        <f>_xlfn.XLOOKUP(F13,'6-Traffic Data'!$F$9:$F$48,'6-Traffic Data'!$W$9:$W$48)</f>
        <v>1</v>
      </c>
      <c r="H13" s="129">
        <f>_xlfn.XLOOKUP(F13,'6-Traffic Data'!$F$9:$F$48,'6-Traffic Data'!$K$9:$K$48)*G13</f>
        <v>3118862.1114323828</v>
      </c>
      <c r="I13" s="110">
        <f>$C$18*(1+$C$13)</f>
        <v>6.4253080253080269E-2</v>
      </c>
      <c r="J13" s="50">
        <f t="shared" ref="J13:J15" si="3">I13*H13</f>
        <v>200396.49754415627</v>
      </c>
      <c r="K13" s="31">
        <f>J13*$C$5*$C$9</f>
        <v>-3927771.3518654634</v>
      </c>
      <c r="L13" s="31">
        <f>K13/((1+$C$3)^($F13-$C$4))</f>
        <v>-3371730.6340682711</v>
      </c>
    </row>
    <row r="14" spans="1:12" x14ac:dyDescent="0.25">
      <c r="B14" s="47" t="s">
        <v>245</v>
      </c>
      <c r="E14" s="106">
        <f t="shared" si="2"/>
        <v>3</v>
      </c>
      <c r="F14" s="2">
        <f t="shared" ref="F14:F15" si="4">F13+1</f>
        <v>2028</v>
      </c>
      <c r="G14" s="2">
        <f>_xlfn.XLOOKUP(F14,'6-Traffic Data'!$F$9:$F$48,'6-Traffic Data'!$W$9:$W$48)</f>
        <v>1</v>
      </c>
      <c r="H14" s="129">
        <f>_xlfn.XLOOKUP(F14,'6-Traffic Data'!$F$9:$F$48,'6-Traffic Data'!$K$9:$K$48)*G14</f>
        <v>3193027.8543212349</v>
      </c>
      <c r="I14" s="110">
        <f>$C$18*(1+$C$13)</f>
        <v>6.4253080253080269E-2</v>
      </c>
      <c r="J14" s="50">
        <f t="shared" si="3"/>
        <v>205161.874974023</v>
      </c>
      <c r="K14" s="31">
        <f>J14*$C$5*$C$9</f>
        <v>-4021172.7494908511</v>
      </c>
      <c r="L14" s="31">
        <f>K14/((1+$C$3)^($F14-$C$4))</f>
        <v>-3348117.8716935106</v>
      </c>
    </row>
    <row r="15" spans="1:12" x14ac:dyDescent="0.25">
      <c r="B15" s="5" t="s">
        <v>559</v>
      </c>
      <c r="C15" s="84">
        <f>C10*C13</f>
        <v>42.9</v>
      </c>
      <c r="E15" s="106">
        <f t="shared" si="2"/>
        <v>4</v>
      </c>
      <c r="F15" s="2">
        <f t="shared" si="4"/>
        <v>2029</v>
      </c>
      <c r="G15" s="2">
        <f>_xlfn.XLOOKUP(F15,'6-Traffic Data'!$F$9:$F$48,'6-Traffic Data'!$W$9:$W$48)</f>
        <v>0.5</v>
      </c>
      <c r="H15" s="129">
        <f>_xlfn.XLOOKUP(F15,'6-Traffic Data'!$F$9:$F$48,'6-Traffic Data'!$K$9:$K$48)*G15</f>
        <v>1634478.6197984351</v>
      </c>
      <c r="I15" s="110">
        <f>$C$18*(1+$C$13)</f>
        <v>6.4253080253080269E-2</v>
      </c>
      <c r="J15" s="50">
        <f t="shared" si="3"/>
        <v>105020.28592985272</v>
      </c>
      <c r="K15" s="31">
        <f>J15*$C$5*$C$9</f>
        <v>-2058397.6042251135</v>
      </c>
      <c r="L15" s="31">
        <f>K15/((1+$C$3)^($F15-$C$4))</f>
        <v>-1662335.2366122769</v>
      </c>
    </row>
    <row r="16" spans="1:12" x14ac:dyDescent="0.25">
      <c r="B16" s="111" t="s">
        <v>502</v>
      </c>
      <c r="C16" s="112">
        <f>C12/C11</f>
        <v>5.7142857142857141E-2</v>
      </c>
      <c r="I16" s="56" t="s">
        <v>156</v>
      </c>
      <c r="J16" s="50">
        <f>SUM(J12:J15)</f>
        <v>608449.5621747839</v>
      </c>
      <c r="K16" s="57">
        <f>SUM(K12:K15)</f>
        <v>-11925611.418625766</v>
      </c>
      <c r="L16" s="57">
        <f>SUM(L12:L15)</f>
        <v>-10079938.705666928</v>
      </c>
    </row>
    <row r="17" spans="2:13" ht="15" x14ac:dyDescent="0.25">
      <c r="B17" s="111" t="s">
        <v>560</v>
      </c>
      <c r="C17" s="112">
        <f>C12/C15</f>
        <v>9.3240093240093247E-2</v>
      </c>
      <c r="H17"/>
      <c r="I17"/>
      <c r="J17"/>
      <c r="K17"/>
      <c r="L17"/>
      <c r="M17"/>
    </row>
    <row r="18" spans="2:13" ht="15" x14ac:dyDescent="0.25">
      <c r="B18" s="5" t="s">
        <v>403</v>
      </c>
      <c r="C18" s="60">
        <f>C17-C16</f>
        <v>3.6097236097236106E-2</v>
      </c>
      <c r="H18"/>
      <c r="I18" s="241" t="s">
        <v>668</v>
      </c>
      <c r="J18" s="50">
        <f>SUM(J8,J16)</f>
        <v>1088907.6184977263</v>
      </c>
      <c r="K18" s="31">
        <f>K16+K8</f>
        <v>-28020956.305444337</v>
      </c>
      <c r="L18" s="31">
        <f>L16+L8</f>
        <v>-23684281.4686528</v>
      </c>
      <c r="M18"/>
    </row>
    <row r="19" spans="2:13" ht="15" x14ac:dyDescent="0.25">
      <c r="H19"/>
      <c r="I19"/>
      <c r="J19"/>
      <c r="K19"/>
      <c r="L19"/>
      <c r="M19"/>
    </row>
    <row r="20" spans="2:13" ht="15" x14ac:dyDescent="0.25">
      <c r="H20"/>
      <c r="I20"/>
      <c r="J20"/>
      <c r="K20"/>
      <c r="L20"/>
      <c r="M20"/>
    </row>
    <row r="21" spans="2:13" ht="15" x14ac:dyDescent="0.25">
      <c r="H21"/>
      <c r="I21"/>
      <c r="J21"/>
      <c r="K21"/>
      <c r="L21"/>
      <c r="M21"/>
    </row>
    <row r="22" spans="2:13" ht="15" x14ac:dyDescent="0.25">
      <c r="H22"/>
      <c r="I22"/>
      <c r="J22"/>
      <c r="K22"/>
      <c r="L22"/>
      <c r="M22"/>
    </row>
    <row r="23" spans="2:13" ht="15" x14ac:dyDescent="0.25">
      <c r="H23"/>
      <c r="I23"/>
      <c r="J23"/>
      <c r="K23"/>
      <c r="L23"/>
      <c r="M23"/>
    </row>
    <row r="24" spans="2:13" ht="15" x14ac:dyDescent="0.25">
      <c r="H24"/>
      <c r="I24"/>
      <c r="J24"/>
      <c r="K24"/>
      <c r="L24"/>
      <c r="M24"/>
    </row>
    <row r="31" spans="2:13" x14ac:dyDescent="0.25">
      <c r="B31" s="111"/>
      <c r="C31" s="112"/>
    </row>
  </sheetData>
  <sheetProtection algorithmName="SHA-512" hashValue="eKqccIuAyo9JxDKYNw10+mf1YdUv9kGxOTTlUNVxXLLES8ELQgnQHDkuyFSk4d7tyNodjKqzQq6543YkqR4WAQ==" saltValue="gF/Uv4NIxeZvAF1QZFS+rA=="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7C44-0F50-485E-837E-99AD17841817}">
  <sheetPr>
    <tabColor theme="5" tint="0.79998168889431442"/>
  </sheetPr>
  <dimension ref="A1:X52"/>
  <sheetViews>
    <sheetView zoomScale="80" zoomScaleNormal="80" workbookViewId="0">
      <selection activeCell="G4" sqref="G4"/>
    </sheetView>
  </sheetViews>
  <sheetFormatPr defaultColWidth="9" defaultRowHeight="13.5" x14ac:dyDescent="0.25"/>
  <cols>
    <col min="1" max="1" width="4.375" style="5" customWidth="1"/>
    <col min="2" max="2" width="29" style="5" customWidth="1"/>
    <col min="3" max="3" width="13.625" style="5" bestFit="1" customWidth="1"/>
    <col min="4" max="4" width="9" style="5"/>
    <col min="5" max="5" width="11.375" style="5" customWidth="1"/>
    <col min="6" max="6" width="12.125" style="5" customWidth="1"/>
    <col min="7" max="7" width="14.375" style="5" customWidth="1"/>
    <col min="8" max="8" width="3.375" style="5" customWidth="1"/>
    <col min="9" max="11" width="14" style="5" customWidth="1"/>
    <col min="12" max="12" width="12.75" style="5" customWidth="1"/>
    <col min="13" max="13" width="3.625" style="5" customWidth="1"/>
    <col min="14" max="14" width="21.625" style="5" customWidth="1"/>
    <col min="15" max="15" width="21.125" style="5" customWidth="1"/>
    <col min="16" max="16" width="19.625" style="5" customWidth="1"/>
    <col min="17" max="17" width="14.75" style="5" customWidth="1"/>
    <col min="18" max="18" width="3.625" style="5" customWidth="1"/>
    <col min="19" max="21" width="20.875" style="58" customWidth="1"/>
    <col min="22" max="22" width="2.375" style="5" customWidth="1"/>
    <col min="23" max="23" width="14.625" style="58" customWidth="1"/>
    <col min="24" max="24" width="16.125" style="58" customWidth="1"/>
    <col min="25" max="16384" width="9" style="5"/>
  </cols>
  <sheetData>
    <row r="1" spans="1:24" ht="15" x14ac:dyDescent="0.25">
      <c r="A1"/>
    </row>
    <row r="2" spans="1:24" x14ac:dyDescent="0.25">
      <c r="B2" s="47" t="s">
        <v>157</v>
      </c>
      <c r="C2" s="47" t="s">
        <v>34</v>
      </c>
      <c r="E2" s="5" t="s">
        <v>179</v>
      </c>
      <c r="I2" s="113" t="s">
        <v>471</v>
      </c>
      <c r="J2" s="113"/>
      <c r="K2" s="113"/>
      <c r="L2" s="113"/>
      <c r="M2" s="113"/>
      <c r="N2" s="113" t="s">
        <v>472</v>
      </c>
      <c r="O2" s="113"/>
      <c r="P2" s="113"/>
    </row>
    <row r="3" spans="1:24" ht="41.25" customHeight="1" x14ac:dyDescent="0.25">
      <c r="B3" s="5" t="str">
        <f>'3-Inputs'!B4</f>
        <v>Discount Rate</v>
      </c>
      <c r="C3" s="48">
        <f>'3-Inputs'!C4</f>
        <v>3.1E-2</v>
      </c>
      <c r="E3" s="80" t="str">
        <f>'18-Travel Time Disbenefits'!E3</f>
        <v>Construction Year</v>
      </c>
      <c r="F3" s="80" t="s">
        <v>174</v>
      </c>
      <c r="G3" s="80" t="s">
        <v>549</v>
      </c>
      <c r="H3" s="140"/>
      <c r="I3" s="80" t="s">
        <v>455</v>
      </c>
      <c r="J3" s="80" t="s">
        <v>456</v>
      </c>
      <c r="K3" s="80" t="s">
        <v>457</v>
      </c>
      <c r="L3" s="80" t="s">
        <v>156</v>
      </c>
      <c r="M3" s="140"/>
      <c r="N3" s="80" t="s">
        <v>550</v>
      </c>
      <c r="O3" s="80" t="s">
        <v>551</v>
      </c>
      <c r="P3" s="80" t="s">
        <v>552</v>
      </c>
      <c r="Q3" s="80" t="s">
        <v>156</v>
      </c>
      <c r="R3" s="140"/>
      <c r="S3" s="80" t="s">
        <v>553</v>
      </c>
      <c r="T3" s="80" t="s">
        <v>554</v>
      </c>
      <c r="U3" s="80" t="s">
        <v>555</v>
      </c>
      <c r="V3" s="140"/>
      <c r="W3" s="141" t="s">
        <v>170</v>
      </c>
      <c r="X3" s="141" t="s">
        <v>250</v>
      </c>
    </row>
    <row r="4" spans="1:24" x14ac:dyDescent="0.25">
      <c r="B4" s="5" t="str">
        <f>'3-Inputs'!B6</f>
        <v>Discount Year</v>
      </c>
      <c r="C4" s="5">
        <f>'3-Inputs'!C6</f>
        <v>2022</v>
      </c>
      <c r="E4" s="2">
        <f>'18-Travel Time Disbenefits'!E4</f>
        <v>1</v>
      </c>
      <c r="F4" s="106">
        <f>$C$18</f>
        <v>2026</v>
      </c>
      <c r="G4" s="50">
        <f>_xlfn.XLOOKUP(F4,'6-Traffic Data'!$F$9:$F$48,'6-Traffic Data'!$X$9:$X$48)</f>
        <v>4811193.1169318184</v>
      </c>
      <c r="I4" s="51">
        <f>($G4/$C$5)*$C$21</f>
        <v>9.3337146468477267E-2</v>
      </c>
      <c r="J4" s="51">
        <f>($G4/$C$5)*$C$22</f>
        <v>1.5460769081260397</v>
      </c>
      <c r="K4" s="51">
        <f>($G4/$C$5)*$C$23</f>
        <v>3.7462355204989608</v>
      </c>
      <c r="L4" s="59">
        <f>K4+J4+I4</f>
        <v>5.3856495750934776</v>
      </c>
      <c r="N4" s="51">
        <f t="shared" ref="N4:Q7" si="0">(I4/$C$15)-I4</f>
        <v>0.22851508273316848</v>
      </c>
      <c r="O4" s="51">
        <f t="shared" si="0"/>
        <v>3.7852227750672016</v>
      </c>
      <c r="P4" s="51">
        <f t="shared" si="0"/>
        <v>9.1718179984629735</v>
      </c>
      <c r="Q4" s="51">
        <f t="shared" si="0"/>
        <v>13.185555856263342</v>
      </c>
      <c r="S4" s="117">
        <f>N4*$C$14</f>
        <v>3204444.1536589484</v>
      </c>
      <c r="T4" s="117">
        <f>O4*$C$13</f>
        <v>1184774.728596034</v>
      </c>
      <c r="U4" s="117">
        <f>P4*$C$12</f>
        <v>83463.543786013062</v>
      </c>
      <c r="W4" s="31">
        <f>SUM(S4:U4)*$C$16</f>
        <v>-4472682.4260409959</v>
      </c>
      <c r="X4" s="31">
        <f>W4/((1+$C$3)^($F4-$C$4))</f>
        <v>-3958525.0897762454</v>
      </c>
    </row>
    <row r="5" spans="1:24" x14ac:dyDescent="0.25">
      <c r="B5" s="5" t="str">
        <f>'3-Inputs'!B25</f>
        <v>100 million multiplier</v>
      </c>
      <c r="C5" s="28">
        <f>'3-Inputs'!C25</f>
        <v>100000000</v>
      </c>
      <c r="E5" s="2">
        <f>'18-Travel Time Disbenefits'!E5</f>
        <v>2</v>
      </c>
      <c r="F5" s="106">
        <f>F4+1</f>
        <v>2027</v>
      </c>
      <c r="G5" s="50">
        <f>_xlfn.XLOOKUP(F5,'6-Traffic Data'!$F$9:$F$48,'6-Traffic Data'!$X$9:$X$48)</f>
        <v>9851170.5018954352</v>
      </c>
      <c r="I5" s="51">
        <f>($G5/$C$5)*$C$21</f>
        <v>0.19111270773677144</v>
      </c>
      <c r="J5" s="51">
        <f>($G5/$C$5)*$C$22</f>
        <v>3.1656736407840982</v>
      </c>
      <c r="K5" s="51">
        <f>($G5/$C$5)*$C$23</f>
        <v>7.6706139113008822</v>
      </c>
      <c r="L5" s="59">
        <f>K5+J5+I5</f>
        <v>11.027400259821752</v>
      </c>
      <c r="N5" s="51">
        <f t="shared" si="0"/>
        <v>0.46789662928657838</v>
      </c>
      <c r="O5" s="51">
        <f t="shared" si="0"/>
        <v>7.7504423619196903</v>
      </c>
      <c r="P5" s="51">
        <f t="shared" si="0"/>
        <v>18.779778886288369</v>
      </c>
      <c r="Q5" s="51">
        <f t="shared" si="0"/>
        <v>26.998117877494636</v>
      </c>
      <c r="S5" s="117">
        <f>N5*$C$14</f>
        <v>6561267.6428227602</v>
      </c>
      <c r="T5" s="117">
        <f>O5*$C$13</f>
        <v>2425888.4592808629</v>
      </c>
      <c r="U5" s="117">
        <f>P5*$C$12</f>
        <v>170895.98786522416</v>
      </c>
      <c r="W5" s="31">
        <f>SUM(S5:U5)*$C$16</f>
        <v>-9158052.0899688471</v>
      </c>
      <c r="X5" s="31">
        <f t="shared" ref="X5:X7" si="1">W5/((1+$C$3)^($F5-$C$4))</f>
        <v>-7861579.0008945987</v>
      </c>
    </row>
    <row r="6" spans="1:24" x14ac:dyDescent="0.25">
      <c r="B6" s="5" t="str">
        <f>'3-Inputs'!B27</f>
        <v>Fatal Crashes per 100 million VMT - 2021 (Muskogee County)</v>
      </c>
      <c r="C6" s="5">
        <f>'3-Inputs'!C27</f>
        <v>2.27</v>
      </c>
      <c r="E6" s="2">
        <f>'18-Travel Time Disbenefits'!E6</f>
        <v>3</v>
      </c>
      <c r="F6" s="106">
        <f>F5+1</f>
        <v>2028</v>
      </c>
      <c r="G6" s="50">
        <f>_xlfn.XLOOKUP(F6,'6-Traffic Data'!$F$9:$F$48,'6-Traffic Data'!$X$9:$X$48)</f>
        <v>10085394.402054517</v>
      </c>
      <c r="I6" s="51">
        <f>($G6/$C$5)*$C$21</f>
        <v>0.19565665139985761</v>
      </c>
      <c r="J6" s="51">
        <f>($G6/$C$5)*$C$22</f>
        <v>3.2409414911002186</v>
      </c>
      <c r="K6" s="51">
        <f>($G6/$C$5)*$C$23</f>
        <v>7.8529923511597497</v>
      </c>
      <c r="L6" s="59">
        <f>K6+J6+I6</f>
        <v>11.289590493659826</v>
      </c>
      <c r="N6" s="51">
        <f t="shared" si="0"/>
        <v>0.47902145687551351</v>
      </c>
      <c r="O6" s="51">
        <f t="shared" si="0"/>
        <v>7.9347188230384669</v>
      </c>
      <c r="P6" s="51">
        <f t="shared" si="0"/>
        <v>19.22629161835663</v>
      </c>
      <c r="Q6" s="51">
        <f t="shared" si="0"/>
        <v>27.64003189827061</v>
      </c>
      <c r="S6" s="117">
        <f>N6*$C$14</f>
        <v>6717269.9876196384</v>
      </c>
      <c r="T6" s="117">
        <f>O6*$C$13</f>
        <v>2483566.9916110402</v>
      </c>
      <c r="U6" s="117">
        <f>P6*$C$12</f>
        <v>174959.25372704532</v>
      </c>
      <c r="W6" s="31">
        <f>SUM(S6:U6)*$C$16</f>
        <v>-9375796.2329577245</v>
      </c>
      <c r="X6" s="31">
        <f t="shared" si="1"/>
        <v>-7806496.4836183973</v>
      </c>
    </row>
    <row r="7" spans="1:24" x14ac:dyDescent="0.25">
      <c r="B7" s="5" t="str">
        <f>'3-Inputs'!B28</f>
        <v>Injuries per 100 million VMT- 2021 (Muskogee County)</v>
      </c>
      <c r="C7" s="5">
        <f>'3-Inputs'!C28</f>
        <v>38.33</v>
      </c>
      <c r="E7" s="2">
        <f>'18-Travel Time Disbenefits'!E7</f>
        <v>4</v>
      </c>
      <c r="F7" s="106">
        <f>F6+1</f>
        <v>2029</v>
      </c>
      <c r="G7" s="50">
        <f>_xlfn.XLOOKUP(F7,'6-Traffic Data'!$F$9:$F$48,'6-Traffic Data'!$X$9:$X$48)</f>
        <v>5162593.6341991965</v>
      </c>
      <c r="I7" s="51">
        <f>($G7/$C$5)*$C$21</f>
        <v>0.10015431650346442</v>
      </c>
      <c r="J7" s="51">
        <f>($G7/$C$5)*$C$22</f>
        <v>1.6589994643499117</v>
      </c>
      <c r="K7" s="51">
        <f>($G7/$C$5)*$C$23</f>
        <v>4.0198535332692051</v>
      </c>
      <c r="L7" s="59">
        <f>K7+J7+I7</f>
        <v>5.7790073141225813</v>
      </c>
      <c r="N7" s="51">
        <f t="shared" si="0"/>
        <v>0.24520539557744742</v>
      </c>
      <c r="O7" s="51">
        <f t="shared" si="0"/>
        <v>4.0616883437532323</v>
      </c>
      <c r="P7" s="51">
        <f t="shared" si="0"/>
        <v>9.8417103745556425</v>
      </c>
      <c r="Q7" s="146">
        <f t="shared" si="0"/>
        <v>14.148604113886321</v>
      </c>
      <c r="S7" s="118">
        <f>N7*$C$14</f>
        <v>3438490.7416429874</v>
      </c>
      <c r="T7" s="117">
        <f>O7*$C$13</f>
        <v>1271308.4515947618</v>
      </c>
      <c r="U7" s="118">
        <f>P7*$C$12</f>
        <v>89559.564408456339</v>
      </c>
      <c r="W7" s="53">
        <f>SUM(S7:U7)*$C$16</f>
        <v>-4799358.7576462049</v>
      </c>
      <c r="X7" s="31">
        <f t="shared" si="1"/>
        <v>-3875899.9522749591</v>
      </c>
    </row>
    <row r="8" spans="1:24" x14ac:dyDescent="0.25">
      <c r="B8" s="5" t="str">
        <f>'3-Inputs'!B30</f>
        <v>PDO Crashes per 100 million VMT- 2023 (Muskogee County)</v>
      </c>
      <c r="C8" s="5">
        <f>'3-Inputs'!C30</f>
        <v>73.900000000000006</v>
      </c>
      <c r="G8" s="56" t="s">
        <v>156</v>
      </c>
      <c r="I8" s="142">
        <f>SUM(I4:I7)</f>
        <v>0.58026082210857077</v>
      </c>
      <c r="J8" s="142">
        <f>SUM(J4:J7)</f>
        <v>9.6116915043602678</v>
      </c>
      <c r="K8" s="143">
        <f>SUM(K4:K7)</f>
        <v>23.289695316228798</v>
      </c>
      <c r="L8" s="142">
        <f>SUM(L4:L7)</f>
        <v>33.481647642697638</v>
      </c>
      <c r="M8" s="145"/>
      <c r="N8" s="142">
        <f>SUM(N4:N7)</f>
        <v>1.4206385644727078</v>
      </c>
      <c r="O8" s="142">
        <f>SUM(O4:O7)</f>
        <v>23.532072303778591</v>
      </c>
      <c r="P8" s="143">
        <f>SUM(P4:P7)</f>
        <v>57.019598877663611</v>
      </c>
      <c r="Q8" s="142">
        <f>SUM(Q4:Q7)</f>
        <v>81.972309745914913</v>
      </c>
      <c r="R8" s="145"/>
      <c r="S8" s="57">
        <f>SUM(S4:S7)</f>
        <v>19921472.525744334</v>
      </c>
      <c r="T8" s="147">
        <f>SUM(T4:T7)</f>
        <v>7365538.6310826987</v>
      </c>
      <c r="U8" s="57">
        <f>SUM(U4:U7)</f>
        <v>518878.34978673887</v>
      </c>
      <c r="V8" s="145"/>
      <c r="W8" s="57">
        <f>SUM(W4:W7)</f>
        <v>-27805889.506613769</v>
      </c>
      <c r="X8" s="144">
        <f>SUM(X4:X7)</f>
        <v>-23502500.526564199</v>
      </c>
    </row>
    <row r="9" spans="1:24" x14ac:dyDescent="0.25">
      <c r="B9" s="5" t="str">
        <f>'3-Inputs'!B31</f>
        <v>Fatal Crashes per 100 million VMT - 2021 (Sequoyah County)</v>
      </c>
      <c r="C9" s="5">
        <f>'3-Inputs'!C31</f>
        <v>1.61</v>
      </c>
      <c r="I9" s="113"/>
      <c r="J9" s="113"/>
      <c r="K9" s="113"/>
      <c r="L9" s="113"/>
      <c r="M9" s="113"/>
      <c r="N9" s="113"/>
      <c r="O9" s="113"/>
      <c r="P9" s="113"/>
      <c r="Q9" s="113"/>
      <c r="R9" s="113"/>
    </row>
    <row r="10" spans="1:24" x14ac:dyDescent="0.25">
      <c r="B10" s="5" t="str">
        <f>'3-Inputs'!B32</f>
        <v>Injuries per 100 million VMT- 2021 (Sequoyah County)</v>
      </c>
      <c r="C10" s="5">
        <f>'3-Inputs'!C32</f>
        <v>25.94</v>
      </c>
      <c r="E10" s="5" t="s">
        <v>247</v>
      </c>
      <c r="I10" s="113" t="s">
        <v>471</v>
      </c>
      <c r="J10" s="113"/>
      <c r="K10" s="113"/>
      <c r="L10" s="113"/>
      <c r="M10" s="113"/>
      <c r="N10" s="113" t="s">
        <v>472</v>
      </c>
      <c r="O10" s="113"/>
      <c r="P10" s="113"/>
      <c r="Q10" s="113"/>
      <c r="R10" s="113"/>
    </row>
    <row r="11" spans="1:24" ht="39.75" customHeight="1" x14ac:dyDescent="0.25">
      <c r="B11" s="5" t="str">
        <f>'3-Inputs'!B34</f>
        <v>PDO Crashes per 100 million VMT- 2023 (Sequoyah County)</v>
      </c>
      <c r="C11" s="5">
        <f>'3-Inputs'!C34</f>
        <v>81.83</v>
      </c>
      <c r="E11" s="80" t="str">
        <f>E3</f>
        <v>Construction Year</v>
      </c>
      <c r="F11" s="80" t="s">
        <v>174</v>
      </c>
      <c r="G11" s="80" t="s">
        <v>548</v>
      </c>
      <c r="H11" s="140"/>
      <c r="I11" s="80" t="s">
        <v>455</v>
      </c>
      <c r="J11" s="80" t="s">
        <v>456</v>
      </c>
      <c r="K11" s="80" t="s">
        <v>457</v>
      </c>
      <c r="L11" s="80" t="s">
        <v>156</v>
      </c>
      <c r="M11" s="140"/>
      <c r="N11" s="80" t="s">
        <v>550</v>
      </c>
      <c r="O11" s="80" t="s">
        <v>551</v>
      </c>
      <c r="P11" s="80" t="s">
        <v>552</v>
      </c>
      <c r="Q11" s="80" t="s">
        <v>156</v>
      </c>
      <c r="R11" s="140"/>
      <c r="S11" s="80" t="s">
        <v>553</v>
      </c>
      <c r="T11" s="80" t="s">
        <v>554</v>
      </c>
      <c r="U11" s="80" t="s">
        <v>555</v>
      </c>
      <c r="V11" s="140"/>
      <c r="W11" s="141" t="s">
        <v>170</v>
      </c>
      <c r="X11" s="141" t="s">
        <v>250</v>
      </c>
    </row>
    <row r="12" spans="1:24" x14ac:dyDescent="0.25">
      <c r="B12" s="5" t="str">
        <f>'3-Inputs'!B52</f>
        <v>PDO Crash Value</v>
      </c>
      <c r="C12" s="58">
        <f>'3-Inputs'!C52</f>
        <v>9100</v>
      </c>
      <c r="E12" s="2">
        <f>E4</f>
        <v>1</v>
      </c>
      <c r="F12" s="106">
        <f>$C$18</f>
        <v>2026</v>
      </c>
      <c r="G12" s="50">
        <f>_xlfn.XLOOKUP(F12,'6-Traffic Data'!$F$9:$F$48,'6-Traffic Data'!$Y$9:$Y$48)</f>
        <v>6092838.0921977684</v>
      </c>
      <c r="I12" s="51">
        <f>($G12/$C$5)*$C$21</f>
        <v>0.11820105898863671</v>
      </c>
      <c r="J12" s="51">
        <f>($G12/$C$5)*$C$22</f>
        <v>1.9579335209277529</v>
      </c>
      <c r="K12" s="51">
        <f>($G12/$C$5)*$C$23</f>
        <v>4.7441883804897929</v>
      </c>
      <c r="L12" s="59">
        <f>K12+J12+I12</f>
        <v>6.820322960406183</v>
      </c>
      <c r="N12" s="51">
        <f t="shared" ref="N12:Q15" si="2">(I12/$C$15)-I12</f>
        <v>0.28938879959286923</v>
      </c>
      <c r="O12" s="51">
        <f t="shared" si="2"/>
        <v>4.7935613788231191</v>
      </c>
      <c r="P12" s="51">
        <f t="shared" si="2"/>
        <v>11.61508189706122</v>
      </c>
      <c r="Q12" s="51">
        <f t="shared" si="2"/>
        <v>16.698032075477208</v>
      </c>
      <c r="S12" s="117">
        <f>N12*$C$14</f>
        <v>4058070.1978108459</v>
      </c>
      <c r="T12" s="117">
        <f>O12*$C$13</f>
        <v>1500384.7115716364</v>
      </c>
      <c r="U12" s="117">
        <f>P12*$C$12</f>
        <v>105697.24526325711</v>
      </c>
      <c r="W12" s="31">
        <f>SUM(S12:U12)*$C$16</f>
        <v>-5664152.1546457391</v>
      </c>
      <c r="X12" s="31">
        <f>W12/((1+$C$3)^($F12-$C$4))</f>
        <v>-5013029.3816370815</v>
      </c>
    </row>
    <row r="13" spans="1:24" x14ac:dyDescent="0.25">
      <c r="B13" s="5" t="str">
        <f>'3-Inputs'!B53</f>
        <v>Injury Crash Value</v>
      </c>
      <c r="C13" s="58">
        <f>'3-Inputs'!C53</f>
        <v>313000</v>
      </c>
      <c r="E13" s="2">
        <f t="shared" ref="E13:E15" si="3">E5</f>
        <v>2</v>
      </c>
      <c r="F13" s="106">
        <f>F12+1</f>
        <v>2027</v>
      </c>
      <c r="G13" s="50">
        <f>_xlfn.XLOOKUP(F13,'6-Traffic Data'!$F$9:$F$48,'6-Traffic Data'!$Y$9:$Y$48)</f>
        <v>12475448.445729531</v>
      </c>
      <c r="I13" s="51">
        <f>($G13/$C$5)*$C$21</f>
        <v>0.24202369984715288</v>
      </c>
      <c r="J13" s="51">
        <f>($G13/$C$5)*$C$22</f>
        <v>4.0089853580351846</v>
      </c>
      <c r="K13" s="51">
        <f>($G13/$C$5)*$C$23</f>
        <v>9.7140079322673003</v>
      </c>
      <c r="L13" s="59">
        <f t="shared" ref="L13:L15" si="4">K13+J13+I13</f>
        <v>13.965016990149637</v>
      </c>
      <c r="N13" s="51">
        <f t="shared" si="2"/>
        <v>0.59254078238440888</v>
      </c>
      <c r="O13" s="51">
        <f t="shared" si="2"/>
        <v>9.8151020834654528</v>
      </c>
      <c r="P13" s="51">
        <f t="shared" si="2"/>
        <v>23.782571144516496</v>
      </c>
      <c r="Q13" s="51">
        <f t="shared" si="2"/>
        <v>34.190214010366361</v>
      </c>
      <c r="S13" s="117">
        <f>N13*$C$14</f>
        <v>8309140.1372983269</v>
      </c>
      <c r="T13" s="117">
        <f>O13*$C$13</f>
        <v>3072126.9521246869</v>
      </c>
      <c r="U13" s="117">
        <f>P13*$C$12</f>
        <v>216421.3974151001</v>
      </c>
      <c r="W13" s="31">
        <f>SUM(S13:U13)*$C$16</f>
        <v>-11597688.486838114</v>
      </c>
      <c r="X13" s="31">
        <f t="shared" ref="X13:X15" si="5">W13/((1+$C$3)^($F13-$C$4))</f>
        <v>-9955844.6896051355</v>
      </c>
    </row>
    <row r="14" spans="1:24" x14ac:dyDescent="0.25">
      <c r="B14" s="5" t="str">
        <f>'3-Inputs'!B54</f>
        <v>Fatal Crash Value</v>
      </c>
      <c r="C14" s="58">
        <f>'3-Inputs'!C54</f>
        <v>14022900</v>
      </c>
      <c r="E14" s="2">
        <f t="shared" si="3"/>
        <v>3</v>
      </c>
      <c r="F14" s="106">
        <f>F13+1</f>
        <v>2028</v>
      </c>
      <c r="G14" s="50">
        <f>_xlfn.XLOOKUP(F14,'6-Traffic Data'!$F$9:$F$48,'6-Traffic Data'!$Y$9:$Y$48)</f>
        <v>12772111.417284939</v>
      </c>
      <c r="I14" s="51">
        <f>($G14/$C$5)*$C$21</f>
        <v>0.24777896149532783</v>
      </c>
      <c r="J14" s="51">
        <f>($G14/$C$5)*$C$22</f>
        <v>4.1043180039445151</v>
      </c>
      <c r="K14" s="51">
        <f>($G14/$C$5)*$C$23</f>
        <v>9.9450045550689197</v>
      </c>
      <c r="L14" s="59">
        <f t="shared" si="4"/>
        <v>14.297101520508763</v>
      </c>
      <c r="N14" s="51">
        <f t="shared" si="2"/>
        <v>0.60663125055752676</v>
      </c>
      <c r="O14" s="51">
        <f t="shared" si="2"/>
        <v>10.048502699312435</v>
      </c>
      <c r="P14" s="51">
        <f t="shared" si="2"/>
        <v>24.348114600341148</v>
      </c>
      <c r="Q14" s="51">
        <f t="shared" si="2"/>
        <v>35.003248550211111</v>
      </c>
      <c r="S14" s="117">
        <f>N14*$C$14</f>
        <v>8506729.3634431418</v>
      </c>
      <c r="T14" s="117">
        <f>O14*$C$13</f>
        <v>3145181.3448847919</v>
      </c>
      <c r="U14" s="117">
        <f>P14*$C$12</f>
        <v>221567.84286310445</v>
      </c>
      <c r="W14" s="31">
        <f>SUM(S14:U14)*$C$16</f>
        <v>-11873478.551191039</v>
      </c>
      <c r="X14" s="31">
        <f t="shared" si="5"/>
        <v>-9886122.3361880686</v>
      </c>
    </row>
    <row r="15" spans="1:24" x14ac:dyDescent="0.25">
      <c r="B15" s="5" t="str">
        <f>'3-Inputs'!B111</f>
        <v>Crash Modification Factor -Central Median Value</v>
      </c>
      <c r="C15" s="5">
        <f>'3-Inputs'!C111</f>
        <v>0.28999999999999998</v>
      </c>
      <c r="E15" s="2">
        <f t="shared" si="3"/>
        <v>4</v>
      </c>
      <c r="F15" s="106">
        <f>F14+1</f>
        <v>2029</v>
      </c>
      <c r="G15" s="50">
        <f>_xlfn.XLOOKUP(F15,'6-Traffic Data'!$F$9:$F$48,'6-Traffic Data'!$Y$9:$Y$48)</f>
        <v>6537914.4791937405</v>
      </c>
      <c r="I15" s="51">
        <f>($G15/$C$5)*$C$21</f>
        <v>0.12683554089635857</v>
      </c>
      <c r="J15" s="51">
        <f>($G15/$C$5)*$C$22</f>
        <v>2.1009588178889085</v>
      </c>
      <c r="K15" s="51">
        <f>($G15/$C$5)*$C$23</f>
        <v>5.0907471092242069</v>
      </c>
      <c r="L15" s="59">
        <f t="shared" si="4"/>
        <v>7.3185414680094745</v>
      </c>
      <c r="N15" s="51">
        <f t="shared" si="2"/>
        <v>0.31052839322901582</v>
      </c>
      <c r="O15" s="51">
        <f t="shared" si="2"/>
        <v>5.1437267610383621</v>
      </c>
      <c r="P15" s="51">
        <f t="shared" si="2"/>
        <v>12.46355326741099</v>
      </c>
      <c r="Q15" s="51">
        <f t="shared" si="2"/>
        <v>17.91780842167837</v>
      </c>
      <c r="S15" s="117">
        <f>N15*$C$14</f>
        <v>4354508.6054111663</v>
      </c>
      <c r="T15" s="117">
        <f>O15*$C$13</f>
        <v>1609986.4762050074</v>
      </c>
      <c r="U15" s="117">
        <f>P15*$C$12</f>
        <v>113418.33473344002</v>
      </c>
      <c r="W15" s="31">
        <f>SUM(S15:U15)*$C$16</f>
        <v>-6077913.4163496131</v>
      </c>
      <c r="X15" s="31">
        <f t="shared" si="5"/>
        <v>-4908444.1297141686</v>
      </c>
    </row>
    <row r="16" spans="1:24" x14ac:dyDescent="0.25">
      <c r="B16" s="5" t="str">
        <f>'3-Inputs'!B19</f>
        <v>Disbenefit</v>
      </c>
      <c r="C16" s="113">
        <f>'3-Inputs'!C19</f>
        <v>-1</v>
      </c>
      <c r="G16" s="56" t="s">
        <v>156</v>
      </c>
      <c r="I16" s="142">
        <f>SUM(I12:I15)</f>
        <v>0.73483926122747589</v>
      </c>
      <c r="J16" s="142">
        <f>SUM(J12:J15)</f>
        <v>12.172195700796362</v>
      </c>
      <c r="K16" s="142">
        <f>SUM(K12:K15)</f>
        <v>29.493947977050219</v>
      </c>
      <c r="L16" s="142">
        <f>SUM(L12:L15)</f>
        <v>42.400982939074055</v>
      </c>
      <c r="N16" s="142">
        <f>SUM(N12:N15)</f>
        <v>1.7990892257638205</v>
      </c>
      <c r="O16" s="142">
        <f>SUM(O12:O15)</f>
        <v>29.800892922639367</v>
      </c>
      <c r="P16" s="142">
        <f>SUM(P12:P15)</f>
        <v>72.209320909329847</v>
      </c>
      <c r="Q16" s="142">
        <f>SUM(Q12:Q15)</f>
        <v>103.80930305773306</v>
      </c>
      <c r="S16" s="57">
        <f>SUM(S12:S15)</f>
        <v>25228448.303963482</v>
      </c>
      <c r="T16" s="57">
        <f>SUM(T12:T15)</f>
        <v>9327679.484786123</v>
      </c>
      <c r="U16" s="57">
        <f>SUM(U12:U15)</f>
        <v>657104.82027490158</v>
      </c>
      <c r="W16" s="57">
        <f>SUM(W12:W15)</f>
        <v>-35213232.609024502</v>
      </c>
      <c r="X16" s="57">
        <f>SUM(X12:X15)</f>
        <v>-29763440.537144452</v>
      </c>
    </row>
    <row r="17" spans="2:24" x14ac:dyDescent="0.25">
      <c r="C17" s="113"/>
    </row>
    <row r="18" spans="2:24" x14ac:dyDescent="0.25">
      <c r="B18" s="5" t="str">
        <f>'3-Inputs'!B107</f>
        <v>Construction Close Date- Start</v>
      </c>
      <c r="C18" s="113">
        <f>'3-Inputs'!C107</f>
        <v>2026</v>
      </c>
      <c r="I18" s="150"/>
      <c r="N18" s="151"/>
      <c r="O18" s="152"/>
      <c r="P18" s="152"/>
      <c r="Q18" s="152"/>
      <c r="U18" s="241" t="s">
        <v>668</v>
      </c>
      <c r="W18" s="31">
        <f>W16+W8</f>
        <v>-63019122.115638271</v>
      </c>
      <c r="X18" s="31">
        <f>X16+X8</f>
        <v>-53265941.063708648</v>
      </c>
    </row>
    <row r="19" spans="2:24" x14ac:dyDescent="0.25">
      <c r="C19" s="113"/>
      <c r="N19" s="152"/>
      <c r="O19" s="152"/>
      <c r="P19" s="152"/>
      <c r="Q19" s="152"/>
    </row>
    <row r="20" spans="2:24" x14ac:dyDescent="0.25">
      <c r="B20" s="47" t="s">
        <v>447</v>
      </c>
      <c r="C20" s="113"/>
      <c r="I20" s="61"/>
      <c r="N20" s="152"/>
      <c r="O20" s="152"/>
      <c r="P20" s="152"/>
      <c r="Q20" s="152"/>
    </row>
    <row r="21" spans="2:24" x14ac:dyDescent="0.25">
      <c r="B21" s="5" t="s">
        <v>448</v>
      </c>
      <c r="C21" s="122">
        <f>AVERAGE(C6,C9)</f>
        <v>1.94</v>
      </c>
      <c r="N21" s="152"/>
      <c r="O21" s="152"/>
      <c r="P21" s="152"/>
      <c r="Q21" s="152"/>
    </row>
    <row r="22" spans="2:24" x14ac:dyDescent="0.25">
      <c r="B22" s="5" t="s">
        <v>449</v>
      </c>
      <c r="C22" s="122">
        <f>AVERAGE(C7,C10)</f>
        <v>32.134999999999998</v>
      </c>
      <c r="N22" s="152"/>
      <c r="O22" s="152"/>
      <c r="P22" s="152"/>
      <c r="Q22" s="152"/>
    </row>
    <row r="23" spans="2:24" x14ac:dyDescent="0.25">
      <c r="B23" s="5" t="s">
        <v>450</v>
      </c>
      <c r="C23" s="122">
        <f>AVERAGE(C8,C11)</f>
        <v>77.865000000000009</v>
      </c>
      <c r="N23" s="152"/>
      <c r="O23" s="152"/>
      <c r="P23" s="152"/>
      <c r="Q23" s="152"/>
    </row>
    <row r="24" spans="2:24" x14ac:dyDescent="0.25">
      <c r="C24" s="113"/>
      <c r="N24" s="152"/>
      <c r="O24" s="152"/>
      <c r="P24" s="152"/>
      <c r="Q24" s="152"/>
    </row>
    <row r="25" spans="2:24" x14ac:dyDescent="0.25">
      <c r="C25" s="113"/>
      <c r="N25" s="152"/>
      <c r="O25" s="152"/>
      <c r="P25" s="152"/>
      <c r="Q25" s="152"/>
    </row>
    <row r="26" spans="2:24" x14ac:dyDescent="0.25">
      <c r="C26" s="113"/>
      <c r="N26" s="152"/>
      <c r="O26" s="152"/>
      <c r="P26" s="152"/>
      <c r="Q26" s="152"/>
    </row>
    <row r="27" spans="2:24" x14ac:dyDescent="0.25">
      <c r="C27" s="113"/>
      <c r="N27" s="152"/>
      <c r="O27" s="152"/>
      <c r="P27" s="152"/>
      <c r="Q27" s="152"/>
    </row>
    <row r="28" spans="2:24" x14ac:dyDescent="0.25">
      <c r="C28" s="113"/>
      <c r="N28" s="152"/>
      <c r="O28" s="152"/>
      <c r="P28" s="152"/>
      <c r="Q28" s="152"/>
    </row>
    <row r="29" spans="2:24" x14ac:dyDescent="0.25">
      <c r="C29" s="113"/>
      <c r="N29" s="152"/>
      <c r="O29" s="152"/>
      <c r="P29" s="152"/>
      <c r="Q29" s="152"/>
    </row>
    <row r="30" spans="2:24" x14ac:dyDescent="0.25">
      <c r="C30" s="113"/>
      <c r="N30" s="153"/>
      <c r="O30" s="153"/>
      <c r="P30" s="153"/>
      <c r="Q30" s="153"/>
    </row>
    <row r="31" spans="2:24" x14ac:dyDescent="0.25">
      <c r="C31" s="113"/>
      <c r="N31" s="153"/>
      <c r="O31" s="153"/>
      <c r="P31" s="153"/>
      <c r="Q31" s="153"/>
    </row>
    <row r="32" spans="2:24" x14ac:dyDescent="0.25">
      <c r="C32" s="113"/>
      <c r="N32" s="153"/>
      <c r="O32" s="153"/>
      <c r="P32" s="153"/>
      <c r="Q32" s="153"/>
    </row>
    <row r="33" spans="3:17" x14ac:dyDescent="0.25">
      <c r="C33" s="113"/>
      <c r="N33" s="153"/>
      <c r="O33" s="153"/>
      <c r="P33" s="153"/>
      <c r="Q33" s="153"/>
    </row>
    <row r="34" spans="3:17" x14ac:dyDescent="0.25">
      <c r="C34" s="113"/>
      <c r="N34" s="153"/>
      <c r="O34" s="153"/>
      <c r="P34" s="153"/>
      <c r="Q34" s="153"/>
    </row>
    <row r="35" spans="3:17" x14ac:dyDescent="0.25">
      <c r="C35" s="113"/>
    </row>
    <row r="36" spans="3:17" x14ac:dyDescent="0.25">
      <c r="N36" s="151"/>
      <c r="O36" s="152"/>
      <c r="P36" s="152"/>
      <c r="Q36" s="152"/>
    </row>
    <row r="37" spans="3:17" x14ac:dyDescent="0.25">
      <c r="N37" s="152"/>
      <c r="O37" s="152"/>
      <c r="P37" s="152"/>
      <c r="Q37" s="152"/>
    </row>
    <row r="38" spans="3:17" x14ac:dyDescent="0.25">
      <c r="N38" s="152"/>
      <c r="O38" s="152"/>
      <c r="P38" s="152"/>
      <c r="Q38" s="152"/>
    </row>
    <row r="39" spans="3:17" x14ac:dyDescent="0.25">
      <c r="N39" s="152"/>
      <c r="O39" s="152"/>
      <c r="P39" s="152"/>
      <c r="Q39" s="152"/>
    </row>
    <row r="40" spans="3:17" x14ac:dyDescent="0.25">
      <c r="N40" s="152"/>
      <c r="O40" s="152"/>
      <c r="P40" s="152"/>
      <c r="Q40" s="152"/>
    </row>
    <row r="41" spans="3:17" x14ac:dyDescent="0.25">
      <c r="N41" s="27"/>
      <c r="O41" s="27"/>
      <c r="P41" s="27"/>
      <c r="Q41" s="27"/>
    </row>
    <row r="42" spans="3:17" x14ac:dyDescent="0.25">
      <c r="N42" s="152"/>
      <c r="O42" s="152"/>
      <c r="P42" s="152"/>
      <c r="Q42" s="152"/>
    </row>
    <row r="43" spans="3:17" x14ac:dyDescent="0.25">
      <c r="N43" s="152"/>
      <c r="O43" s="152"/>
      <c r="P43" s="152"/>
      <c r="Q43" s="152"/>
    </row>
    <row r="44" spans="3:17" x14ac:dyDescent="0.25">
      <c r="N44" s="152"/>
      <c r="O44" s="152"/>
      <c r="P44" s="152"/>
      <c r="Q44" s="152"/>
    </row>
    <row r="45" spans="3:17" x14ac:dyDescent="0.25">
      <c r="N45" s="152"/>
      <c r="O45" s="152"/>
      <c r="P45" s="152"/>
      <c r="Q45" s="152"/>
    </row>
    <row r="46" spans="3:17" x14ac:dyDescent="0.25">
      <c r="N46" s="152"/>
      <c r="O46" s="152"/>
      <c r="P46" s="152"/>
      <c r="Q46" s="152"/>
    </row>
    <row r="47" spans="3:17" x14ac:dyDescent="0.25">
      <c r="N47" s="152"/>
      <c r="O47" s="152"/>
      <c r="P47" s="152"/>
      <c r="Q47" s="152"/>
    </row>
    <row r="48" spans="3:17" x14ac:dyDescent="0.25">
      <c r="N48" s="27"/>
      <c r="O48" s="27"/>
      <c r="P48" s="27"/>
      <c r="Q48" s="27"/>
    </row>
    <row r="49" spans="14:17" x14ac:dyDescent="0.25">
      <c r="N49" s="27"/>
      <c r="O49" s="27"/>
      <c r="P49" s="27"/>
      <c r="Q49" s="27"/>
    </row>
    <row r="50" spans="14:17" x14ac:dyDescent="0.25">
      <c r="N50" s="27"/>
      <c r="O50" s="27"/>
      <c r="P50" s="27"/>
      <c r="Q50" s="27"/>
    </row>
    <row r="51" spans="14:17" x14ac:dyDescent="0.25">
      <c r="N51" s="27"/>
      <c r="O51" s="27"/>
      <c r="P51" s="27"/>
      <c r="Q51" s="27"/>
    </row>
    <row r="52" spans="14:17" x14ac:dyDescent="0.25">
      <c r="N52" s="27"/>
      <c r="O52" s="27"/>
      <c r="P52" s="27"/>
      <c r="Q52" s="27"/>
    </row>
  </sheetData>
  <sheetProtection algorithmName="SHA-512" hashValue="ld3IzntIOgGUwc/zOeHSHrIPXW/bEBn8/m3Etfpu37XipSjozj9nnGC+PvEE6iAW3/jiPEzMJR+ObcjqxUDW4g==" saltValue="45gbixLe7hhz73mPGMytjA==" spinCount="100000" sheet="1" objects="1" scenarios="1"/>
  <pageMargins left="0.7" right="0.7" top="0.75" bottom="0.75" header="0.3" footer="0.3"/>
  <pageSetup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5F9F9-06C1-47FA-9C00-3027EEC7DF9E}">
  <sheetPr>
    <tabColor theme="0"/>
  </sheetPr>
  <dimension ref="N22"/>
  <sheetViews>
    <sheetView zoomScale="85" zoomScaleNormal="85" workbookViewId="0">
      <selection activeCell="P43" sqref="P43"/>
    </sheetView>
  </sheetViews>
  <sheetFormatPr defaultRowHeight="14.25" x14ac:dyDescent="0.2"/>
  <cols>
    <col min="1" max="1" width="4.875" customWidth="1"/>
    <col min="2" max="2" width="31.625" customWidth="1"/>
    <col min="3" max="3" width="10" customWidth="1"/>
    <col min="5" max="6" width="14.375" customWidth="1"/>
    <col min="7" max="8" width="17.375" customWidth="1"/>
    <col min="9" max="9" width="6.375" customWidth="1"/>
    <col min="10" max="10" width="16.375" customWidth="1"/>
    <col min="11" max="11" width="17.375" customWidth="1"/>
    <col min="12" max="12" width="10.875" customWidth="1"/>
    <col min="14" max="14" width="13.625" bestFit="1" customWidth="1"/>
  </cols>
  <sheetData>
    <row r="22" spans="14:14" x14ac:dyDescent="0.2">
      <c r="N22" s="26"/>
    </row>
  </sheetData>
  <sheetProtection algorithmName="SHA-512" hashValue="x70krG/lDcQZ1sy9DpBjvFJMnk05CrsoiW+Kb0GtfAWUf7+uy26Aiu1OzBfKuDMu6JV4K53zvv/JI2HqhTim2g==" saltValue="/ek8PtDGiQT/b8UyROwKWg==" spinCount="100000" sheet="1" objects="1" scenarios="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49BAA-F707-404D-AD94-B5154D59E32D}">
  <sheetPr>
    <tabColor rgb="FF00B0F0"/>
  </sheetPr>
  <dimension ref="B2:D9"/>
  <sheetViews>
    <sheetView zoomScale="70" zoomScaleNormal="70" workbookViewId="0">
      <selection activeCell="B4" sqref="B4"/>
    </sheetView>
  </sheetViews>
  <sheetFormatPr defaultRowHeight="14.25" x14ac:dyDescent="0.2"/>
  <cols>
    <col min="2" max="2" width="53.125" customWidth="1"/>
    <col min="3" max="3" width="24.875" customWidth="1"/>
    <col min="4" max="4" width="30.125" customWidth="1"/>
  </cols>
  <sheetData>
    <row r="2" spans="2:4" ht="15" x14ac:dyDescent="0.25">
      <c r="B2" s="166" t="s">
        <v>514</v>
      </c>
      <c r="C2" s="166" t="s">
        <v>515</v>
      </c>
      <c r="D2" s="166" t="s">
        <v>517</v>
      </c>
    </row>
    <row r="3" spans="2:4" x14ac:dyDescent="0.2">
      <c r="B3" s="167">
        <f>SUM(B4:B5)</f>
        <v>487982270.08806628</v>
      </c>
      <c r="C3" s="168">
        <f>B3/10^6</f>
        <v>487.98227008806629</v>
      </c>
      <c r="D3" s="25" t="s">
        <v>516</v>
      </c>
    </row>
    <row r="4" spans="2:4" x14ac:dyDescent="0.2">
      <c r="B4" s="167">
        <f>'6-Traffic Data'!Q50</f>
        <v>332089994.40627891</v>
      </c>
      <c r="C4" s="168">
        <f>B4/10^6</f>
        <v>332.08999440627889</v>
      </c>
      <c r="D4" s="25" t="s">
        <v>180</v>
      </c>
    </row>
    <row r="5" spans="2:4" x14ac:dyDescent="0.2">
      <c r="B5" s="167">
        <f>'6-Traffic Data'!R50</f>
        <v>155892275.68178737</v>
      </c>
      <c r="C5" s="168">
        <f>B5/10^6</f>
        <v>155.89227568178737</v>
      </c>
      <c r="D5" s="25" t="s">
        <v>495</v>
      </c>
    </row>
    <row r="7" spans="2:4" x14ac:dyDescent="0.2">
      <c r="C7" s="171">
        <f>'6-Traffic Data'!H3</f>
        <v>0.36</v>
      </c>
      <c r="D7" t="s">
        <v>519</v>
      </c>
    </row>
    <row r="8" spans="2:4" x14ac:dyDescent="0.2">
      <c r="C8" s="149">
        <f>('6-Traffic Data'!C19-'6-Traffic Data'!C18)/'6-Traffic Data'!C18</f>
        <v>1</v>
      </c>
      <c r="D8" t="s">
        <v>520</v>
      </c>
    </row>
    <row r="9" spans="2:4" x14ac:dyDescent="0.2">
      <c r="C9" s="149">
        <f>('9-Travel Time Savings'!C12-'9-Travel Time Savings'!C11)/'9-Travel Time Savings'!C11</f>
        <v>2.2083333333333335</v>
      </c>
      <c r="D9" t="s">
        <v>521</v>
      </c>
    </row>
  </sheetData>
  <sheetProtection algorithmName="SHA-512" hashValue="Nr8kFvaTcYghNWxQDyVrLwTQvBQFr5XqK35zJH7cbdcbNWesLS0o1ewo4pxe84ypNYWlraBlayact7PGsmvSsw==" saltValue="IAHHAa5GlFUlk8qPgmMx0Q==" spinCount="100000" sheet="1" objects="1" scenarios="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65DD8-7537-4FD8-BE1E-F22C619D40B9}">
  <sheetPr>
    <tabColor theme="1"/>
  </sheetPr>
  <dimension ref="A1:P97"/>
  <sheetViews>
    <sheetView workbookViewId="0">
      <pane xSplit="1" ySplit="5" topLeftCell="B75" activePane="bottomRight" state="frozen"/>
      <selection pane="topRight" activeCell="B1" sqref="B1"/>
      <selection pane="bottomLeft" activeCell="A6" sqref="A6"/>
      <selection pane="bottomRight" activeCell="F13" sqref="F13"/>
    </sheetView>
  </sheetViews>
  <sheetFormatPr defaultRowHeight="14.25" x14ac:dyDescent="0.2"/>
  <cols>
    <col min="1" max="1" width="13.625" customWidth="1"/>
    <col min="2" max="5" width="10.375" customWidth="1"/>
    <col min="6" max="6" width="11.375" customWidth="1"/>
    <col min="7" max="10" width="10.375" customWidth="1"/>
    <col min="11" max="12" width="10.625" customWidth="1"/>
    <col min="13" max="15" width="10.375" customWidth="1"/>
    <col min="16" max="16" width="11.375" customWidth="1"/>
  </cols>
  <sheetData>
    <row r="1" spans="1:16" ht="20.100000000000001" customHeight="1" x14ac:dyDescent="0.2">
      <c r="A1" s="364" t="s">
        <v>280</v>
      </c>
      <c r="B1" s="364"/>
      <c r="C1" s="364"/>
      <c r="D1" s="364"/>
      <c r="E1" s="364"/>
      <c r="F1" s="364"/>
      <c r="G1" s="364"/>
      <c r="H1" s="364"/>
      <c r="I1" s="364"/>
      <c r="J1" s="364"/>
      <c r="K1" s="364"/>
      <c r="L1" s="364"/>
      <c r="M1" s="364"/>
      <c r="N1" s="364"/>
      <c r="O1" s="364"/>
      <c r="P1" s="364"/>
    </row>
    <row r="2" spans="1:16" ht="14.1" customHeight="1" x14ac:dyDescent="0.2">
      <c r="A2" s="365" t="s">
        <v>281</v>
      </c>
      <c r="B2" s="365"/>
      <c r="C2" s="365"/>
      <c r="D2" s="365"/>
      <c r="E2" s="365"/>
      <c r="F2" s="365"/>
      <c r="G2" s="365"/>
      <c r="H2" s="365"/>
      <c r="I2" s="365"/>
      <c r="J2" s="365"/>
      <c r="K2" s="365"/>
      <c r="L2" s="365"/>
      <c r="M2" s="365"/>
      <c r="N2" s="365"/>
      <c r="O2" s="365"/>
      <c r="P2" s="365"/>
    </row>
    <row r="3" spans="1:16" ht="14.1" customHeight="1" x14ac:dyDescent="0.2">
      <c r="A3" s="366" t="s">
        <v>282</v>
      </c>
      <c r="B3" s="366" t="s">
        <v>283</v>
      </c>
      <c r="C3" s="366" t="s">
        <v>284</v>
      </c>
      <c r="D3" s="367" t="s">
        <v>285</v>
      </c>
      <c r="E3" s="367"/>
      <c r="F3" s="367"/>
      <c r="G3" s="367"/>
      <c r="H3" s="367"/>
      <c r="I3" s="367"/>
      <c r="J3" s="367"/>
      <c r="K3" s="367"/>
      <c r="L3" s="367"/>
      <c r="M3" s="367"/>
      <c r="N3" s="367"/>
      <c r="O3" s="367"/>
      <c r="P3" s="367"/>
    </row>
    <row r="4" spans="1:16" ht="33.950000000000003" customHeight="1" x14ac:dyDescent="0.2">
      <c r="A4" s="366"/>
      <c r="B4" s="366"/>
      <c r="C4" s="366"/>
      <c r="D4" s="368" t="s">
        <v>156</v>
      </c>
      <c r="E4" s="368" t="s">
        <v>286</v>
      </c>
      <c r="F4" s="368" t="s">
        <v>287</v>
      </c>
      <c r="G4" s="368" t="s">
        <v>288</v>
      </c>
      <c r="H4" s="368"/>
      <c r="I4" s="368"/>
      <c r="J4" s="369" t="s">
        <v>289</v>
      </c>
      <c r="K4" s="370" t="s">
        <v>290</v>
      </c>
      <c r="L4" s="370" t="s">
        <v>291</v>
      </c>
      <c r="M4" s="370" t="s">
        <v>292</v>
      </c>
      <c r="N4" s="370" t="s">
        <v>293</v>
      </c>
      <c r="O4" s="370"/>
      <c r="P4" s="370"/>
    </row>
    <row r="5" spans="1:16" ht="36" customHeight="1" x14ac:dyDescent="0.2">
      <c r="A5" s="366"/>
      <c r="B5" s="366"/>
      <c r="C5" s="366"/>
      <c r="D5" s="368"/>
      <c r="E5" s="368"/>
      <c r="F5" s="368"/>
      <c r="G5" s="154" t="s">
        <v>156</v>
      </c>
      <c r="H5" s="155" t="s">
        <v>294</v>
      </c>
      <c r="I5" s="156" t="s">
        <v>295</v>
      </c>
      <c r="J5" s="369"/>
      <c r="K5" s="370"/>
      <c r="L5" s="370"/>
      <c r="M5" s="370"/>
      <c r="N5" s="157" t="s">
        <v>156</v>
      </c>
      <c r="O5" s="157" t="s">
        <v>296</v>
      </c>
      <c r="P5" s="157" t="s">
        <v>297</v>
      </c>
    </row>
    <row r="6" spans="1:16" ht="15" customHeight="1" x14ac:dyDescent="0.2">
      <c r="A6" s="18" t="s">
        <v>298</v>
      </c>
      <c r="B6" s="19">
        <v>98.2</v>
      </c>
      <c r="C6" s="20">
        <v>7.1800000000000003E-2</v>
      </c>
      <c r="D6" s="20">
        <v>6.0999999999999999E-2</v>
      </c>
      <c r="E6" s="20">
        <v>5.8900000000000001E-2</v>
      </c>
      <c r="F6" s="20">
        <v>6.1499999999999999E-2</v>
      </c>
      <c r="G6" s="20">
        <v>6.9900000000000004E-2</v>
      </c>
      <c r="H6" s="20">
        <v>6.9900000000000004E-2</v>
      </c>
      <c r="I6" s="20">
        <v>6.9900000000000004E-2</v>
      </c>
      <c r="J6" s="21">
        <v>4.2799999999999998E-2</v>
      </c>
      <c r="K6" s="22">
        <v>7.1800000000000003E-2</v>
      </c>
      <c r="L6" s="22">
        <v>4.0300000000000002E-2</v>
      </c>
      <c r="M6" s="22">
        <v>5.7799999999999997E-2</v>
      </c>
      <c r="N6" s="22">
        <v>0.13339999999999999</v>
      </c>
      <c r="O6" s="22">
        <v>0.1399</v>
      </c>
      <c r="P6" s="22">
        <v>0.1308</v>
      </c>
    </row>
    <row r="7" spans="1:16" ht="15" customHeight="1" x14ac:dyDescent="0.2">
      <c r="A7" s="18" t="s">
        <v>299</v>
      </c>
      <c r="B7" s="19">
        <v>116.2</v>
      </c>
      <c r="C7" s="20">
        <v>7.4499999999999997E-2</v>
      </c>
      <c r="D7" s="20">
        <v>6.8400000000000002E-2</v>
      </c>
      <c r="E7" s="20">
        <v>7.2700000000000001E-2</v>
      </c>
      <c r="F7" s="20">
        <v>6.4899999999999999E-2</v>
      </c>
      <c r="G7" s="20">
        <v>7.2400000000000006E-2</v>
      </c>
      <c r="H7" s="20">
        <v>7.2400000000000006E-2</v>
      </c>
      <c r="I7" s="20">
        <v>7.2400000000000006E-2</v>
      </c>
      <c r="J7" s="21">
        <v>3.8699999999999998E-2</v>
      </c>
      <c r="K7" s="22">
        <v>7.4499999999999997E-2</v>
      </c>
      <c r="L7" s="22">
        <v>0.04</v>
      </c>
      <c r="M7" s="22">
        <v>5.91E-2</v>
      </c>
      <c r="N7" s="22">
        <v>0.14480000000000001</v>
      </c>
      <c r="O7" s="22">
        <v>0.14829999999999999</v>
      </c>
      <c r="P7" s="22">
        <v>0.13700000000000001</v>
      </c>
    </row>
    <row r="8" spans="1:16" ht="15" customHeight="1" x14ac:dyDescent="0.2">
      <c r="A8" s="18" t="s">
        <v>300</v>
      </c>
      <c r="B8" s="19">
        <v>147.69999999999999</v>
      </c>
      <c r="C8" s="20">
        <v>0.08</v>
      </c>
      <c r="D8" s="20">
        <v>7.8200000000000006E-2</v>
      </c>
      <c r="E8" s="20">
        <v>8.9200000000000002E-2</v>
      </c>
      <c r="F8" s="20">
        <v>5.8500000000000003E-2</v>
      </c>
      <c r="G8" s="20">
        <v>7.9200000000000007E-2</v>
      </c>
      <c r="H8" s="20">
        <v>7.9200000000000007E-2</v>
      </c>
      <c r="I8" s="20">
        <v>7.9200000000000007E-2</v>
      </c>
      <c r="J8" s="21">
        <v>3.7900000000000003E-2</v>
      </c>
      <c r="K8" s="22">
        <v>0.08</v>
      </c>
      <c r="L8" s="22">
        <v>4.2999999999999997E-2</v>
      </c>
      <c r="M8" s="22">
        <v>5.0700000000000002E-2</v>
      </c>
      <c r="N8" s="22">
        <v>0.152</v>
      </c>
      <c r="O8" s="22">
        <v>0.15229999999999999</v>
      </c>
      <c r="P8" s="22">
        <v>0.1477</v>
      </c>
    </row>
    <row r="9" spans="1:16" ht="15" customHeight="1" x14ac:dyDescent="0.2">
      <c r="A9" s="18" t="s">
        <v>301</v>
      </c>
      <c r="B9" s="19">
        <v>184.6</v>
      </c>
      <c r="C9" s="20">
        <v>8.5199999999999998E-2</v>
      </c>
      <c r="D9" s="20">
        <v>8.7099999999999997E-2</v>
      </c>
      <c r="E9" s="20">
        <v>9.5899999999999999E-2</v>
      </c>
      <c r="F9" s="20">
        <v>5.7500000000000002E-2</v>
      </c>
      <c r="G9" s="20">
        <v>8.77E-2</v>
      </c>
      <c r="H9" s="20">
        <v>8.77E-2</v>
      </c>
      <c r="I9" s="20">
        <v>8.77E-2</v>
      </c>
      <c r="J9" s="21">
        <v>4.0300000000000002E-2</v>
      </c>
      <c r="K9" s="22">
        <v>8.5199999999999998E-2</v>
      </c>
      <c r="L9" s="22">
        <v>4.7100000000000003E-2</v>
      </c>
      <c r="M9" s="22">
        <v>4.9500000000000002E-2</v>
      </c>
      <c r="N9" s="22">
        <v>0.14910000000000001</v>
      </c>
      <c r="O9" s="22">
        <v>0.14910000000000001</v>
      </c>
      <c r="P9" s="22">
        <v>0.15060000000000001</v>
      </c>
    </row>
    <row r="10" spans="1:16" ht="15" customHeight="1" x14ac:dyDescent="0.2">
      <c r="A10" s="18" t="s">
        <v>302</v>
      </c>
      <c r="B10" s="19">
        <v>213.8</v>
      </c>
      <c r="C10" s="20">
        <v>8.8300000000000003E-2</v>
      </c>
      <c r="D10" s="20">
        <v>8.0100000000000005E-2</v>
      </c>
      <c r="E10" s="20">
        <v>8.3799999999999999E-2</v>
      </c>
      <c r="F10" s="20">
        <v>6.2199999999999998E-2</v>
      </c>
      <c r="G10" s="20">
        <v>9.4200000000000006E-2</v>
      </c>
      <c r="H10" s="20">
        <v>9.4200000000000006E-2</v>
      </c>
      <c r="I10" s="20">
        <v>9.4200000000000006E-2</v>
      </c>
      <c r="J10" s="21">
        <v>4.2500000000000003E-2</v>
      </c>
      <c r="K10" s="22">
        <v>8.8300000000000003E-2</v>
      </c>
      <c r="L10" s="22">
        <v>5.1900000000000002E-2</v>
      </c>
      <c r="M10" s="22">
        <v>5.28E-2</v>
      </c>
      <c r="N10" s="22">
        <v>0.1447</v>
      </c>
      <c r="O10" s="22">
        <v>0.1447</v>
      </c>
      <c r="P10" s="22">
        <v>0.15740000000000001</v>
      </c>
    </row>
    <row r="11" spans="1:16" ht="15" customHeight="1" x14ac:dyDescent="0.2">
      <c r="A11" s="18" t="s">
        <v>303</v>
      </c>
      <c r="B11" s="19">
        <v>226.4</v>
      </c>
      <c r="C11" s="20">
        <v>9.0399999999999994E-2</v>
      </c>
      <c r="D11" s="20">
        <v>7.5600000000000001E-2</v>
      </c>
      <c r="E11" s="20">
        <v>7.6100000000000001E-2</v>
      </c>
      <c r="F11" s="20">
        <v>7.1900000000000006E-2</v>
      </c>
      <c r="G11" s="20">
        <v>9.9000000000000005E-2</v>
      </c>
      <c r="H11" s="20">
        <v>9.9000000000000005E-2</v>
      </c>
      <c r="I11" s="20">
        <v>9.8699999999999996E-2</v>
      </c>
      <c r="J11" s="21">
        <v>4.2900000000000001E-2</v>
      </c>
      <c r="K11" s="22">
        <v>9.0399999999999994E-2</v>
      </c>
      <c r="L11" s="22">
        <v>5.4699999999999999E-2</v>
      </c>
      <c r="M11" s="22">
        <v>5.6099999999999997E-2</v>
      </c>
      <c r="N11" s="22">
        <v>0.1351</v>
      </c>
      <c r="O11" s="22">
        <v>0.13500000000000001</v>
      </c>
      <c r="P11" s="22">
        <v>0.1628</v>
      </c>
    </row>
    <row r="12" spans="1:16" ht="15" customHeight="1" x14ac:dyDescent="0.2">
      <c r="A12" s="18" t="s">
        <v>304</v>
      </c>
      <c r="B12" s="19">
        <v>228</v>
      </c>
      <c r="C12" s="20">
        <v>9.7299999999999998E-2</v>
      </c>
      <c r="D12" s="20">
        <v>7.5600000000000001E-2</v>
      </c>
      <c r="E12" s="20">
        <v>7.2400000000000006E-2</v>
      </c>
      <c r="F12" s="20">
        <v>8.9300000000000004E-2</v>
      </c>
      <c r="G12" s="20">
        <v>0.10440000000000001</v>
      </c>
      <c r="H12" s="20">
        <v>0.10440000000000001</v>
      </c>
      <c r="I12" s="20">
        <v>0.1042</v>
      </c>
      <c r="J12" s="21">
        <v>4.7399999999999998E-2</v>
      </c>
      <c r="K12" s="22">
        <v>9.7299999999999998E-2</v>
      </c>
      <c r="L12" s="22">
        <v>5.6899999999999999E-2</v>
      </c>
      <c r="M12" s="22">
        <v>6.1100000000000002E-2</v>
      </c>
      <c r="N12" s="22">
        <v>0.1371</v>
      </c>
      <c r="O12" s="22">
        <v>0.1368</v>
      </c>
      <c r="P12" s="22">
        <v>0.15390000000000001</v>
      </c>
    </row>
    <row r="13" spans="1:16" ht="15" customHeight="1" x14ac:dyDescent="0.2">
      <c r="A13" s="18" t="s">
        <v>305</v>
      </c>
      <c r="B13" s="19">
        <v>238.9</v>
      </c>
      <c r="C13" s="20">
        <v>0.1079</v>
      </c>
      <c r="D13" s="20">
        <v>8.4199999999999997E-2</v>
      </c>
      <c r="E13" s="20">
        <v>7.7799999999999994E-2</v>
      </c>
      <c r="F13" s="20">
        <v>8.8599999999999998E-2</v>
      </c>
      <c r="G13" s="20">
        <v>0.11219999999999999</v>
      </c>
      <c r="H13" s="20">
        <v>0.11219999999999999</v>
      </c>
      <c r="I13" s="20">
        <v>0.11210000000000001</v>
      </c>
      <c r="J13" s="21">
        <v>0.1169</v>
      </c>
      <c r="K13" s="22">
        <v>0.1079</v>
      </c>
      <c r="L13" s="22">
        <v>6.0299999999999999E-2</v>
      </c>
      <c r="M13" s="22">
        <v>6.2799999999999995E-2</v>
      </c>
      <c r="N13" s="22">
        <v>0.15240000000000001</v>
      </c>
      <c r="O13" s="22">
        <v>0.15229999999999999</v>
      </c>
      <c r="P13" s="22">
        <v>0.1527</v>
      </c>
    </row>
    <row r="14" spans="1:16" ht="15" customHeight="1" x14ac:dyDescent="0.2">
      <c r="A14" s="18" t="s">
        <v>306</v>
      </c>
      <c r="B14" s="19">
        <v>261.89999999999998</v>
      </c>
      <c r="C14" s="20">
        <v>0.1181</v>
      </c>
      <c r="D14" s="20">
        <v>8.7499999999999994E-2</v>
      </c>
      <c r="E14" s="20">
        <v>7.2900000000000006E-2</v>
      </c>
      <c r="F14" s="20">
        <v>9.5899999999999999E-2</v>
      </c>
      <c r="G14" s="20">
        <v>0.1225</v>
      </c>
      <c r="H14" s="20">
        <v>0.1225</v>
      </c>
      <c r="I14" s="20">
        <v>0.12239999999999999</v>
      </c>
      <c r="J14" s="21">
        <v>6.4600000000000005E-2</v>
      </c>
      <c r="K14" s="22">
        <v>0.1181</v>
      </c>
      <c r="L14" s="22">
        <v>6.5100000000000005E-2</v>
      </c>
      <c r="M14" s="22">
        <v>6.9099999999999995E-2</v>
      </c>
      <c r="N14" s="22">
        <v>0.1694</v>
      </c>
      <c r="O14" s="22">
        <v>0.1671</v>
      </c>
      <c r="P14" s="22">
        <v>0.1777</v>
      </c>
    </row>
    <row r="15" spans="1:16" ht="15" customHeight="1" x14ac:dyDescent="0.2">
      <c r="A15" s="18" t="s">
        <v>307</v>
      </c>
      <c r="B15" s="19">
        <v>276.5</v>
      </c>
      <c r="C15" s="20">
        <v>0.1221</v>
      </c>
      <c r="D15" s="20">
        <v>8.3900000000000002E-2</v>
      </c>
      <c r="E15" s="20">
        <v>7.2400000000000006E-2</v>
      </c>
      <c r="F15" s="20">
        <v>9.1399999999999995E-2</v>
      </c>
      <c r="G15" s="20">
        <v>0.1258</v>
      </c>
      <c r="H15" s="20">
        <v>0.1258</v>
      </c>
      <c r="I15" s="20">
        <v>0.12570000000000001</v>
      </c>
      <c r="J15" s="21">
        <v>6.8099999999999994E-2</v>
      </c>
      <c r="K15" s="22">
        <v>0.1221</v>
      </c>
      <c r="L15" s="22">
        <v>6.3299999999999995E-2</v>
      </c>
      <c r="M15" s="22">
        <v>6.7400000000000002E-2</v>
      </c>
      <c r="N15" s="22">
        <v>0.17760000000000001</v>
      </c>
      <c r="O15" s="22">
        <v>0.17599999999999999</v>
      </c>
      <c r="P15" s="22">
        <v>0.18129999999999999</v>
      </c>
    </row>
    <row r="16" spans="1:16" ht="15" customHeight="1" x14ac:dyDescent="0.2">
      <c r="A16" s="18" t="s">
        <v>308</v>
      </c>
      <c r="B16" s="19">
        <v>278.67500000000001</v>
      </c>
      <c r="C16" s="20">
        <v>0.12039999999999999</v>
      </c>
      <c r="D16" s="20">
        <v>8.8400000000000006E-2</v>
      </c>
      <c r="E16" s="20">
        <v>7.3200000000000001E-2</v>
      </c>
      <c r="F16" s="20">
        <v>9.8000000000000004E-2</v>
      </c>
      <c r="G16" s="20">
        <v>0.1242</v>
      </c>
      <c r="H16" s="20">
        <v>0.12429999999999999</v>
      </c>
      <c r="I16" s="20">
        <v>0.12379999999999999</v>
      </c>
      <c r="J16" s="21">
        <v>6.4500000000000002E-2</v>
      </c>
      <c r="K16" s="22">
        <v>0.12039999999999999</v>
      </c>
      <c r="L16" s="22">
        <v>6.6699999999999995E-2</v>
      </c>
      <c r="M16" s="22">
        <v>7.2099999999999997E-2</v>
      </c>
      <c r="N16" s="22">
        <v>0.17549999999999999</v>
      </c>
      <c r="O16" s="22">
        <v>0.17530000000000001</v>
      </c>
      <c r="P16" s="22">
        <v>0.1759</v>
      </c>
    </row>
    <row r="17" spans="1:16" ht="15" customHeight="1" x14ac:dyDescent="0.2">
      <c r="A17" s="18" t="s">
        <v>309</v>
      </c>
      <c r="B17" s="19">
        <v>327.05</v>
      </c>
      <c r="C17" s="20">
        <v>0.12690000000000001</v>
      </c>
      <c r="D17" s="20">
        <v>8.9499999999999996E-2</v>
      </c>
      <c r="E17" s="20">
        <v>7.7600000000000002E-2</v>
      </c>
      <c r="F17" s="20">
        <v>0.1071</v>
      </c>
      <c r="G17" s="20">
        <v>0.13120000000000001</v>
      </c>
      <c r="H17" s="20">
        <v>0.1313</v>
      </c>
      <c r="I17" s="20">
        <v>0.13070000000000001</v>
      </c>
      <c r="J17" s="21">
        <v>7.7200000000000005E-2</v>
      </c>
      <c r="K17" s="22">
        <v>0.12690000000000001</v>
      </c>
      <c r="L17" s="22">
        <v>6.5799999999999997E-2</v>
      </c>
      <c r="M17" s="22">
        <v>7.3700000000000002E-2</v>
      </c>
      <c r="N17" s="22">
        <v>0.18770000000000001</v>
      </c>
      <c r="O17" s="22">
        <v>0.1888</v>
      </c>
      <c r="P17" s="22">
        <v>0.18329999999999999</v>
      </c>
    </row>
    <row r="18" spans="1:16" ht="15" customHeight="1" x14ac:dyDescent="0.2">
      <c r="A18" s="18" t="s">
        <v>310</v>
      </c>
      <c r="B18" s="19">
        <v>357.1</v>
      </c>
      <c r="C18" s="20">
        <v>0.13200000000000001</v>
      </c>
      <c r="D18" s="20">
        <v>8.9700000000000002E-2</v>
      </c>
      <c r="E18" s="20">
        <v>8.0799999999999997E-2</v>
      </c>
      <c r="F18" s="20">
        <v>0.1174</v>
      </c>
      <c r="G18" s="20">
        <v>0.13639999999999999</v>
      </c>
      <c r="H18" s="20">
        <v>0.13639999999999999</v>
      </c>
      <c r="I18" s="20">
        <v>0.13589999999999999</v>
      </c>
      <c r="J18" s="21">
        <v>7.7399999999999997E-2</v>
      </c>
      <c r="K18" s="22">
        <v>0.13200000000000001</v>
      </c>
      <c r="L18" s="22">
        <v>7.0800000000000002E-2</v>
      </c>
      <c r="M18" s="22">
        <v>8.0399999999999999E-2</v>
      </c>
      <c r="N18" s="22">
        <v>0.19719999999999999</v>
      </c>
      <c r="O18" s="22">
        <v>0.19739999999999999</v>
      </c>
      <c r="P18" s="22">
        <v>0.19570000000000001</v>
      </c>
    </row>
    <row r="19" spans="1:16" ht="15" customHeight="1" x14ac:dyDescent="0.2">
      <c r="A19" s="18" t="s">
        <v>311</v>
      </c>
      <c r="B19" s="19">
        <v>382.05</v>
      </c>
      <c r="C19" s="20">
        <v>0.13439999999999999</v>
      </c>
      <c r="D19" s="20">
        <v>9.6500000000000002E-2</v>
      </c>
      <c r="E19" s="20">
        <v>8.9300000000000004E-2</v>
      </c>
      <c r="F19" s="20">
        <v>0.1181</v>
      </c>
      <c r="G19" s="20">
        <v>0.1384</v>
      </c>
      <c r="H19" s="20">
        <v>0.13850000000000001</v>
      </c>
      <c r="I19" s="20">
        <v>0.13800000000000001</v>
      </c>
      <c r="J19" s="21">
        <v>8.1199999999999994E-2</v>
      </c>
      <c r="K19" s="22">
        <v>0.13439999999999999</v>
      </c>
      <c r="L19" s="22">
        <v>7.4899999999999994E-2</v>
      </c>
      <c r="M19" s="22">
        <v>8.4500000000000006E-2</v>
      </c>
      <c r="N19" s="22">
        <v>0.19989999999999999</v>
      </c>
      <c r="O19" s="22">
        <v>0.19969999999999999</v>
      </c>
      <c r="P19" s="22">
        <v>0.20180000000000001</v>
      </c>
    </row>
    <row r="20" spans="1:16" ht="15" customHeight="1" x14ac:dyDescent="0.2">
      <c r="A20" s="18" t="s">
        <v>312</v>
      </c>
      <c r="B20" s="19">
        <v>387.15</v>
      </c>
      <c r="C20" s="20">
        <v>0.13600000000000001</v>
      </c>
      <c r="D20" s="20">
        <v>9.9699999999999997E-2</v>
      </c>
      <c r="E20" s="20">
        <v>9.0899999999999995E-2</v>
      </c>
      <c r="F20" s="20">
        <v>0.12790000000000001</v>
      </c>
      <c r="G20" s="20">
        <v>0.14019999999999999</v>
      </c>
      <c r="H20" s="20">
        <v>0.14019999999999999</v>
      </c>
      <c r="I20" s="20">
        <v>0.14000000000000001</v>
      </c>
      <c r="J20" s="21">
        <v>7.7799999999999994E-2</v>
      </c>
      <c r="K20" s="22">
        <v>0.13600000000000001</v>
      </c>
      <c r="L20" s="22">
        <v>7.7600000000000002E-2</v>
      </c>
      <c r="M20" s="22">
        <v>9.06E-2</v>
      </c>
      <c r="N20" s="22">
        <v>0.1981</v>
      </c>
      <c r="O20" s="22">
        <v>0.19789999999999999</v>
      </c>
      <c r="P20" s="22">
        <v>0.20030000000000001</v>
      </c>
    </row>
    <row r="21" spans="1:16" ht="15" customHeight="1" x14ac:dyDescent="0.2">
      <c r="A21" s="18" t="s">
        <v>313</v>
      </c>
      <c r="B21" s="19">
        <v>406.32499999999999</v>
      </c>
      <c r="C21" s="20">
        <v>0.13700000000000001</v>
      </c>
      <c r="D21" s="20">
        <v>0.1027</v>
      </c>
      <c r="E21" s="20">
        <v>9.3899999999999997E-2</v>
      </c>
      <c r="F21" s="20">
        <v>0.12180000000000001</v>
      </c>
      <c r="G21" s="20">
        <v>0.1401</v>
      </c>
      <c r="H21" s="20">
        <v>0.1401</v>
      </c>
      <c r="I21" s="20">
        <v>0.14000000000000001</v>
      </c>
      <c r="J21" s="21">
        <v>7.9299999999999995E-2</v>
      </c>
      <c r="K21" s="22">
        <v>0.13700000000000001</v>
      </c>
      <c r="L21" s="22">
        <v>7.9699999999999993E-2</v>
      </c>
      <c r="M21" s="22">
        <v>8.7400000000000005E-2</v>
      </c>
      <c r="N21" s="22">
        <v>0.2036</v>
      </c>
      <c r="O21" s="22">
        <v>0.2041</v>
      </c>
      <c r="P21" s="22">
        <v>0.19639999999999999</v>
      </c>
    </row>
    <row r="22" spans="1:16" ht="15" customHeight="1" x14ac:dyDescent="0.2">
      <c r="A22" s="18" t="s">
        <v>314</v>
      </c>
      <c r="B22" s="19">
        <v>438.25</v>
      </c>
      <c r="C22" s="20">
        <v>0.14050000000000001</v>
      </c>
      <c r="D22" s="20">
        <v>0.1071</v>
      </c>
      <c r="E22" s="20">
        <v>9.9400000000000002E-2</v>
      </c>
      <c r="F22" s="20">
        <v>0.12130000000000001</v>
      </c>
      <c r="G22" s="20">
        <v>0.14180000000000001</v>
      </c>
      <c r="H22" s="20">
        <v>0.14180000000000001</v>
      </c>
      <c r="I22" s="20">
        <v>0.14169999999999999</v>
      </c>
      <c r="J22" s="21">
        <v>8.0399999999999999E-2</v>
      </c>
      <c r="K22" s="22">
        <v>0.14050000000000001</v>
      </c>
      <c r="L22" s="22">
        <v>8.0600000000000005E-2</v>
      </c>
      <c r="M22" s="22">
        <v>8.6999999999999994E-2</v>
      </c>
      <c r="N22" s="22">
        <v>0.2142</v>
      </c>
      <c r="O22" s="22">
        <v>0.21490000000000001</v>
      </c>
      <c r="P22" s="22">
        <v>0.2036</v>
      </c>
    </row>
    <row r="23" spans="1:16" ht="15" customHeight="1" x14ac:dyDescent="0.2">
      <c r="A23" s="18" t="s">
        <v>315</v>
      </c>
      <c r="B23" s="19">
        <v>463.375</v>
      </c>
      <c r="C23" s="20">
        <v>0.14580000000000001</v>
      </c>
      <c r="D23" s="20">
        <v>0.1124</v>
      </c>
      <c r="E23" s="20">
        <v>0.1046</v>
      </c>
      <c r="F23" s="20">
        <v>0.12620000000000001</v>
      </c>
      <c r="G23" s="20">
        <v>0.14580000000000001</v>
      </c>
      <c r="H23" s="20">
        <v>0.14580000000000001</v>
      </c>
      <c r="I23" s="20">
        <v>0.1457</v>
      </c>
      <c r="J23" s="21">
        <v>8.77E-2</v>
      </c>
      <c r="K23" s="22">
        <v>0.14580000000000001</v>
      </c>
      <c r="L23" s="22">
        <v>8.2500000000000004E-2</v>
      </c>
      <c r="M23" s="22">
        <v>9.01E-2</v>
      </c>
      <c r="N23" s="22">
        <v>0.22620000000000001</v>
      </c>
      <c r="O23" s="22">
        <v>0.2271</v>
      </c>
      <c r="P23" s="22">
        <v>0.2137</v>
      </c>
    </row>
    <row r="24" spans="1:16" ht="15" customHeight="1" x14ac:dyDescent="0.2">
      <c r="A24" s="18" t="s">
        <v>316</v>
      </c>
      <c r="B24" s="19">
        <v>473.47500000000002</v>
      </c>
      <c r="C24" s="20">
        <v>0.1502</v>
      </c>
      <c r="D24" s="20">
        <v>0.1191</v>
      </c>
      <c r="E24" s="20">
        <v>0.1095</v>
      </c>
      <c r="F24" s="20">
        <v>0.1346</v>
      </c>
      <c r="G24" s="20">
        <v>0.15010000000000001</v>
      </c>
      <c r="H24" s="20">
        <v>0.15010000000000001</v>
      </c>
      <c r="I24" s="20">
        <v>0.15</v>
      </c>
      <c r="J24" s="21">
        <v>9.74E-2</v>
      </c>
      <c r="K24" s="22">
        <v>0.1502</v>
      </c>
      <c r="L24" s="22">
        <v>8.8200000000000001E-2</v>
      </c>
      <c r="M24" s="22">
        <v>9.7900000000000001E-2</v>
      </c>
      <c r="N24" s="22">
        <v>0.2334</v>
      </c>
      <c r="O24" s="22">
        <v>0.23449999999999999</v>
      </c>
      <c r="P24" s="22">
        <v>0.2203</v>
      </c>
    </row>
    <row r="25" spans="1:16" ht="15" customHeight="1" x14ac:dyDescent="0.2">
      <c r="A25" s="18" t="s">
        <v>317</v>
      </c>
      <c r="B25" s="19">
        <v>504.6</v>
      </c>
      <c r="C25" s="20">
        <v>0.1525</v>
      </c>
      <c r="D25" s="20">
        <v>0.1237</v>
      </c>
      <c r="E25" s="20">
        <v>0.1169</v>
      </c>
      <c r="F25" s="20">
        <v>0.13239999999999999</v>
      </c>
      <c r="G25" s="20">
        <v>0.1522</v>
      </c>
      <c r="H25" s="20">
        <v>0.1522</v>
      </c>
      <c r="I25" s="20">
        <v>0.15210000000000001</v>
      </c>
      <c r="J25" s="21">
        <v>0.1042</v>
      </c>
      <c r="K25" s="22">
        <v>0.1525</v>
      </c>
      <c r="L25" s="22">
        <v>9.2700000000000005E-2</v>
      </c>
      <c r="M25" s="22">
        <v>0.1014</v>
      </c>
      <c r="N25" s="22">
        <v>0.2374</v>
      </c>
      <c r="O25" s="22">
        <v>0.2387</v>
      </c>
      <c r="P25" s="22">
        <v>0.22389999999999999</v>
      </c>
    </row>
    <row r="26" spans="1:16" ht="15" customHeight="1" x14ac:dyDescent="0.2">
      <c r="A26" s="18" t="s">
        <v>318</v>
      </c>
      <c r="B26" s="19">
        <v>534.32500000000005</v>
      </c>
      <c r="C26" s="20">
        <v>0.15459999999999999</v>
      </c>
      <c r="D26" s="20">
        <v>0.12570000000000001</v>
      </c>
      <c r="E26" s="20">
        <v>0.1157</v>
      </c>
      <c r="F26" s="20">
        <v>0.13880000000000001</v>
      </c>
      <c r="G26" s="20">
        <v>0.155</v>
      </c>
      <c r="H26" s="20">
        <v>0.15509999999999999</v>
      </c>
      <c r="I26" s="20">
        <v>0.15490000000000001</v>
      </c>
      <c r="J26" s="21">
        <v>0.10489999999999999</v>
      </c>
      <c r="K26" s="22">
        <v>0.15459999999999999</v>
      </c>
      <c r="L26" s="22">
        <v>9.1899999999999996E-2</v>
      </c>
      <c r="M26" s="22">
        <v>0.10489999999999999</v>
      </c>
      <c r="N26" s="22">
        <v>0.23910000000000001</v>
      </c>
      <c r="O26" s="22">
        <v>0.24049999999999999</v>
      </c>
      <c r="P26" s="22">
        <v>0.22689999999999999</v>
      </c>
    </row>
    <row r="27" spans="1:16" ht="15" customHeight="1" x14ac:dyDescent="0.2">
      <c r="A27" s="18" t="s">
        <v>319</v>
      </c>
      <c r="B27" s="19">
        <v>546.57500000000005</v>
      </c>
      <c r="C27" s="20">
        <v>0.15670000000000001</v>
      </c>
      <c r="D27" s="20">
        <v>0.1285</v>
      </c>
      <c r="E27" s="20">
        <v>0.1178</v>
      </c>
      <c r="F27" s="20">
        <v>0.14169999999999999</v>
      </c>
      <c r="G27" s="20">
        <v>0.15720000000000001</v>
      </c>
      <c r="H27" s="20">
        <v>0.15720000000000001</v>
      </c>
      <c r="I27" s="20">
        <v>0.15709999999999999</v>
      </c>
      <c r="J27" s="21">
        <v>0.1028</v>
      </c>
      <c r="K27" s="22">
        <v>0.15670000000000001</v>
      </c>
      <c r="L27" s="22">
        <v>9.6500000000000002E-2</v>
      </c>
      <c r="M27" s="22">
        <v>0.11070000000000001</v>
      </c>
      <c r="N27" s="22">
        <v>0.2404</v>
      </c>
      <c r="O27" s="22">
        <v>0.2419</v>
      </c>
      <c r="P27" s="22">
        <v>0.22850000000000001</v>
      </c>
    </row>
    <row r="28" spans="1:16" ht="15" customHeight="1" x14ac:dyDescent="0.2">
      <c r="A28" s="18" t="s">
        <v>320</v>
      </c>
      <c r="B28" s="19">
        <v>585.67499999999995</v>
      </c>
      <c r="C28" s="20">
        <v>0.1583</v>
      </c>
      <c r="D28" s="20">
        <v>0.12839999999999999</v>
      </c>
      <c r="E28" s="20">
        <v>0.1179</v>
      </c>
      <c r="F28" s="20">
        <v>0.14050000000000001</v>
      </c>
      <c r="G28" s="20">
        <v>0.15870000000000001</v>
      </c>
      <c r="H28" s="20">
        <v>0.15870000000000001</v>
      </c>
      <c r="I28" s="20">
        <v>0.15859999999999999</v>
      </c>
      <c r="J28" s="21">
        <v>0.1032</v>
      </c>
      <c r="K28" s="22">
        <v>0.1583</v>
      </c>
      <c r="L28" s="22">
        <v>9.8299999999999998E-2</v>
      </c>
      <c r="M28" s="22">
        <v>0.11219999999999999</v>
      </c>
      <c r="N28" s="22">
        <v>0.2424</v>
      </c>
      <c r="O28" s="22">
        <v>0.24399999999999999</v>
      </c>
      <c r="P28" s="22">
        <v>0.23050000000000001</v>
      </c>
    </row>
    <row r="29" spans="1:16" ht="15" customHeight="1" x14ac:dyDescent="0.2">
      <c r="A29" s="18" t="s">
        <v>321</v>
      </c>
      <c r="B29" s="19">
        <v>618.20000000000005</v>
      </c>
      <c r="C29" s="20">
        <v>0.16020000000000001</v>
      </c>
      <c r="D29" s="20">
        <v>0.1341</v>
      </c>
      <c r="E29" s="20">
        <v>0.12330000000000001</v>
      </c>
      <c r="F29" s="20">
        <v>0.1459</v>
      </c>
      <c r="G29" s="20">
        <v>0.1605</v>
      </c>
      <c r="H29" s="20">
        <v>0.1605</v>
      </c>
      <c r="I29" s="20">
        <v>0.16039999999999999</v>
      </c>
      <c r="J29" s="21">
        <v>0.107</v>
      </c>
      <c r="K29" s="22">
        <v>0.16020000000000001</v>
      </c>
      <c r="L29" s="22">
        <v>0.1016</v>
      </c>
      <c r="M29" s="22">
        <v>0.1197</v>
      </c>
      <c r="N29" s="22">
        <v>0.2462</v>
      </c>
      <c r="O29" s="22">
        <v>0.24809999999999999</v>
      </c>
      <c r="P29" s="22">
        <v>0.2329</v>
      </c>
    </row>
    <row r="30" spans="1:16" ht="15" customHeight="1" x14ac:dyDescent="0.2">
      <c r="A30" s="18" t="s">
        <v>322</v>
      </c>
      <c r="B30" s="19">
        <v>661.7</v>
      </c>
      <c r="C30" s="20">
        <v>0.16209999999999999</v>
      </c>
      <c r="D30" s="20">
        <v>0.1361</v>
      </c>
      <c r="E30" s="20">
        <v>0.12479999999999999</v>
      </c>
      <c r="F30" s="20">
        <v>0.14760000000000001</v>
      </c>
      <c r="G30" s="20">
        <v>0.1628</v>
      </c>
      <c r="H30" s="20">
        <v>0.1628</v>
      </c>
      <c r="I30" s="20">
        <v>0.16270000000000001</v>
      </c>
      <c r="J30" s="21">
        <v>0.1087</v>
      </c>
      <c r="K30" s="22">
        <v>0.16209999999999999</v>
      </c>
      <c r="L30" s="22">
        <v>0.10489999999999999</v>
      </c>
      <c r="M30" s="22">
        <v>0.12570000000000001</v>
      </c>
      <c r="N30" s="22">
        <v>0.2465</v>
      </c>
      <c r="O30" s="22">
        <v>0.24829999999999999</v>
      </c>
      <c r="P30" s="22">
        <v>0.23630000000000001</v>
      </c>
    </row>
    <row r="31" spans="1:16" ht="15" customHeight="1" x14ac:dyDescent="0.2">
      <c r="A31" s="18" t="s">
        <v>323</v>
      </c>
      <c r="B31" s="19">
        <v>709.32500000000005</v>
      </c>
      <c r="C31" s="20">
        <v>0.16489999999999999</v>
      </c>
      <c r="D31" s="20">
        <v>0.13780000000000001</v>
      </c>
      <c r="E31" s="20">
        <v>0.1244</v>
      </c>
      <c r="F31" s="20">
        <v>0.14990000000000001</v>
      </c>
      <c r="G31" s="20">
        <v>0.16500000000000001</v>
      </c>
      <c r="H31" s="20">
        <v>0.1651</v>
      </c>
      <c r="I31" s="20">
        <v>0.16489999999999999</v>
      </c>
      <c r="J31" s="21">
        <v>0.1118</v>
      </c>
      <c r="K31" s="22">
        <v>0.16489999999999999</v>
      </c>
      <c r="L31" s="22">
        <v>0.1108</v>
      </c>
      <c r="M31" s="22">
        <v>0.13089999999999999</v>
      </c>
      <c r="N31" s="22">
        <v>0.247</v>
      </c>
      <c r="O31" s="22">
        <v>0.24890000000000001</v>
      </c>
      <c r="P31" s="22">
        <v>0.2384</v>
      </c>
    </row>
    <row r="32" spans="1:16" ht="15" customHeight="1" x14ac:dyDescent="0.2">
      <c r="A32" s="18" t="s">
        <v>324</v>
      </c>
      <c r="B32" s="19">
        <v>780.47500000000002</v>
      </c>
      <c r="C32" s="20">
        <v>0.16850000000000001</v>
      </c>
      <c r="D32" s="20">
        <v>0.1416</v>
      </c>
      <c r="E32" s="20">
        <v>0.13039999999999999</v>
      </c>
      <c r="F32" s="20">
        <v>0.1515</v>
      </c>
      <c r="G32" s="20">
        <v>0.16800000000000001</v>
      </c>
      <c r="H32" s="20">
        <v>0.16800000000000001</v>
      </c>
      <c r="I32" s="20">
        <v>0.16789999999999999</v>
      </c>
      <c r="J32" s="21">
        <v>0.1086</v>
      </c>
      <c r="K32" s="22">
        <v>0.16850000000000001</v>
      </c>
      <c r="L32" s="22">
        <v>0.11459999999999999</v>
      </c>
      <c r="M32" s="22">
        <v>0.13469999999999999</v>
      </c>
      <c r="N32" s="22">
        <v>0.249</v>
      </c>
      <c r="O32" s="22">
        <v>0.25090000000000001</v>
      </c>
      <c r="P32" s="22">
        <v>0.23980000000000001</v>
      </c>
    </row>
    <row r="33" spans="1:16" ht="15" customHeight="1" x14ac:dyDescent="0.2">
      <c r="A33" s="18" t="s">
        <v>325</v>
      </c>
      <c r="B33" s="19">
        <v>836.52499999999998</v>
      </c>
      <c r="C33" s="20">
        <v>0.1736</v>
      </c>
      <c r="D33" s="20">
        <v>0.1449</v>
      </c>
      <c r="E33" s="20">
        <v>0.13469999999999999</v>
      </c>
      <c r="F33" s="20">
        <v>0.15459999999999999</v>
      </c>
      <c r="G33" s="20">
        <v>0.1726</v>
      </c>
      <c r="H33" s="20">
        <v>0.1726</v>
      </c>
      <c r="I33" s="20">
        <v>0.17249999999999999</v>
      </c>
      <c r="J33" s="21">
        <v>0.10979999999999999</v>
      </c>
      <c r="K33" s="22">
        <v>0.1736</v>
      </c>
      <c r="L33" s="22">
        <v>0.11749999999999999</v>
      </c>
      <c r="M33" s="22">
        <v>0.13650000000000001</v>
      </c>
      <c r="N33" s="22">
        <v>0.25290000000000001</v>
      </c>
      <c r="O33" s="22">
        <v>0.25430000000000003</v>
      </c>
      <c r="P33" s="22">
        <v>0.24349999999999999</v>
      </c>
    </row>
    <row r="34" spans="1:16" ht="15" customHeight="1" x14ac:dyDescent="0.2">
      <c r="A34" s="18" t="s">
        <v>326</v>
      </c>
      <c r="B34" s="19">
        <v>897.57500000000005</v>
      </c>
      <c r="C34" s="20">
        <v>0.1797</v>
      </c>
      <c r="D34" s="20">
        <v>0.15010000000000001</v>
      </c>
      <c r="E34" s="20">
        <v>0.14099999999999999</v>
      </c>
      <c r="F34" s="20">
        <v>0.15890000000000001</v>
      </c>
      <c r="G34" s="20">
        <v>0.1779</v>
      </c>
      <c r="H34" s="20">
        <v>0.1779</v>
      </c>
      <c r="I34" s="20">
        <v>0.17780000000000001</v>
      </c>
      <c r="J34" s="21">
        <v>0.11360000000000001</v>
      </c>
      <c r="K34" s="22">
        <v>0.1797</v>
      </c>
      <c r="L34" s="22">
        <v>0.12180000000000001</v>
      </c>
      <c r="M34" s="22">
        <v>0.1394</v>
      </c>
      <c r="N34" s="22">
        <v>0.2586</v>
      </c>
      <c r="O34" s="22">
        <v>0.25969999999999999</v>
      </c>
      <c r="P34" s="22">
        <v>0.24890000000000001</v>
      </c>
    </row>
    <row r="35" spans="1:16" ht="15" customHeight="1" x14ac:dyDescent="0.2">
      <c r="A35" s="18" t="s">
        <v>327</v>
      </c>
      <c r="B35" s="19">
        <v>980.27499999999998</v>
      </c>
      <c r="C35" s="20">
        <v>0.18790000000000001</v>
      </c>
      <c r="D35" s="20">
        <v>0.1598</v>
      </c>
      <c r="E35" s="20">
        <v>0.14910000000000001</v>
      </c>
      <c r="F35" s="20">
        <v>0.16980000000000001</v>
      </c>
      <c r="G35" s="20">
        <v>0.1855</v>
      </c>
      <c r="H35" s="20">
        <v>0.1855</v>
      </c>
      <c r="I35" s="20">
        <v>0.18540000000000001</v>
      </c>
      <c r="J35" s="21">
        <v>0.1205</v>
      </c>
      <c r="K35" s="22">
        <v>0.18790000000000001</v>
      </c>
      <c r="L35" s="22">
        <v>0.13020000000000001</v>
      </c>
      <c r="M35" s="22">
        <v>0.15010000000000001</v>
      </c>
      <c r="N35" s="22">
        <v>0.26840000000000003</v>
      </c>
      <c r="O35" s="22">
        <v>0.26939999999999997</v>
      </c>
      <c r="P35" s="22">
        <v>0.2586</v>
      </c>
    </row>
    <row r="36" spans="1:16" ht="15" customHeight="1" x14ac:dyDescent="0.2">
      <c r="A36" s="18" t="s">
        <v>328</v>
      </c>
      <c r="B36" s="19">
        <v>1046.675</v>
      </c>
      <c r="C36" s="20">
        <v>0.19789999999999999</v>
      </c>
      <c r="D36" s="20">
        <v>0.16850000000000001</v>
      </c>
      <c r="E36" s="20">
        <v>0.15659999999999999</v>
      </c>
      <c r="F36" s="20">
        <v>0.1782</v>
      </c>
      <c r="G36" s="20">
        <v>0.1943</v>
      </c>
      <c r="H36" s="20">
        <v>0.1943</v>
      </c>
      <c r="I36" s="20">
        <v>0.19420000000000001</v>
      </c>
      <c r="J36" s="21">
        <v>0.12859999999999999</v>
      </c>
      <c r="K36" s="22">
        <v>0.19789999999999999</v>
      </c>
      <c r="L36" s="22">
        <v>0.14099999999999999</v>
      </c>
      <c r="M36" s="22">
        <v>0.15920000000000001</v>
      </c>
      <c r="N36" s="22">
        <v>0.28239999999999998</v>
      </c>
      <c r="O36" s="22">
        <v>0.28339999999999999</v>
      </c>
      <c r="P36" s="22">
        <v>0.27300000000000002</v>
      </c>
    </row>
    <row r="37" spans="1:16" ht="15" customHeight="1" x14ac:dyDescent="0.2">
      <c r="A37" s="18" t="s">
        <v>329</v>
      </c>
      <c r="B37" s="19">
        <v>1116.55</v>
      </c>
      <c r="C37" s="20">
        <v>0.20799999999999999</v>
      </c>
      <c r="D37" s="20">
        <v>0.18010000000000001</v>
      </c>
      <c r="E37" s="20">
        <v>0.16639999999999999</v>
      </c>
      <c r="F37" s="20">
        <v>0.18940000000000001</v>
      </c>
      <c r="G37" s="20">
        <v>0.2029</v>
      </c>
      <c r="H37" s="20">
        <v>0.2029</v>
      </c>
      <c r="I37" s="20">
        <v>0.20280000000000001</v>
      </c>
      <c r="J37" s="21">
        <v>0.13769999999999999</v>
      </c>
      <c r="K37" s="22">
        <v>0.20799999999999999</v>
      </c>
      <c r="L37" s="22">
        <v>0.15529999999999999</v>
      </c>
      <c r="M37" s="22">
        <v>0.17449999999999999</v>
      </c>
      <c r="N37" s="22">
        <v>0.29970000000000002</v>
      </c>
      <c r="O37" s="22">
        <v>0.30109999999999998</v>
      </c>
      <c r="P37" s="22">
        <v>0.28999999999999998</v>
      </c>
    </row>
    <row r="38" spans="1:16" ht="15" customHeight="1" x14ac:dyDescent="0.2">
      <c r="A38" s="18" t="s">
        <v>330</v>
      </c>
      <c r="B38" s="19">
        <v>1216.25</v>
      </c>
      <c r="C38" s="20">
        <v>0.21790000000000001</v>
      </c>
      <c r="D38" s="20">
        <v>0.19159999999999999</v>
      </c>
      <c r="E38" s="20">
        <v>0.1822</v>
      </c>
      <c r="F38" s="20">
        <v>0.19689999999999999</v>
      </c>
      <c r="G38" s="20">
        <v>0.2107</v>
      </c>
      <c r="H38" s="20">
        <v>0.2107</v>
      </c>
      <c r="I38" s="20">
        <v>0.21060000000000001</v>
      </c>
      <c r="J38" s="21">
        <v>0.14410000000000001</v>
      </c>
      <c r="K38" s="22">
        <v>0.21790000000000001</v>
      </c>
      <c r="L38" s="22">
        <v>0.1671</v>
      </c>
      <c r="M38" s="22">
        <v>0.18579999999999999</v>
      </c>
      <c r="N38" s="22">
        <v>0.32229999999999998</v>
      </c>
      <c r="O38" s="22">
        <v>0.32600000000000001</v>
      </c>
      <c r="P38" s="22">
        <v>0.30399999999999999</v>
      </c>
    </row>
    <row r="39" spans="1:16" ht="15" customHeight="1" x14ac:dyDescent="0.2">
      <c r="A39" s="18" t="s">
        <v>331</v>
      </c>
      <c r="B39" s="19">
        <v>1352.7249999999999</v>
      </c>
      <c r="C39" s="20">
        <v>0.2273</v>
      </c>
      <c r="D39" s="20">
        <v>0.2001</v>
      </c>
      <c r="E39" s="20">
        <v>0.1948</v>
      </c>
      <c r="F39" s="20">
        <v>0.2026</v>
      </c>
      <c r="G39" s="20">
        <v>0.21859999999999999</v>
      </c>
      <c r="H39" s="20">
        <v>0.21859999999999999</v>
      </c>
      <c r="I39" s="20">
        <v>0.2185</v>
      </c>
      <c r="J39" s="21">
        <v>0.1469</v>
      </c>
      <c r="K39" s="22">
        <v>0.2273</v>
      </c>
      <c r="L39" s="22">
        <v>0.1769</v>
      </c>
      <c r="M39" s="22">
        <v>0.19670000000000001</v>
      </c>
      <c r="N39" s="22">
        <v>0.34310000000000002</v>
      </c>
      <c r="O39" s="22">
        <v>0.34910000000000002</v>
      </c>
      <c r="P39" s="22">
        <v>0.31690000000000002</v>
      </c>
    </row>
    <row r="40" spans="1:16" ht="15" customHeight="1" x14ac:dyDescent="0.2">
      <c r="A40" s="18" t="s">
        <v>332</v>
      </c>
      <c r="B40" s="19">
        <v>1482.85</v>
      </c>
      <c r="C40" s="20">
        <v>0.24349999999999999</v>
      </c>
      <c r="D40" s="20">
        <v>0.217</v>
      </c>
      <c r="E40" s="20">
        <v>0.2082</v>
      </c>
      <c r="F40" s="20">
        <v>0.22090000000000001</v>
      </c>
      <c r="G40" s="20">
        <v>0.23619999999999999</v>
      </c>
      <c r="H40" s="20">
        <v>0.23619999999999999</v>
      </c>
      <c r="I40" s="20">
        <v>0.2361</v>
      </c>
      <c r="J40" s="21">
        <v>0.16070000000000001</v>
      </c>
      <c r="K40" s="22">
        <v>0.24349999999999999</v>
      </c>
      <c r="L40" s="22">
        <v>0.18770000000000001</v>
      </c>
      <c r="M40" s="22">
        <v>0.20780000000000001</v>
      </c>
      <c r="N40" s="22">
        <v>0.36349999999999999</v>
      </c>
      <c r="O40" s="22">
        <v>0.36890000000000001</v>
      </c>
      <c r="P40" s="22">
        <v>0.34129999999999999</v>
      </c>
    </row>
    <row r="41" spans="1:16" ht="15" customHeight="1" x14ac:dyDescent="0.2">
      <c r="A41" s="18" t="s">
        <v>333</v>
      </c>
      <c r="B41" s="19">
        <v>1606.925</v>
      </c>
      <c r="C41" s="20">
        <v>0.26869999999999999</v>
      </c>
      <c r="D41" s="20">
        <v>0.23769999999999999</v>
      </c>
      <c r="E41" s="20">
        <v>0.22670000000000001</v>
      </c>
      <c r="F41" s="20">
        <v>0.2419</v>
      </c>
      <c r="G41" s="20">
        <v>0.2606</v>
      </c>
      <c r="H41" s="20">
        <v>0.2606</v>
      </c>
      <c r="I41" s="20">
        <v>0.26050000000000001</v>
      </c>
      <c r="J41" s="21">
        <v>0.17829999999999999</v>
      </c>
      <c r="K41" s="22">
        <v>0.26869999999999999</v>
      </c>
      <c r="L41" s="22">
        <v>0.20180000000000001</v>
      </c>
      <c r="M41" s="22">
        <v>0.2213</v>
      </c>
      <c r="N41" s="22">
        <v>0.39510000000000001</v>
      </c>
      <c r="O41" s="22">
        <v>0.39939999999999998</v>
      </c>
      <c r="P41" s="22">
        <v>0.37909999999999999</v>
      </c>
    </row>
    <row r="42" spans="1:16" ht="15" customHeight="1" x14ac:dyDescent="0.2">
      <c r="A42" s="18" t="s">
        <v>334</v>
      </c>
      <c r="B42" s="19">
        <v>1786.1</v>
      </c>
      <c r="C42" s="20">
        <v>0.28739999999999999</v>
      </c>
      <c r="D42" s="20">
        <v>0.25480000000000003</v>
      </c>
      <c r="E42" s="20">
        <v>0.24099999999999999</v>
      </c>
      <c r="F42" s="20">
        <v>0.25940000000000002</v>
      </c>
      <c r="G42" s="20">
        <v>0.27760000000000001</v>
      </c>
      <c r="H42" s="20">
        <v>0.27760000000000001</v>
      </c>
      <c r="I42" s="20">
        <v>0.27750000000000002</v>
      </c>
      <c r="J42" s="21">
        <v>0.1923</v>
      </c>
      <c r="K42" s="22">
        <v>0.28739999999999999</v>
      </c>
      <c r="L42" s="22">
        <v>0.21859999999999999</v>
      </c>
      <c r="M42" s="22">
        <v>0.24110000000000001</v>
      </c>
      <c r="N42" s="22">
        <v>0.41970000000000002</v>
      </c>
      <c r="O42" s="22">
        <v>0.42470000000000002</v>
      </c>
      <c r="P42" s="22">
        <v>0.40210000000000001</v>
      </c>
    </row>
    <row r="43" spans="1:16" ht="15" customHeight="1" x14ac:dyDescent="0.2">
      <c r="A43" s="18" t="s">
        <v>335</v>
      </c>
      <c r="B43" s="19">
        <v>471.65</v>
      </c>
      <c r="C43" s="20">
        <v>0.29599999999999999</v>
      </c>
      <c r="D43" s="20">
        <v>0.26090000000000002</v>
      </c>
      <c r="E43" s="20">
        <v>0.24560000000000001</v>
      </c>
      <c r="F43" s="20">
        <v>0.26590000000000003</v>
      </c>
      <c r="G43" s="20">
        <v>0.2863</v>
      </c>
      <c r="H43" s="20">
        <v>0.2863</v>
      </c>
      <c r="I43" s="20">
        <v>0.28620000000000001</v>
      </c>
      <c r="J43" s="21">
        <v>0.19950000000000001</v>
      </c>
      <c r="K43" s="22">
        <v>0.29599999999999999</v>
      </c>
      <c r="L43" s="22">
        <v>0.22520000000000001</v>
      </c>
      <c r="M43" s="22">
        <v>0.2462</v>
      </c>
      <c r="N43" s="22">
        <v>0.43309999999999998</v>
      </c>
      <c r="O43" s="22">
        <v>0.43980000000000002</v>
      </c>
      <c r="P43" s="22">
        <v>0.4128</v>
      </c>
    </row>
    <row r="44" spans="1:16" ht="15" customHeight="1" x14ac:dyDescent="0.2">
      <c r="A44" s="18" t="s">
        <v>336</v>
      </c>
      <c r="B44" s="19">
        <v>2024.325</v>
      </c>
      <c r="C44" s="20">
        <v>0.30819999999999997</v>
      </c>
      <c r="D44" s="20">
        <v>0.2732</v>
      </c>
      <c r="E44" s="20">
        <v>0.26</v>
      </c>
      <c r="F44" s="20">
        <v>0.27760000000000001</v>
      </c>
      <c r="G44" s="20">
        <v>0.2984</v>
      </c>
      <c r="H44" s="20">
        <v>0.29849999999999999</v>
      </c>
      <c r="I44" s="20">
        <v>0.29830000000000001</v>
      </c>
      <c r="J44" s="21">
        <v>0.20619999999999999</v>
      </c>
      <c r="K44" s="22">
        <v>0.30819999999999997</v>
      </c>
      <c r="L44" s="22">
        <v>0.23569999999999999</v>
      </c>
      <c r="M44" s="22">
        <v>0.25900000000000001</v>
      </c>
      <c r="N44" s="22">
        <v>0.45179999999999998</v>
      </c>
      <c r="O44" s="22">
        <v>0.45929999999999999</v>
      </c>
      <c r="P44" s="22">
        <v>0.4259</v>
      </c>
    </row>
    <row r="45" spans="1:16" ht="15" customHeight="1" x14ac:dyDescent="0.2">
      <c r="A45" s="18" t="s">
        <v>337</v>
      </c>
      <c r="B45" s="19">
        <v>2273.4499999999998</v>
      </c>
      <c r="C45" s="20">
        <v>0.32890000000000003</v>
      </c>
      <c r="D45" s="20">
        <v>0.28999999999999998</v>
      </c>
      <c r="E45" s="20">
        <v>0.2777</v>
      </c>
      <c r="F45" s="20">
        <v>0.29380000000000001</v>
      </c>
      <c r="G45" s="20">
        <v>0.31840000000000002</v>
      </c>
      <c r="H45" s="20">
        <v>0.31850000000000001</v>
      </c>
      <c r="I45" s="20">
        <v>0.31830000000000003</v>
      </c>
      <c r="J45" s="21">
        <v>0.21940000000000001</v>
      </c>
      <c r="K45" s="22">
        <v>0.32890000000000003</v>
      </c>
      <c r="L45" s="22">
        <v>0.25059999999999999</v>
      </c>
      <c r="M45" s="22">
        <v>0.27329999999999999</v>
      </c>
      <c r="N45" s="22">
        <v>0.47960000000000003</v>
      </c>
      <c r="O45" s="22">
        <v>0.48980000000000001</v>
      </c>
      <c r="P45" s="22">
        <v>0.4476</v>
      </c>
    </row>
    <row r="46" spans="1:16" ht="15" customHeight="1" x14ac:dyDescent="0.2">
      <c r="A46" s="18" t="s">
        <v>338</v>
      </c>
      <c r="B46" s="19">
        <v>2565.5749999999998</v>
      </c>
      <c r="C46" s="20">
        <v>0.35549999999999998</v>
      </c>
      <c r="D46" s="20">
        <v>0.3155</v>
      </c>
      <c r="E46" s="20">
        <v>0.30070000000000002</v>
      </c>
      <c r="F46" s="20">
        <v>0.32019999999999998</v>
      </c>
      <c r="G46" s="20">
        <v>0.3448</v>
      </c>
      <c r="H46" s="20">
        <v>0.34489999999999998</v>
      </c>
      <c r="I46" s="20">
        <v>0.34470000000000001</v>
      </c>
      <c r="J46" s="21">
        <v>0.23960000000000001</v>
      </c>
      <c r="K46" s="22">
        <v>0.35549999999999998</v>
      </c>
      <c r="L46" s="22">
        <v>0.26669999999999999</v>
      </c>
      <c r="M46" s="22">
        <v>0.29499999999999998</v>
      </c>
      <c r="N46" s="22">
        <v>0.51270000000000004</v>
      </c>
      <c r="O46" s="22">
        <v>0.52329999999999999</v>
      </c>
      <c r="P46" s="22">
        <v>0.47760000000000002</v>
      </c>
    </row>
    <row r="47" spans="1:16" ht="15" customHeight="1" x14ac:dyDescent="0.2">
      <c r="A47" s="18" t="s">
        <v>339</v>
      </c>
      <c r="B47" s="19">
        <v>2791.9</v>
      </c>
      <c r="C47" s="20">
        <v>0.38650000000000001</v>
      </c>
      <c r="D47" s="20">
        <v>0.34870000000000001</v>
      </c>
      <c r="E47" s="20">
        <v>0.33279999999999998</v>
      </c>
      <c r="F47" s="20">
        <v>0.35370000000000001</v>
      </c>
      <c r="G47" s="20">
        <v>0.38129999999999997</v>
      </c>
      <c r="H47" s="20">
        <v>0.38140000000000002</v>
      </c>
      <c r="I47" s="20">
        <v>0.38119999999999998</v>
      </c>
      <c r="J47" s="21">
        <v>0.26640000000000003</v>
      </c>
      <c r="K47" s="22">
        <v>0.38650000000000001</v>
      </c>
      <c r="L47" s="22">
        <v>0.28949999999999998</v>
      </c>
      <c r="M47" s="22">
        <v>0.31619999999999998</v>
      </c>
      <c r="N47" s="22">
        <v>0.5514</v>
      </c>
      <c r="O47" s="22">
        <v>0.5595</v>
      </c>
      <c r="P47" s="22">
        <v>0.52090000000000003</v>
      </c>
    </row>
    <row r="48" spans="1:16" ht="15" customHeight="1" x14ac:dyDescent="0.2">
      <c r="A48" s="18" t="s">
        <v>340</v>
      </c>
      <c r="B48" s="19">
        <v>3133.2249999999999</v>
      </c>
      <c r="C48" s="20">
        <v>0.4244</v>
      </c>
      <c r="D48" s="20">
        <v>0.3876</v>
      </c>
      <c r="E48" s="20">
        <v>0.36919999999999997</v>
      </c>
      <c r="F48" s="20">
        <v>0.39350000000000002</v>
      </c>
      <c r="G48" s="20">
        <v>0.41839999999999999</v>
      </c>
      <c r="H48" s="20">
        <v>0.41839999999999999</v>
      </c>
      <c r="I48" s="20">
        <v>0.41820000000000002</v>
      </c>
      <c r="J48" s="21">
        <v>0.2979</v>
      </c>
      <c r="K48" s="22">
        <v>0.4244</v>
      </c>
      <c r="L48" s="22">
        <v>0.31580000000000003</v>
      </c>
      <c r="M48" s="22">
        <v>0.34460000000000002</v>
      </c>
      <c r="N48" s="22">
        <v>0.60060000000000002</v>
      </c>
      <c r="O48" s="22">
        <v>0.60870000000000002</v>
      </c>
      <c r="P48" s="22">
        <v>0.56720000000000004</v>
      </c>
    </row>
    <row r="49" spans="1:16" ht="15" customHeight="1" x14ac:dyDescent="0.2">
      <c r="A49" s="18" t="s">
        <v>341</v>
      </c>
      <c r="B49" s="19">
        <v>3313.35</v>
      </c>
      <c r="C49" s="20">
        <v>0.45390000000000003</v>
      </c>
      <c r="D49" s="20">
        <v>0.41770000000000002</v>
      </c>
      <c r="E49" s="20">
        <v>0.4022</v>
      </c>
      <c r="F49" s="20">
        <v>0.42309999999999998</v>
      </c>
      <c r="G49" s="20">
        <v>0.44440000000000002</v>
      </c>
      <c r="H49" s="20">
        <v>0.44440000000000002</v>
      </c>
      <c r="I49" s="20">
        <v>0.44419999999999998</v>
      </c>
      <c r="J49" s="21">
        <v>0.32479999999999998</v>
      </c>
      <c r="K49" s="22">
        <v>0.45390000000000003</v>
      </c>
      <c r="L49" s="22">
        <v>0.33189999999999997</v>
      </c>
      <c r="M49" s="22">
        <v>0.36170000000000002</v>
      </c>
      <c r="N49" s="22">
        <v>0.64790000000000003</v>
      </c>
      <c r="O49" s="22">
        <v>0.65559999999999996</v>
      </c>
      <c r="P49" s="22">
        <v>0.60780000000000001</v>
      </c>
    </row>
    <row r="50" spans="1:16" ht="15" customHeight="1" x14ac:dyDescent="0.2">
      <c r="A50" s="18" t="s">
        <v>342</v>
      </c>
      <c r="B50" s="19">
        <v>3536</v>
      </c>
      <c r="C50" s="20">
        <v>0.47370000000000001</v>
      </c>
      <c r="D50" s="20">
        <v>0.43859999999999999</v>
      </c>
      <c r="E50" s="20">
        <v>0.42220000000000002</v>
      </c>
      <c r="F50" s="20">
        <v>0.44469999999999998</v>
      </c>
      <c r="G50" s="20">
        <v>0.4647</v>
      </c>
      <c r="H50" s="20">
        <v>0.4647</v>
      </c>
      <c r="I50" s="20">
        <v>0.46450000000000002</v>
      </c>
      <c r="J50" s="21">
        <v>0.34150000000000003</v>
      </c>
      <c r="K50" s="22">
        <v>0.47370000000000001</v>
      </c>
      <c r="L50" s="22">
        <v>0.34279999999999999</v>
      </c>
      <c r="M50" s="22">
        <v>0.37180000000000002</v>
      </c>
      <c r="N50" s="22">
        <v>0.68630000000000002</v>
      </c>
      <c r="O50" s="22">
        <v>0.69510000000000005</v>
      </c>
      <c r="P50" s="22">
        <v>0.62890000000000001</v>
      </c>
    </row>
    <row r="51" spans="1:16" ht="15" customHeight="1" x14ac:dyDescent="0.2">
      <c r="A51" s="18" t="s">
        <v>343</v>
      </c>
      <c r="B51" s="19">
        <v>3949.1750000000002</v>
      </c>
      <c r="C51" s="20">
        <v>0.49070000000000003</v>
      </c>
      <c r="D51" s="20">
        <v>0.46</v>
      </c>
      <c r="E51" s="20">
        <v>0.44400000000000001</v>
      </c>
      <c r="F51" s="20">
        <v>0.46610000000000001</v>
      </c>
      <c r="G51" s="20">
        <v>0.48259999999999997</v>
      </c>
      <c r="H51" s="20">
        <v>0.48259999999999997</v>
      </c>
      <c r="I51" s="20">
        <v>0.4824</v>
      </c>
      <c r="J51" s="21">
        <v>0.35959999999999998</v>
      </c>
      <c r="K51" s="22">
        <v>0.49070000000000003</v>
      </c>
      <c r="L51" s="22">
        <v>0.35210000000000002</v>
      </c>
      <c r="M51" s="22">
        <v>0.39350000000000002</v>
      </c>
      <c r="N51" s="22">
        <v>0.71409999999999996</v>
      </c>
      <c r="O51" s="22">
        <v>0.72529999999999994</v>
      </c>
      <c r="P51" s="22">
        <v>0.6462</v>
      </c>
    </row>
    <row r="52" spans="1:16" ht="15" customHeight="1" x14ac:dyDescent="0.2">
      <c r="A52" s="18" t="s">
        <v>344</v>
      </c>
      <c r="B52" s="19">
        <v>4265.125</v>
      </c>
      <c r="C52" s="20">
        <v>0.5071</v>
      </c>
      <c r="D52" s="20">
        <v>0.4768</v>
      </c>
      <c r="E52" s="20">
        <v>0.46129999999999999</v>
      </c>
      <c r="F52" s="20">
        <v>0.48270000000000002</v>
      </c>
      <c r="G52" s="20">
        <v>0.49940000000000001</v>
      </c>
      <c r="H52" s="20">
        <v>0.49940000000000001</v>
      </c>
      <c r="I52" s="20">
        <v>0.49909999999999999</v>
      </c>
      <c r="J52" s="21">
        <v>0.37480000000000002</v>
      </c>
      <c r="K52" s="22">
        <v>0.5071</v>
      </c>
      <c r="L52" s="22">
        <v>0.36709999999999998</v>
      </c>
      <c r="M52" s="22">
        <v>0.41049999999999998</v>
      </c>
      <c r="N52" s="22">
        <v>0.72070000000000001</v>
      </c>
      <c r="O52" s="22">
        <v>0.73099999999999998</v>
      </c>
      <c r="P52" s="22">
        <v>0.66059999999999997</v>
      </c>
    </row>
    <row r="53" spans="1:16" ht="15" customHeight="1" x14ac:dyDescent="0.2">
      <c r="A53" s="18" t="s">
        <v>345</v>
      </c>
      <c r="B53" s="19">
        <v>4526.25</v>
      </c>
      <c r="C53" s="20">
        <v>0.51849999999999996</v>
      </c>
      <c r="D53" s="20">
        <v>0.48670000000000002</v>
      </c>
      <c r="E53" s="20">
        <v>0.47170000000000001</v>
      </c>
      <c r="F53" s="20">
        <v>0.49270000000000003</v>
      </c>
      <c r="G53" s="20">
        <v>0.51249999999999996</v>
      </c>
      <c r="H53" s="20">
        <v>0.51249999999999996</v>
      </c>
      <c r="I53" s="20">
        <v>0.51219999999999999</v>
      </c>
      <c r="J53" s="21">
        <v>0.38840000000000002</v>
      </c>
      <c r="K53" s="22">
        <v>0.51849999999999996</v>
      </c>
      <c r="L53" s="22">
        <v>0.37159999999999999</v>
      </c>
      <c r="M53" s="22">
        <v>0.41</v>
      </c>
      <c r="N53" s="22">
        <v>0.71579999999999999</v>
      </c>
      <c r="O53" s="22">
        <v>0.72270000000000001</v>
      </c>
      <c r="P53" s="22">
        <v>0.66859999999999997</v>
      </c>
    </row>
    <row r="54" spans="1:16" ht="15" customHeight="1" x14ac:dyDescent="0.2">
      <c r="A54" s="18" t="s">
        <v>346</v>
      </c>
      <c r="B54" s="19">
        <v>4767.6499999999996</v>
      </c>
      <c r="C54" s="20">
        <v>0.53010000000000002</v>
      </c>
      <c r="D54" s="20">
        <v>0.50119999999999998</v>
      </c>
      <c r="E54" s="20">
        <v>0.4788</v>
      </c>
      <c r="F54" s="20">
        <v>0.51060000000000005</v>
      </c>
      <c r="G54" s="20">
        <v>0.52559999999999996</v>
      </c>
      <c r="H54" s="20">
        <v>0.52569999999999995</v>
      </c>
      <c r="I54" s="20">
        <v>0.52539999999999998</v>
      </c>
      <c r="J54" s="21">
        <v>0.40839999999999999</v>
      </c>
      <c r="K54" s="22">
        <v>0.53010000000000002</v>
      </c>
      <c r="L54" s="22">
        <v>0.373</v>
      </c>
      <c r="M54" s="22">
        <v>0.41920000000000002</v>
      </c>
      <c r="N54" s="22">
        <v>0.70879999999999999</v>
      </c>
      <c r="O54" s="22">
        <v>0.71350000000000002</v>
      </c>
      <c r="P54" s="22">
        <v>0.67769999999999997</v>
      </c>
    </row>
    <row r="55" spans="1:16" ht="15" customHeight="1" x14ac:dyDescent="0.2">
      <c r="A55" s="18" t="s">
        <v>347</v>
      </c>
      <c r="B55" s="19">
        <v>5138.55</v>
      </c>
      <c r="C55" s="20">
        <v>0.54730000000000001</v>
      </c>
      <c r="D55" s="20">
        <v>0.51829999999999998</v>
      </c>
      <c r="E55" s="20">
        <v>0.49059999999999998</v>
      </c>
      <c r="F55" s="20">
        <v>0.52959999999999996</v>
      </c>
      <c r="G55" s="20">
        <v>0.54559999999999997</v>
      </c>
      <c r="H55" s="20">
        <v>0.54569999999999996</v>
      </c>
      <c r="I55" s="20">
        <v>0.54510000000000003</v>
      </c>
      <c r="J55" s="21">
        <v>0.42399999999999999</v>
      </c>
      <c r="K55" s="22">
        <v>0.54730000000000001</v>
      </c>
      <c r="L55" s="22">
        <v>0.38479999999999998</v>
      </c>
      <c r="M55" s="22">
        <v>0.43580000000000002</v>
      </c>
      <c r="N55" s="22">
        <v>0.70989999999999998</v>
      </c>
      <c r="O55" s="22">
        <v>0.71220000000000006</v>
      </c>
      <c r="P55" s="22">
        <v>0.69710000000000005</v>
      </c>
    </row>
    <row r="56" spans="1:16" ht="15" customHeight="1" x14ac:dyDescent="0.2">
      <c r="A56" s="18" t="s">
        <v>348</v>
      </c>
      <c r="B56" s="19">
        <v>5554.6750000000002</v>
      </c>
      <c r="C56" s="20">
        <v>0.56940000000000002</v>
      </c>
      <c r="D56" s="20">
        <v>0.53859999999999997</v>
      </c>
      <c r="E56" s="20">
        <v>0.50960000000000005</v>
      </c>
      <c r="F56" s="20">
        <v>0.54990000000000006</v>
      </c>
      <c r="G56" s="20">
        <v>0.56979999999999997</v>
      </c>
      <c r="H56" s="20">
        <v>0.56999999999999995</v>
      </c>
      <c r="I56" s="20">
        <v>0.56879999999999997</v>
      </c>
      <c r="J56" s="21">
        <v>0.44169999999999998</v>
      </c>
      <c r="K56" s="22">
        <v>0.56940000000000002</v>
      </c>
      <c r="L56" s="22">
        <v>0.39460000000000001</v>
      </c>
      <c r="M56" s="22">
        <v>0.44280000000000003</v>
      </c>
      <c r="N56" s="22">
        <v>0.72609999999999997</v>
      </c>
      <c r="O56" s="22">
        <v>0.72709999999999997</v>
      </c>
      <c r="P56" s="22">
        <v>0.72019999999999995</v>
      </c>
    </row>
    <row r="57" spans="1:16" ht="15" customHeight="1" x14ac:dyDescent="0.2">
      <c r="A57" s="18" t="s">
        <v>349</v>
      </c>
      <c r="B57" s="19">
        <v>5898.75</v>
      </c>
      <c r="C57" s="20">
        <v>0.59019999999999995</v>
      </c>
      <c r="D57" s="20">
        <v>0.55320000000000003</v>
      </c>
      <c r="E57" s="20">
        <v>0.5272</v>
      </c>
      <c r="F57" s="20">
        <v>0.56189999999999996</v>
      </c>
      <c r="G57" s="20">
        <v>0.59299999999999997</v>
      </c>
      <c r="H57" s="20">
        <v>0.59319999999999995</v>
      </c>
      <c r="I57" s="20">
        <v>0.59160000000000001</v>
      </c>
      <c r="J57" s="21">
        <v>0.46310000000000001</v>
      </c>
      <c r="K57" s="22">
        <v>0.59019999999999995</v>
      </c>
      <c r="L57" s="22">
        <v>0.40539999999999998</v>
      </c>
      <c r="M57" s="22">
        <v>0.44350000000000001</v>
      </c>
      <c r="N57" s="22">
        <v>0.73909999999999998</v>
      </c>
      <c r="O57" s="22">
        <v>0.73919999999999997</v>
      </c>
      <c r="P57" s="22">
        <v>0.73860000000000003</v>
      </c>
    </row>
    <row r="58" spans="1:16" ht="15" customHeight="1" x14ac:dyDescent="0.2">
      <c r="A58" s="18" t="s">
        <v>350</v>
      </c>
      <c r="B58" s="19">
        <v>6093.1750000000002</v>
      </c>
      <c r="C58" s="20">
        <v>0.61129999999999995</v>
      </c>
      <c r="D58" s="20">
        <v>0.57769999999999999</v>
      </c>
      <c r="E58" s="20">
        <v>0.55359999999999998</v>
      </c>
      <c r="F58" s="20">
        <v>0.58430000000000004</v>
      </c>
      <c r="G58" s="20">
        <v>0.61660000000000004</v>
      </c>
      <c r="H58" s="20">
        <v>0.61680000000000001</v>
      </c>
      <c r="I58" s="20">
        <v>0.61499999999999999</v>
      </c>
      <c r="J58" s="21">
        <v>0.48249999999999998</v>
      </c>
      <c r="K58" s="22">
        <v>0.61129999999999995</v>
      </c>
      <c r="L58" s="22">
        <v>0.42970000000000003</v>
      </c>
      <c r="M58" s="22">
        <v>0.46639999999999998</v>
      </c>
      <c r="N58" s="22">
        <v>0.75639999999999996</v>
      </c>
      <c r="O58" s="22">
        <v>0.75619999999999998</v>
      </c>
      <c r="P58" s="22">
        <v>0.75749999999999995</v>
      </c>
    </row>
    <row r="59" spans="1:16" ht="15" customHeight="1" x14ac:dyDescent="0.2">
      <c r="A59" s="18" t="s">
        <v>351</v>
      </c>
      <c r="B59" s="19">
        <v>6416.25</v>
      </c>
      <c r="C59" s="20">
        <v>0.62660000000000005</v>
      </c>
      <c r="D59" s="20">
        <v>0.60240000000000005</v>
      </c>
      <c r="E59" s="20">
        <v>0.56200000000000006</v>
      </c>
      <c r="F59" s="20">
        <v>0.61460000000000004</v>
      </c>
      <c r="G59" s="20">
        <v>0.63270000000000004</v>
      </c>
      <c r="H59" s="20">
        <v>0.6331</v>
      </c>
      <c r="I59" s="20">
        <v>0.63080000000000003</v>
      </c>
      <c r="J59" s="21">
        <v>0.49659999999999999</v>
      </c>
      <c r="K59" s="22">
        <v>0.62660000000000005</v>
      </c>
      <c r="L59" s="22">
        <v>0.44500000000000001</v>
      </c>
      <c r="M59" s="22">
        <v>0.50970000000000004</v>
      </c>
      <c r="N59" s="22">
        <v>0.76770000000000005</v>
      </c>
      <c r="O59" s="22">
        <v>0.76870000000000005</v>
      </c>
      <c r="P59" s="22">
        <v>0.76380000000000003</v>
      </c>
    </row>
    <row r="60" spans="1:16" ht="15" customHeight="1" x14ac:dyDescent="0.2">
      <c r="A60" s="18" t="s">
        <v>352</v>
      </c>
      <c r="B60" s="19">
        <v>6775.3249999999998</v>
      </c>
      <c r="C60" s="20">
        <v>0.64129999999999998</v>
      </c>
      <c r="D60" s="20">
        <v>0.62050000000000005</v>
      </c>
      <c r="E60" s="20">
        <v>0.56730000000000003</v>
      </c>
      <c r="F60" s="20">
        <v>0.6361</v>
      </c>
      <c r="G60" s="20">
        <v>0.64890000000000003</v>
      </c>
      <c r="H60" s="20">
        <v>0.64939999999999998</v>
      </c>
      <c r="I60" s="20">
        <v>0.64649999999999996</v>
      </c>
      <c r="J60" s="21">
        <v>0.51219999999999999</v>
      </c>
      <c r="K60" s="22">
        <v>0.64129999999999998</v>
      </c>
      <c r="L60" s="22">
        <v>0.46820000000000001</v>
      </c>
      <c r="M60" s="22">
        <v>0.55079999999999996</v>
      </c>
      <c r="N60" s="22">
        <v>0.78620000000000001</v>
      </c>
      <c r="O60" s="22">
        <v>0.78869999999999996</v>
      </c>
      <c r="P60" s="22">
        <v>0.7762</v>
      </c>
    </row>
    <row r="61" spans="1:16" ht="15" customHeight="1" x14ac:dyDescent="0.2">
      <c r="A61" s="18" t="s">
        <v>353</v>
      </c>
      <c r="B61" s="19">
        <v>7176.85</v>
      </c>
      <c r="C61" s="20">
        <v>0.65529999999999999</v>
      </c>
      <c r="D61" s="20">
        <v>0.63119999999999998</v>
      </c>
      <c r="E61" s="20">
        <v>0.57240000000000002</v>
      </c>
      <c r="F61" s="20">
        <v>0.64700000000000002</v>
      </c>
      <c r="G61" s="20">
        <v>0.66259999999999997</v>
      </c>
      <c r="H61" s="20">
        <v>0.6633</v>
      </c>
      <c r="I61" s="20">
        <v>0.65939999999999999</v>
      </c>
      <c r="J61" s="21">
        <v>0.52549999999999997</v>
      </c>
      <c r="K61" s="22">
        <v>0.65529999999999999</v>
      </c>
      <c r="L61" s="22">
        <v>0.48930000000000001</v>
      </c>
      <c r="M61" s="22">
        <v>0.55549999999999999</v>
      </c>
      <c r="N61" s="22">
        <v>0.80489999999999995</v>
      </c>
      <c r="O61" s="22">
        <v>0.80889999999999995</v>
      </c>
      <c r="P61" s="22">
        <v>0.78969999999999996</v>
      </c>
    </row>
    <row r="62" spans="1:16" ht="15" customHeight="1" x14ac:dyDescent="0.2">
      <c r="A62" s="18" t="s">
        <v>354</v>
      </c>
      <c r="B62" s="19">
        <v>7560.4250000000002</v>
      </c>
      <c r="C62" s="20">
        <v>0.66920000000000002</v>
      </c>
      <c r="D62" s="20">
        <v>0.6502</v>
      </c>
      <c r="E62" s="20">
        <v>0.58330000000000004</v>
      </c>
      <c r="F62" s="20">
        <v>0.66690000000000005</v>
      </c>
      <c r="G62" s="20">
        <v>0.67679999999999996</v>
      </c>
      <c r="H62" s="20">
        <v>0.67749999999999999</v>
      </c>
      <c r="I62" s="20">
        <v>0.67359999999999998</v>
      </c>
      <c r="J62" s="21">
        <v>0.54369999999999996</v>
      </c>
      <c r="K62" s="22">
        <v>0.66920000000000002</v>
      </c>
      <c r="L62" s="22">
        <v>0.50480000000000003</v>
      </c>
      <c r="M62" s="22">
        <v>0.59489999999999998</v>
      </c>
      <c r="N62" s="22">
        <v>0.82489999999999997</v>
      </c>
      <c r="O62" s="22">
        <v>0.82930000000000004</v>
      </c>
      <c r="P62" s="22">
        <v>0.81179999999999997</v>
      </c>
    </row>
    <row r="63" spans="1:16" ht="15" customHeight="1" x14ac:dyDescent="0.2">
      <c r="A63" s="18" t="s">
        <v>355</v>
      </c>
      <c r="B63" s="19">
        <v>7951.3249999999998</v>
      </c>
      <c r="C63" s="20">
        <v>0.68179999999999996</v>
      </c>
      <c r="D63" s="20">
        <v>0.66359999999999997</v>
      </c>
      <c r="E63" s="20">
        <v>0.59570000000000001</v>
      </c>
      <c r="F63" s="20">
        <v>0.6794</v>
      </c>
      <c r="G63" s="20">
        <v>0.69059999999999999</v>
      </c>
      <c r="H63" s="20">
        <v>0.69120000000000004</v>
      </c>
      <c r="I63" s="20">
        <v>0.68720000000000003</v>
      </c>
      <c r="J63" s="21">
        <v>0.56010000000000004</v>
      </c>
      <c r="K63" s="22">
        <v>0.68179999999999996</v>
      </c>
      <c r="L63" s="22">
        <v>0.52880000000000005</v>
      </c>
      <c r="M63" s="22">
        <v>0.6129</v>
      </c>
      <c r="N63" s="22">
        <v>0.83499999999999996</v>
      </c>
      <c r="O63" s="22">
        <v>0.84150000000000003</v>
      </c>
      <c r="P63" s="22">
        <v>0.81840000000000002</v>
      </c>
    </row>
    <row r="64" spans="1:16" ht="15" customHeight="1" x14ac:dyDescent="0.2">
      <c r="A64" s="18" t="s">
        <v>356</v>
      </c>
      <c r="B64" s="19">
        <v>8451.0249999999996</v>
      </c>
      <c r="C64" s="20">
        <v>0.69389999999999996</v>
      </c>
      <c r="D64" s="20">
        <v>0.67769999999999997</v>
      </c>
      <c r="E64" s="20">
        <v>0.6048</v>
      </c>
      <c r="F64" s="20">
        <v>0.69469999999999998</v>
      </c>
      <c r="G64" s="20">
        <v>0.70450000000000002</v>
      </c>
      <c r="H64" s="20">
        <v>0.70509999999999995</v>
      </c>
      <c r="I64" s="20">
        <v>0.70109999999999995</v>
      </c>
      <c r="J64" s="21">
        <v>0.57089999999999996</v>
      </c>
      <c r="K64" s="22">
        <v>0.69389999999999996</v>
      </c>
      <c r="L64" s="22">
        <v>0.54179999999999995</v>
      </c>
      <c r="M64" s="22">
        <v>0.62680000000000002</v>
      </c>
      <c r="N64" s="22">
        <v>0.83340000000000003</v>
      </c>
      <c r="O64" s="22">
        <v>0.83840000000000003</v>
      </c>
      <c r="P64" s="22">
        <v>0.82030000000000003</v>
      </c>
    </row>
    <row r="65" spans="1:16" ht="15" customHeight="1" x14ac:dyDescent="0.2">
      <c r="A65" s="18" t="s">
        <v>357</v>
      </c>
      <c r="B65" s="19">
        <v>8930.7999999999993</v>
      </c>
      <c r="C65" s="20">
        <v>0.7026</v>
      </c>
      <c r="D65" s="20">
        <v>0.68279999999999996</v>
      </c>
      <c r="E65" s="20">
        <v>0.61639999999999995</v>
      </c>
      <c r="F65" s="20">
        <v>0.69740000000000002</v>
      </c>
      <c r="G65" s="20">
        <v>0.71109999999999995</v>
      </c>
      <c r="H65" s="20">
        <v>0.71160000000000001</v>
      </c>
      <c r="I65" s="20">
        <v>0.7087</v>
      </c>
      <c r="J65" s="21">
        <v>0.57769999999999999</v>
      </c>
      <c r="K65" s="22">
        <v>0.7026</v>
      </c>
      <c r="L65" s="22">
        <v>0.55300000000000005</v>
      </c>
      <c r="M65" s="22">
        <v>0.61080000000000001</v>
      </c>
      <c r="N65" s="22">
        <v>0.83460000000000001</v>
      </c>
      <c r="O65" s="22">
        <v>0.83840000000000003</v>
      </c>
      <c r="P65" s="22">
        <v>0.8216</v>
      </c>
    </row>
    <row r="66" spans="1:16" ht="15" customHeight="1" x14ac:dyDescent="0.2">
      <c r="A66" s="18" t="s">
        <v>358</v>
      </c>
      <c r="B66" s="19">
        <v>9479.625</v>
      </c>
      <c r="C66" s="20">
        <v>0.71130000000000004</v>
      </c>
      <c r="D66" s="20">
        <v>0.69079999999999997</v>
      </c>
      <c r="E66" s="20">
        <v>0.62860000000000005</v>
      </c>
      <c r="F66" s="20">
        <v>0.70430000000000004</v>
      </c>
      <c r="G66" s="20">
        <v>0.71940000000000004</v>
      </c>
      <c r="H66" s="20">
        <v>0.7198</v>
      </c>
      <c r="I66" s="20">
        <v>0.71730000000000005</v>
      </c>
      <c r="J66" s="21">
        <v>0.59150000000000003</v>
      </c>
      <c r="K66" s="22">
        <v>0.71130000000000004</v>
      </c>
      <c r="L66" s="22">
        <v>0.56999999999999995</v>
      </c>
      <c r="M66" s="22">
        <v>0.629</v>
      </c>
      <c r="N66" s="22">
        <v>0.84240000000000004</v>
      </c>
      <c r="O66" s="22">
        <v>0.84850000000000003</v>
      </c>
      <c r="P66" s="22">
        <v>0.82709999999999995</v>
      </c>
    </row>
    <row r="67" spans="1:16" ht="15" customHeight="1" x14ac:dyDescent="0.2">
      <c r="A67" s="18" t="s">
        <v>359</v>
      </c>
      <c r="B67" s="19">
        <v>10117.075000000001</v>
      </c>
      <c r="C67" s="20">
        <v>0.72609999999999997</v>
      </c>
      <c r="D67" s="20">
        <v>0.70850000000000002</v>
      </c>
      <c r="E67" s="20">
        <v>0.65090000000000003</v>
      </c>
      <c r="F67" s="20">
        <v>0.72109999999999996</v>
      </c>
      <c r="G67" s="20">
        <v>0.73650000000000004</v>
      </c>
      <c r="H67" s="20">
        <v>0.73699999999999999</v>
      </c>
      <c r="I67" s="20">
        <v>0.73409999999999997</v>
      </c>
      <c r="J67" s="21">
        <v>0.61399999999999999</v>
      </c>
      <c r="K67" s="22">
        <v>0.72609999999999997</v>
      </c>
      <c r="L67" s="22">
        <v>0.59960000000000002</v>
      </c>
      <c r="M67" s="22">
        <v>0.65300000000000002</v>
      </c>
      <c r="N67" s="22">
        <v>0.85399999999999998</v>
      </c>
      <c r="O67" s="22">
        <v>0.85899999999999999</v>
      </c>
      <c r="P67" s="22">
        <v>0.84309999999999996</v>
      </c>
    </row>
    <row r="68" spans="1:16" ht="15" customHeight="1" x14ac:dyDescent="0.2">
      <c r="A68" s="18" t="s">
        <v>360</v>
      </c>
      <c r="B68" s="19">
        <v>10525.725</v>
      </c>
      <c r="C68" s="20">
        <v>0.74370000000000003</v>
      </c>
      <c r="D68" s="20">
        <v>0.72770000000000001</v>
      </c>
      <c r="E68" s="20">
        <v>0.67320000000000002</v>
      </c>
      <c r="F68" s="20">
        <v>0.73939999999999995</v>
      </c>
      <c r="G68" s="20">
        <v>0.75349999999999995</v>
      </c>
      <c r="H68" s="20">
        <v>0.754</v>
      </c>
      <c r="I68" s="20">
        <v>0.75129999999999997</v>
      </c>
      <c r="J68" s="21">
        <v>0.63380000000000003</v>
      </c>
      <c r="K68" s="22">
        <v>0.74370000000000003</v>
      </c>
      <c r="L68" s="22">
        <v>0.6129</v>
      </c>
      <c r="M68" s="22">
        <v>0.67490000000000006</v>
      </c>
      <c r="N68" s="22">
        <v>0.85799999999999998</v>
      </c>
      <c r="O68" s="22">
        <v>0.86070000000000002</v>
      </c>
      <c r="P68" s="22">
        <v>0.85209999999999997</v>
      </c>
    </row>
    <row r="69" spans="1:16" ht="15" customHeight="1" x14ac:dyDescent="0.2">
      <c r="A69" s="18" t="s">
        <v>361</v>
      </c>
      <c r="B69" s="19">
        <v>10828.875</v>
      </c>
      <c r="C69" s="20">
        <v>0.75539999999999996</v>
      </c>
      <c r="D69" s="20">
        <v>0.73929999999999996</v>
      </c>
      <c r="E69" s="20">
        <v>0.69530000000000003</v>
      </c>
      <c r="F69" s="20">
        <v>0.74919999999999998</v>
      </c>
      <c r="G69" s="20">
        <v>0.76219999999999999</v>
      </c>
      <c r="H69" s="20">
        <v>0.76270000000000004</v>
      </c>
      <c r="I69" s="20">
        <v>0.76019999999999999</v>
      </c>
      <c r="J69" s="21">
        <v>0.64659999999999995</v>
      </c>
      <c r="K69" s="22">
        <v>0.75539999999999996</v>
      </c>
      <c r="L69" s="22">
        <v>0.64749999999999996</v>
      </c>
      <c r="M69" s="22">
        <v>0.69889999999999997</v>
      </c>
      <c r="N69" s="22">
        <v>0.85370000000000001</v>
      </c>
      <c r="O69" s="22">
        <v>0.85470000000000002</v>
      </c>
      <c r="P69" s="22">
        <v>0.85140000000000005</v>
      </c>
    </row>
    <row r="70" spans="1:16" ht="15" customHeight="1" x14ac:dyDescent="0.2">
      <c r="A70" s="18" t="s">
        <v>362</v>
      </c>
      <c r="B70" s="19">
        <v>11278.75</v>
      </c>
      <c r="C70" s="20">
        <v>0.76990000000000003</v>
      </c>
      <c r="D70" s="20">
        <v>0.76129999999999998</v>
      </c>
      <c r="E70" s="20">
        <v>0.74019999999999997</v>
      </c>
      <c r="F70" s="20">
        <v>0.76629999999999998</v>
      </c>
      <c r="G70" s="20">
        <v>0.7782</v>
      </c>
      <c r="H70" s="20">
        <v>0.77859999999999996</v>
      </c>
      <c r="I70" s="20">
        <v>0.77610000000000001</v>
      </c>
      <c r="J70" s="21">
        <v>0.66479999999999995</v>
      </c>
      <c r="K70" s="22">
        <v>0.76990000000000003</v>
      </c>
      <c r="L70" s="22">
        <v>0.68259999999999998</v>
      </c>
      <c r="M70" s="22">
        <v>0.7298</v>
      </c>
      <c r="N70" s="22">
        <v>0.86070000000000002</v>
      </c>
      <c r="O70" s="22">
        <v>0.8629</v>
      </c>
      <c r="P70" s="22">
        <v>0.85529999999999995</v>
      </c>
    </row>
    <row r="71" spans="1:16" ht="15" customHeight="1" x14ac:dyDescent="0.2">
      <c r="A71" s="18" t="s">
        <v>363</v>
      </c>
      <c r="B71" s="19">
        <v>12028.424999999999</v>
      </c>
      <c r="C71" s="20">
        <v>0.78869999999999996</v>
      </c>
      <c r="D71" s="20">
        <v>0.78139999999999998</v>
      </c>
      <c r="E71" s="20">
        <v>0.7681</v>
      </c>
      <c r="F71" s="20">
        <v>0.78480000000000005</v>
      </c>
      <c r="G71" s="20">
        <v>0.79590000000000005</v>
      </c>
      <c r="H71" s="20">
        <v>0.79630000000000001</v>
      </c>
      <c r="I71" s="20">
        <v>0.79420000000000002</v>
      </c>
      <c r="J71" s="21">
        <v>0.68959999999999999</v>
      </c>
      <c r="K71" s="22">
        <v>0.78869999999999996</v>
      </c>
      <c r="L71" s="22">
        <v>0.71550000000000002</v>
      </c>
      <c r="M71" s="22">
        <v>0.75319999999999998</v>
      </c>
      <c r="N71" s="22">
        <v>0.87270000000000003</v>
      </c>
      <c r="O71" s="22">
        <v>0.87470000000000003</v>
      </c>
      <c r="P71" s="22">
        <v>0.86660000000000004</v>
      </c>
    </row>
    <row r="72" spans="1:16" ht="15" customHeight="1" x14ac:dyDescent="0.2">
      <c r="A72" s="18" t="s">
        <v>364</v>
      </c>
      <c r="B72" s="19">
        <v>12839.95</v>
      </c>
      <c r="C72" s="20">
        <v>0.81269999999999998</v>
      </c>
      <c r="D72" s="20">
        <v>0.80810000000000004</v>
      </c>
      <c r="E72" s="20">
        <v>0.80469999999999997</v>
      </c>
      <c r="F72" s="20">
        <v>0.80889999999999995</v>
      </c>
      <c r="G72" s="20">
        <v>0.81830000000000003</v>
      </c>
      <c r="H72" s="20">
        <v>0.81859999999999999</v>
      </c>
      <c r="I72" s="20">
        <v>0.81699999999999995</v>
      </c>
      <c r="J72" s="21">
        <v>0.7298</v>
      </c>
      <c r="K72" s="22">
        <v>0.81269999999999998</v>
      </c>
      <c r="L72" s="22">
        <v>0.74890000000000001</v>
      </c>
      <c r="M72" s="22">
        <v>0.7792</v>
      </c>
      <c r="N72" s="22">
        <v>0.88919999999999999</v>
      </c>
      <c r="O72" s="22">
        <v>0.89090000000000003</v>
      </c>
      <c r="P72" s="22">
        <v>0.88360000000000005</v>
      </c>
    </row>
    <row r="73" spans="1:16" ht="15" customHeight="1" x14ac:dyDescent="0.2">
      <c r="A73" s="18" t="s">
        <v>365</v>
      </c>
      <c r="B73" s="19">
        <v>13636.75</v>
      </c>
      <c r="C73" s="20">
        <v>0.83909999999999996</v>
      </c>
      <c r="D73" s="20">
        <v>0.83640000000000003</v>
      </c>
      <c r="E73" s="20">
        <v>0.83950000000000002</v>
      </c>
      <c r="F73" s="20">
        <v>0.8357</v>
      </c>
      <c r="G73" s="20">
        <v>0.84379999999999999</v>
      </c>
      <c r="H73" s="20">
        <v>0.84409999999999996</v>
      </c>
      <c r="I73" s="20">
        <v>0.84279999999999999</v>
      </c>
      <c r="J73" s="21">
        <v>0.76749999999999996</v>
      </c>
      <c r="K73" s="22">
        <v>0.83909999999999996</v>
      </c>
      <c r="L73" s="22">
        <v>0.77649999999999997</v>
      </c>
      <c r="M73" s="22">
        <v>0.80469999999999997</v>
      </c>
      <c r="N73" s="22">
        <v>0.90369999999999995</v>
      </c>
      <c r="O73" s="22">
        <v>0.90610000000000002</v>
      </c>
      <c r="P73" s="22">
        <v>0.89590000000000003</v>
      </c>
    </row>
    <row r="74" spans="1:16" ht="15" customHeight="1" x14ac:dyDescent="0.2">
      <c r="A74" s="18" t="s">
        <v>366</v>
      </c>
      <c r="B74" s="19">
        <v>14305.375</v>
      </c>
      <c r="C74" s="20">
        <v>0.86219999999999997</v>
      </c>
      <c r="D74" s="20">
        <v>0.86070000000000002</v>
      </c>
      <c r="E74" s="20">
        <v>0.86739999999999995</v>
      </c>
      <c r="F74" s="20">
        <v>0.85899999999999999</v>
      </c>
      <c r="G74" s="20">
        <v>0.86260000000000003</v>
      </c>
      <c r="H74" s="20">
        <v>0.86270000000000002</v>
      </c>
      <c r="I74" s="20">
        <v>0.86199999999999999</v>
      </c>
      <c r="J74" s="21">
        <v>0.8095</v>
      </c>
      <c r="K74" s="22">
        <v>0.86219999999999997</v>
      </c>
      <c r="L74" s="22">
        <v>0.80459999999999998</v>
      </c>
      <c r="M74" s="22">
        <v>0.8377</v>
      </c>
      <c r="N74" s="22">
        <v>0.91649999999999998</v>
      </c>
      <c r="O74" s="22">
        <v>0.91949999999999998</v>
      </c>
      <c r="P74" s="22">
        <v>0.90620000000000001</v>
      </c>
    </row>
    <row r="75" spans="1:16" ht="15" customHeight="1" x14ac:dyDescent="0.2">
      <c r="A75" s="18" t="s">
        <v>367</v>
      </c>
      <c r="B75" s="19">
        <v>14796.575000000001</v>
      </c>
      <c r="C75" s="20">
        <v>0.88009999999999999</v>
      </c>
      <c r="D75" s="20">
        <v>0.89049999999999996</v>
      </c>
      <c r="E75" s="20">
        <v>0.9012</v>
      </c>
      <c r="F75" s="20">
        <v>0.88770000000000004</v>
      </c>
      <c r="G75" s="20">
        <v>0.89280000000000004</v>
      </c>
      <c r="H75" s="20">
        <v>0.89280000000000004</v>
      </c>
      <c r="I75" s="20">
        <v>0.89239999999999997</v>
      </c>
      <c r="J75" s="21">
        <v>0.84960000000000002</v>
      </c>
      <c r="K75" s="22">
        <v>0.88009999999999999</v>
      </c>
      <c r="L75" s="22">
        <v>0.83050000000000002</v>
      </c>
      <c r="M75" s="22">
        <v>0.85709999999999997</v>
      </c>
      <c r="N75" s="22">
        <v>0.93330000000000002</v>
      </c>
      <c r="O75" s="22">
        <v>0.93610000000000004</v>
      </c>
      <c r="P75" s="22">
        <v>0.92349999999999999</v>
      </c>
    </row>
    <row r="76" spans="1:16" ht="15" customHeight="1" x14ac:dyDescent="0.2">
      <c r="A76" s="18" t="s">
        <v>368</v>
      </c>
      <c r="B76" s="19">
        <v>14467.3</v>
      </c>
      <c r="C76" s="20">
        <v>0.8891</v>
      </c>
      <c r="D76" s="20">
        <v>0.88719999999999999</v>
      </c>
      <c r="E76" s="20">
        <v>0.89939999999999998</v>
      </c>
      <c r="F76" s="20">
        <v>0.88449999999999995</v>
      </c>
      <c r="G76" s="20">
        <v>0.89039999999999997</v>
      </c>
      <c r="H76" s="20">
        <v>0.89049999999999996</v>
      </c>
      <c r="I76" s="20">
        <v>0.89029999999999998</v>
      </c>
      <c r="J76" s="21">
        <v>0.86160000000000003</v>
      </c>
      <c r="K76" s="22">
        <v>0.8891</v>
      </c>
      <c r="L76" s="22">
        <v>0.84599999999999997</v>
      </c>
      <c r="M76" s="22">
        <v>0.8579</v>
      </c>
      <c r="N76" s="22">
        <v>0.94030000000000002</v>
      </c>
      <c r="O76" s="22">
        <v>0.94440000000000002</v>
      </c>
      <c r="P76" s="22">
        <v>0.92820000000000003</v>
      </c>
    </row>
    <row r="77" spans="1:16" ht="15" customHeight="1" x14ac:dyDescent="0.2">
      <c r="A77" s="18" t="s">
        <v>369</v>
      </c>
      <c r="B77" s="19">
        <v>14884.4</v>
      </c>
      <c r="C77" s="20">
        <v>0.89680000000000004</v>
      </c>
      <c r="D77" s="20">
        <v>0.90629999999999999</v>
      </c>
      <c r="E77" s="20">
        <v>0.91610000000000003</v>
      </c>
      <c r="F77" s="20">
        <v>0.90390000000000004</v>
      </c>
      <c r="G77" s="20">
        <v>0.90600000000000003</v>
      </c>
      <c r="H77" s="20">
        <v>0.90600000000000003</v>
      </c>
      <c r="I77" s="20">
        <v>0.90549999999999997</v>
      </c>
      <c r="J77" s="21">
        <v>0.87560000000000004</v>
      </c>
      <c r="K77" s="22">
        <v>0.89680000000000004</v>
      </c>
      <c r="L77" s="22">
        <v>0.871</v>
      </c>
      <c r="M77" s="22">
        <v>0.90390000000000004</v>
      </c>
      <c r="N77" s="22">
        <v>0.94569999999999999</v>
      </c>
      <c r="O77" s="22">
        <v>0.94850000000000001</v>
      </c>
      <c r="P77" s="22">
        <v>0.93740000000000001</v>
      </c>
    </row>
    <row r="78" spans="1:16" ht="15" customHeight="1" x14ac:dyDescent="0.2">
      <c r="A78" s="18" t="s">
        <v>370</v>
      </c>
      <c r="B78" s="19">
        <v>15466.525</v>
      </c>
      <c r="C78" s="20">
        <v>0.91479999999999995</v>
      </c>
      <c r="D78" s="20">
        <v>0.92730000000000001</v>
      </c>
      <c r="E78" s="20">
        <v>0.94279999999999997</v>
      </c>
      <c r="F78" s="20">
        <v>0.92359999999999998</v>
      </c>
      <c r="G78" s="20">
        <v>0.92600000000000005</v>
      </c>
      <c r="H78" s="20">
        <v>0.92610000000000003</v>
      </c>
      <c r="I78" s="20">
        <v>0.92549999999999999</v>
      </c>
      <c r="J78" s="21">
        <v>0.90049999999999997</v>
      </c>
      <c r="K78" s="22">
        <v>0.91479999999999995</v>
      </c>
      <c r="L78" s="22">
        <v>0.90149999999999997</v>
      </c>
      <c r="M78" s="22">
        <v>0.91949999999999998</v>
      </c>
      <c r="N78" s="22">
        <v>0.9647</v>
      </c>
      <c r="O78" s="22">
        <v>0.96709999999999996</v>
      </c>
      <c r="P78" s="22">
        <v>0.95799999999999996</v>
      </c>
    </row>
    <row r="79" spans="1:16" ht="15" customHeight="1" x14ac:dyDescent="0.2">
      <c r="A79" s="18" t="s">
        <v>371</v>
      </c>
      <c r="B79" s="19">
        <v>16109.424999999999</v>
      </c>
      <c r="C79" s="20">
        <v>0.93140000000000001</v>
      </c>
      <c r="D79" s="20">
        <v>0.94510000000000005</v>
      </c>
      <c r="E79" s="20">
        <v>0.95589999999999997</v>
      </c>
      <c r="F79" s="20">
        <v>0.9425</v>
      </c>
      <c r="G79" s="20">
        <v>0.94530000000000003</v>
      </c>
      <c r="H79" s="20">
        <v>0.94530000000000003</v>
      </c>
      <c r="I79" s="20">
        <v>0.94510000000000005</v>
      </c>
      <c r="J79" s="21">
        <v>0.92469999999999997</v>
      </c>
      <c r="K79" s="22">
        <v>0.93140000000000001</v>
      </c>
      <c r="L79" s="22">
        <v>0.91190000000000004</v>
      </c>
      <c r="M79" s="22">
        <v>0.92589999999999995</v>
      </c>
      <c r="N79" s="22">
        <v>0.97509999999999997</v>
      </c>
      <c r="O79" s="22">
        <v>0.97809999999999997</v>
      </c>
      <c r="P79" s="22">
        <v>0.96599999999999997</v>
      </c>
    </row>
    <row r="80" spans="1:16" ht="15" customHeight="1" x14ac:dyDescent="0.2">
      <c r="A80" s="18" t="s">
        <v>372</v>
      </c>
      <c r="B80" s="19">
        <v>16687.775000000001</v>
      </c>
      <c r="C80" s="20">
        <v>0.94830000000000003</v>
      </c>
      <c r="D80" s="20">
        <v>0.95930000000000004</v>
      </c>
      <c r="E80" s="20">
        <v>0.96230000000000004</v>
      </c>
      <c r="F80" s="20">
        <v>0.9587</v>
      </c>
      <c r="G80" s="20">
        <v>0.95909999999999995</v>
      </c>
      <c r="H80" s="20">
        <v>0.95909999999999995</v>
      </c>
      <c r="I80" s="20">
        <v>0.95899999999999996</v>
      </c>
      <c r="J80" s="21">
        <v>0.94930000000000003</v>
      </c>
      <c r="K80" s="22">
        <v>0.94830000000000003</v>
      </c>
      <c r="L80" s="22">
        <v>0.9194</v>
      </c>
      <c r="M80" s="22">
        <v>0.95150000000000001</v>
      </c>
      <c r="N80" s="22">
        <v>0.97840000000000005</v>
      </c>
      <c r="O80" s="22">
        <v>0.98070000000000002</v>
      </c>
      <c r="P80" s="22">
        <v>0.97219999999999995</v>
      </c>
    </row>
    <row r="81" spans="1:16" ht="15" customHeight="1" x14ac:dyDescent="0.2">
      <c r="A81" s="18" t="s">
        <v>373</v>
      </c>
      <c r="B81" s="19">
        <v>17428.099999999999</v>
      </c>
      <c r="C81" s="20">
        <v>0.96560000000000001</v>
      </c>
      <c r="D81" s="20">
        <v>0.97370000000000001</v>
      </c>
      <c r="E81" s="20">
        <v>0.97750000000000004</v>
      </c>
      <c r="F81" s="20">
        <v>0.97299999999999998</v>
      </c>
      <c r="G81" s="20">
        <v>0.97289999999999999</v>
      </c>
      <c r="H81" s="20">
        <v>0.97289999999999999</v>
      </c>
      <c r="I81" s="20">
        <v>0.9728</v>
      </c>
      <c r="J81" s="21">
        <v>0.9718</v>
      </c>
      <c r="K81" s="22">
        <v>0.96560000000000001</v>
      </c>
      <c r="L81" s="22">
        <v>0.95099999999999996</v>
      </c>
      <c r="M81" s="22">
        <v>0.97319999999999995</v>
      </c>
      <c r="N81" s="22">
        <v>0.99239999999999995</v>
      </c>
      <c r="O81" s="22">
        <v>0.99370000000000003</v>
      </c>
      <c r="P81" s="22">
        <v>0.98839999999999995</v>
      </c>
    </row>
    <row r="82" spans="1:16" ht="15" customHeight="1" x14ac:dyDescent="0.2">
      <c r="A82" s="18" t="s">
        <v>374</v>
      </c>
      <c r="B82" s="19">
        <v>18164.25</v>
      </c>
      <c r="C82" s="20">
        <v>0.97560000000000002</v>
      </c>
      <c r="D82" s="20">
        <v>0.97760000000000002</v>
      </c>
      <c r="E82" s="20">
        <v>0.98119999999999996</v>
      </c>
      <c r="F82" s="20">
        <v>0.97699999999999998</v>
      </c>
      <c r="G82" s="20">
        <v>0.97660000000000002</v>
      </c>
      <c r="H82" s="20">
        <v>0.97660000000000002</v>
      </c>
      <c r="I82" s="20">
        <v>0.97660000000000002</v>
      </c>
      <c r="J82" s="21">
        <v>0.97950000000000004</v>
      </c>
      <c r="K82" s="22">
        <v>0.97560000000000002</v>
      </c>
      <c r="L82" s="22">
        <v>0.96330000000000005</v>
      </c>
      <c r="M82" s="22">
        <v>0.97250000000000003</v>
      </c>
      <c r="N82" s="22">
        <v>0.99470000000000003</v>
      </c>
      <c r="O82" s="22">
        <v>0.99609999999999999</v>
      </c>
      <c r="P82" s="22">
        <v>0.99109999999999998</v>
      </c>
    </row>
    <row r="83" spans="1:16" ht="15" customHeight="1" x14ac:dyDescent="0.2">
      <c r="A83" s="18" t="s">
        <v>375</v>
      </c>
      <c r="B83" s="19">
        <v>18641.325000000001</v>
      </c>
      <c r="C83" s="20">
        <v>0.98340000000000005</v>
      </c>
      <c r="D83" s="20">
        <v>0.98370000000000002</v>
      </c>
      <c r="E83" s="20">
        <v>0.98460000000000003</v>
      </c>
      <c r="F83" s="20">
        <v>0.98350000000000004</v>
      </c>
      <c r="G83" s="20">
        <v>0.98350000000000004</v>
      </c>
      <c r="H83" s="20">
        <v>0.98350000000000004</v>
      </c>
      <c r="I83" s="20">
        <v>0.98350000000000004</v>
      </c>
      <c r="J83" s="21">
        <v>0.98219999999999996</v>
      </c>
      <c r="K83" s="22">
        <v>0.98340000000000005</v>
      </c>
      <c r="L83" s="22">
        <v>0.97570000000000001</v>
      </c>
      <c r="M83" s="22">
        <v>0.98070000000000002</v>
      </c>
      <c r="N83" s="22">
        <v>0.99199999999999999</v>
      </c>
      <c r="O83" s="22">
        <v>0.99319999999999997</v>
      </c>
      <c r="P83" s="22">
        <v>0.98850000000000005</v>
      </c>
    </row>
    <row r="84" spans="1:16" ht="15" customHeight="1" x14ac:dyDescent="0.2">
      <c r="A84" s="18" t="s">
        <v>376</v>
      </c>
      <c r="B84" s="19">
        <v>19375.174999999999</v>
      </c>
      <c r="C84" s="20">
        <v>1</v>
      </c>
      <c r="D84" s="20">
        <v>1</v>
      </c>
      <c r="E84" s="20">
        <v>1</v>
      </c>
      <c r="F84" s="20">
        <v>1</v>
      </c>
      <c r="G84" s="20">
        <v>1</v>
      </c>
      <c r="H84" s="20">
        <v>1</v>
      </c>
      <c r="I84" s="20">
        <v>1</v>
      </c>
      <c r="J84" s="21">
        <v>1</v>
      </c>
      <c r="K84" s="22">
        <v>1</v>
      </c>
      <c r="L84" s="22">
        <v>1</v>
      </c>
      <c r="M84" s="22">
        <v>1</v>
      </c>
      <c r="N84" s="22">
        <v>1</v>
      </c>
      <c r="O84" s="22">
        <v>1</v>
      </c>
      <c r="P84" s="22">
        <v>1</v>
      </c>
    </row>
    <row r="85" spans="1:16" ht="15" customHeight="1" x14ac:dyDescent="0.2">
      <c r="A85" s="18" t="s">
        <v>377</v>
      </c>
      <c r="B85" s="19">
        <v>20436.325000000001</v>
      </c>
      <c r="C85" s="20">
        <v>1.0222</v>
      </c>
      <c r="D85" s="20">
        <v>1.0216000000000001</v>
      </c>
      <c r="E85" s="20">
        <v>1.0256000000000001</v>
      </c>
      <c r="F85" s="20">
        <v>1.0208999999999999</v>
      </c>
      <c r="G85" s="20">
        <v>1.02</v>
      </c>
      <c r="H85" s="20">
        <v>1.02</v>
      </c>
      <c r="I85" s="20">
        <v>1.0201</v>
      </c>
      <c r="J85" s="21">
        <v>1.0334000000000001</v>
      </c>
      <c r="K85" s="22">
        <v>1.0222</v>
      </c>
      <c r="L85" s="22">
        <v>1.0349999999999999</v>
      </c>
      <c r="M85" s="22">
        <v>1.028</v>
      </c>
      <c r="N85" s="22">
        <v>1.0119</v>
      </c>
      <c r="O85" s="22">
        <v>1.0105</v>
      </c>
      <c r="P85" s="22">
        <v>1.018</v>
      </c>
    </row>
    <row r="86" spans="1:16" ht="15" customHeight="1" x14ac:dyDescent="0.2">
      <c r="A86" s="18" t="s">
        <v>378</v>
      </c>
      <c r="B86" s="19">
        <v>21275.275000000001</v>
      </c>
      <c r="C86" s="20">
        <v>1.0410999999999999</v>
      </c>
      <c r="D86" s="20">
        <v>1.0390999999999999</v>
      </c>
      <c r="E86" s="20">
        <v>1.0468999999999999</v>
      </c>
      <c r="F86" s="20">
        <v>1.0377000000000001</v>
      </c>
      <c r="G86" s="20">
        <v>1.036</v>
      </c>
      <c r="H86" s="20">
        <v>1.036</v>
      </c>
      <c r="I86" s="20">
        <v>1.0362</v>
      </c>
      <c r="J86" s="21">
        <v>1.0591999999999999</v>
      </c>
      <c r="K86" s="22">
        <v>1.0410999999999999</v>
      </c>
      <c r="L86" s="22">
        <v>1.0706</v>
      </c>
      <c r="M86" s="22">
        <v>1.0548</v>
      </c>
      <c r="N86" s="22">
        <v>1.0238</v>
      </c>
      <c r="O86" s="22">
        <v>1.0218</v>
      </c>
      <c r="P86" s="22">
        <v>1.0329999999999999</v>
      </c>
    </row>
    <row r="87" spans="1:16" ht="15" customHeight="1" x14ac:dyDescent="0.2">
      <c r="A87" s="18" t="s">
        <v>379</v>
      </c>
      <c r="B87" s="19">
        <v>21292.400000000001</v>
      </c>
      <c r="C87" s="20">
        <v>1.0547</v>
      </c>
      <c r="D87" s="20">
        <v>1.0538000000000001</v>
      </c>
      <c r="E87" s="20">
        <v>1.0584</v>
      </c>
      <c r="F87" s="20">
        <v>1.0531999999999999</v>
      </c>
      <c r="G87" s="20">
        <v>1.0477000000000001</v>
      </c>
      <c r="H87" s="20">
        <v>1.0477000000000001</v>
      </c>
      <c r="I87" s="20">
        <v>1.0479000000000001</v>
      </c>
      <c r="J87" s="21">
        <v>1.0806</v>
      </c>
      <c r="K87" s="22">
        <v>1.0547</v>
      </c>
      <c r="L87" s="22">
        <v>1.0726</v>
      </c>
      <c r="M87" s="22">
        <v>1.07</v>
      </c>
      <c r="N87" s="22">
        <v>1.0315000000000001</v>
      </c>
      <c r="O87" s="22">
        <v>1.0296000000000001</v>
      </c>
      <c r="P87" s="22">
        <v>1.0379</v>
      </c>
    </row>
    <row r="88" spans="1:16" ht="15" customHeight="1" x14ac:dyDescent="0.2">
      <c r="A88" s="18" t="s">
        <v>380</v>
      </c>
      <c r="B88" s="19">
        <v>22936.525000000001</v>
      </c>
      <c r="C88" s="20">
        <v>1.091</v>
      </c>
      <c r="D88" s="20">
        <v>1.0862000000000001</v>
      </c>
      <c r="E88" s="20">
        <v>1.0873999999999999</v>
      </c>
      <c r="F88" s="20">
        <v>1.0861000000000001</v>
      </c>
      <c r="G88" s="20">
        <v>1.0792999999999999</v>
      </c>
      <c r="H88" s="20">
        <v>1.0792999999999999</v>
      </c>
      <c r="I88" s="20">
        <v>1.0794999999999999</v>
      </c>
      <c r="J88" s="21">
        <v>1.1317999999999999</v>
      </c>
      <c r="K88" s="22">
        <v>1.091</v>
      </c>
      <c r="L88" s="22">
        <v>1.1023000000000001</v>
      </c>
      <c r="M88" s="22">
        <v>1.0979000000000001</v>
      </c>
      <c r="N88" s="22">
        <v>1.0491999999999999</v>
      </c>
      <c r="O88" s="22">
        <v>1.0481</v>
      </c>
      <c r="P88" s="22">
        <v>1.0537000000000001</v>
      </c>
    </row>
    <row r="89" spans="1:16" ht="15" customHeight="1" x14ac:dyDescent="0.2">
      <c r="A89" s="18" t="s">
        <v>381</v>
      </c>
      <c r="B89" s="19">
        <v>25305.65</v>
      </c>
      <c r="C89" s="20">
        <v>1.1673</v>
      </c>
      <c r="D89" s="20">
        <v>1.1545000000000001</v>
      </c>
      <c r="E89" s="20">
        <v>1.1544000000000001</v>
      </c>
      <c r="F89" s="20">
        <v>1.1545000000000001</v>
      </c>
      <c r="G89" s="20">
        <v>1.1489</v>
      </c>
      <c r="H89" s="20">
        <v>1.1488</v>
      </c>
      <c r="I89" s="20">
        <v>1.1493</v>
      </c>
      <c r="J89" s="21">
        <v>1.2097</v>
      </c>
      <c r="K89" s="22">
        <v>1.1673</v>
      </c>
      <c r="L89" s="22">
        <v>1.1617</v>
      </c>
      <c r="M89" s="22">
        <v>1.1547000000000001</v>
      </c>
      <c r="N89" s="22">
        <v>1.0949</v>
      </c>
      <c r="O89" s="22">
        <v>1.0954999999999999</v>
      </c>
      <c r="P89" s="22">
        <v>1.0927</v>
      </c>
    </row>
    <row r="90" spans="1:16" ht="15" customHeight="1" x14ac:dyDescent="0.2">
      <c r="A90" s="18" t="s">
        <v>382</v>
      </c>
      <c r="B90" s="19">
        <v>26982.375</v>
      </c>
      <c r="C90" s="20">
        <v>1.2206999999999999</v>
      </c>
      <c r="D90" s="20">
        <v>1.2057</v>
      </c>
      <c r="E90" s="20">
        <v>1.2056</v>
      </c>
      <c r="F90" s="20">
        <v>1.2057</v>
      </c>
      <c r="G90" s="20">
        <v>1.2009000000000001</v>
      </c>
      <c r="H90" s="20">
        <v>1.2007000000000001</v>
      </c>
      <c r="I90" s="20">
        <v>1.2015</v>
      </c>
      <c r="J90" s="21">
        <v>1.2597</v>
      </c>
      <c r="K90" s="22">
        <v>1.2206999999999999</v>
      </c>
      <c r="L90" s="22">
        <v>1.2064999999999999</v>
      </c>
      <c r="M90" s="22">
        <v>1.1932</v>
      </c>
      <c r="N90" s="22">
        <v>1.1325000000000001</v>
      </c>
      <c r="O90" s="22">
        <v>1.1338999999999999</v>
      </c>
      <c r="P90" s="22">
        <v>1.1274</v>
      </c>
    </row>
    <row r="91" spans="1:16" ht="15" customHeight="1" x14ac:dyDescent="0.2">
      <c r="A91" s="18" t="s">
        <v>383</v>
      </c>
      <c r="B91" s="19">
        <v>28255.4</v>
      </c>
      <c r="C91" s="20">
        <v>1.2533000000000001</v>
      </c>
      <c r="D91" s="20">
        <v>1.2422</v>
      </c>
      <c r="E91" s="20">
        <v>1.2382</v>
      </c>
      <c r="F91" s="20">
        <v>1.2427999999999999</v>
      </c>
      <c r="G91" s="20">
        <v>1.2385999999999999</v>
      </c>
      <c r="H91" s="20">
        <v>1.2383999999999999</v>
      </c>
      <c r="I91" s="20">
        <v>1.2394000000000001</v>
      </c>
      <c r="J91" s="21">
        <v>1.2907999999999999</v>
      </c>
      <c r="K91" s="22">
        <v>1.2533000000000001</v>
      </c>
      <c r="L91" s="22">
        <v>1.2386999999999999</v>
      </c>
      <c r="M91" s="22">
        <v>1.2304999999999999</v>
      </c>
      <c r="N91" s="22">
        <v>1.1625000000000001</v>
      </c>
      <c r="O91" s="22">
        <v>1.1641999999999999</v>
      </c>
      <c r="P91" s="22">
        <v>1.1575</v>
      </c>
    </row>
    <row r="92" spans="1:16" ht="15" customHeight="1" x14ac:dyDescent="0.2">
      <c r="A92" s="18" t="s">
        <v>384</v>
      </c>
      <c r="B92" s="19">
        <v>29340.3</v>
      </c>
      <c r="C92" s="20">
        <v>1.2807999999999999</v>
      </c>
      <c r="D92" s="20">
        <v>1.2712000000000001</v>
      </c>
      <c r="E92" s="20">
        <v>1.2633000000000001</v>
      </c>
      <c r="F92" s="20">
        <v>1.2724</v>
      </c>
      <c r="G92" s="20">
        <v>1.2681</v>
      </c>
      <c r="H92" s="20">
        <v>1.2679</v>
      </c>
      <c r="I92" s="20">
        <v>1.2690999999999999</v>
      </c>
      <c r="J92" s="21">
        <v>1.3418000000000001</v>
      </c>
      <c r="K92" s="22">
        <v>1.2807999999999999</v>
      </c>
      <c r="L92" s="22">
        <v>1.2658</v>
      </c>
      <c r="M92" s="22">
        <v>1.2549999999999999</v>
      </c>
      <c r="N92" s="22">
        <v>1.1880999999999999</v>
      </c>
      <c r="O92" s="22">
        <v>1.1897</v>
      </c>
      <c r="P92" s="22">
        <v>1.1829000000000001</v>
      </c>
    </row>
    <row r="93" spans="1:16" ht="15" customHeight="1" x14ac:dyDescent="0.2">
      <c r="A93" s="18" t="s">
        <v>385</v>
      </c>
      <c r="B93" s="19">
        <v>30552.7</v>
      </c>
      <c r="C93" s="20">
        <v>1.3073999999999999</v>
      </c>
      <c r="D93" s="20">
        <v>1.3001</v>
      </c>
      <c r="E93" s="20">
        <v>1.2896000000000001</v>
      </c>
      <c r="F93" s="20">
        <v>1.3017000000000001</v>
      </c>
      <c r="G93" s="20">
        <v>1.2970999999999999</v>
      </c>
      <c r="H93" s="20">
        <v>1.2968999999999999</v>
      </c>
      <c r="I93" s="20">
        <v>1.2982</v>
      </c>
      <c r="J93" s="21">
        <v>1.3838999999999999</v>
      </c>
      <c r="K93" s="22">
        <v>1.3073999999999999</v>
      </c>
      <c r="L93" s="22">
        <v>1.2922</v>
      </c>
      <c r="M93" s="22">
        <v>1.2811999999999999</v>
      </c>
      <c r="N93" s="22">
        <v>1.2129000000000001</v>
      </c>
      <c r="O93" s="22">
        <v>1.2144999999999999</v>
      </c>
      <c r="P93" s="22">
        <v>1.2075</v>
      </c>
    </row>
    <row r="94" spans="1:16" ht="15" customHeight="1" x14ac:dyDescent="0.2">
      <c r="A94" s="18" t="s">
        <v>386</v>
      </c>
      <c r="B94" s="19">
        <v>31815.599999999999</v>
      </c>
      <c r="C94" s="20">
        <v>1.3348</v>
      </c>
      <c r="D94" s="20">
        <v>1.3295999999999999</v>
      </c>
      <c r="E94" s="20">
        <v>1.3166</v>
      </c>
      <c r="F94" s="20">
        <v>1.3313999999999999</v>
      </c>
      <c r="G94" s="20">
        <v>1.327</v>
      </c>
      <c r="H94" s="20">
        <v>1.3267</v>
      </c>
      <c r="I94" s="20">
        <v>1.3280000000000001</v>
      </c>
      <c r="J94" s="21">
        <v>1.427</v>
      </c>
      <c r="K94" s="22">
        <v>1.3348</v>
      </c>
      <c r="L94" s="22">
        <v>1.3191999999999999</v>
      </c>
      <c r="M94" s="22">
        <v>1.3080000000000001</v>
      </c>
      <c r="N94" s="22">
        <v>1.2383999999999999</v>
      </c>
      <c r="O94" s="22">
        <v>1.2399</v>
      </c>
      <c r="P94" s="22">
        <v>1.2327999999999999</v>
      </c>
    </row>
    <row r="95" spans="1:16" ht="15" customHeight="1" x14ac:dyDescent="0.2">
      <c r="A95" s="18" t="s">
        <v>387</v>
      </c>
      <c r="B95" s="19">
        <v>33129.199999999997</v>
      </c>
      <c r="C95" s="20">
        <v>1.3626</v>
      </c>
      <c r="D95" s="20">
        <v>1.3593</v>
      </c>
      <c r="E95" s="20">
        <v>1.3441000000000001</v>
      </c>
      <c r="F95" s="20">
        <v>1.3613999999999999</v>
      </c>
      <c r="G95" s="20">
        <v>1.3573999999999999</v>
      </c>
      <c r="H95" s="20">
        <v>1.3571</v>
      </c>
      <c r="I95" s="20">
        <v>1.3584000000000001</v>
      </c>
      <c r="J95" s="21">
        <v>1.4668000000000001</v>
      </c>
      <c r="K95" s="22">
        <v>1.3626</v>
      </c>
      <c r="L95" s="22">
        <v>1.3468</v>
      </c>
      <c r="M95" s="22">
        <v>1.3352999999999999</v>
      </c>
      <c r="N95" s="22">
        <v>1.2645999999999999</v>
      </c>
      <c r="O95" s="22">
        <v>1.2658</v>
      </c>
      <c r="P95" s="22">
        <v>1.2585</v>
      </c>
    </row>
    <row r="96" spans="1:16" ht="15" customHeight="1" x14ac:dyDescent="0.2">
      <c r="A96" s="18" t="s">
        <v>388</v>
      </c>
      <c r="B96" s="19">
        <v>34510.800000000003</v>
      </c>
      <c r="C96" s="20">
        <v>1.3911</v>
      </c>
      <c r="D96" s="20">
        <v>1.3897999999999999</v>
      </c>
      <c r="E96" s="20">
        <v>1.3722000000000001</v>
      </c>
      <c r="F96" s="20">
        <v>1.3922000000000001</v>
      </c>
      <c r="G96" s="20">
        <v>1.3887</v>
      </c>
      <c r="H96" s="20">
        <v>1.3884000000000001</v>
      </c>
      <c r="I96" s="20">
        <v>1.3895999999999999</v>
      </c>
      <c r="J96" s="21">
        <v>1.5111000000000001</v>
      </c>
      <c r="K96" s="22">
        <v>1.3911</v>
      </c>
      <c r="L96" s="22">
        <v>1.3749</v>
      </c>
      <c r="M96" s="22">
        <v>1.3632</v>
      </c>
      <c r="N96" s="22">
        <v>1.2907999999999999</v>
      </c>
      <c r="O96" s="22">
        <v>1.2922</v>
      </c>
      <c r="P96" s="22">
        <v>1.2847999999999999</v>
      </c>
    </row>
    <row r="97" spans="1:16" ht="14.1" customHeight="1" x14ac:dyDescent="0.2">
      <c r="A97" s="363" t="s">
        <v>389</v>
      </c>
      <c r="B97" s="363"/>
      <c r="C97" s="363"/>
      <c r="D97" s="363"/>
      <c r="E97" s="363"/>
      <c r="F97" s="363"/>
      <c r="G97" s="363"/>
      <c r="H97" s="363"/>
      <c r="I97" s="363"/>
      <c r="J97" s="363"/>
      <c r="K97" s="363"/>
      <c r="L97" s="363"/>
      <c r="M97" s="363"/>
      <c r="N97" s="363"/>
      <c r="O97" s="363"/>
      <c r="P97" s="363"/>
    </row>
  </sheetData>
  <sheetProtection algorithmName="SHA-512" hashValue="VUfcA+Zyv/XIGBInfItJVBs6YEOBXH2yELHXXDZ4VYvhLxH8WLpO0zIOQZTCBpXGbFOspdras2JqqC45SORrnA==" saltValue="UuiGClogzqXLgL5cQ/2j8g==" spinCount="100000" sheet="1" objects="1" scenarios="1"/>
  <mergeCells count="16">
    <mergeCell ref="A97:P97"/>
    <mergeCell ref="A1:P1"/>
    <mergeCell ref="A2:P2"/>
    <mergeCell ref="A3:A5"/>
    <mergeCell ref="B3:B5"/>
    <mergeCell ref="C3:C5"/>
    <mergeCell ref="D3:P3"/>
    <mergeCell ref="D4:D5"/>
    <mergeCell ref="E4:E5"/>
    <mergeCell ref="F4:F5"/>
    <mergeCell ref="G4:I4"/>
    <mergeCell ref="J4:J5"/>
    <mergeCell ref="K4:K5"/>
    <mergeCell ref="L4:L5"/>
    <mergeCell ref="M4:M5"/>
    <mergeCell ref="N4: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AAFD-8428-458C-97F3-C76D3235D42F}">
  <sheetPr>
    <tabColor theme="0"/>
  </sheetPr>
  <dimension ref="B2:F41"/>
  <sheetViews>
    <sheetView topLeftCell="A2" zoomScale="70" zoomScaleNormal="70" workbookViewId="0">
      <selection activeCell="B47" sqref="B47"/>
    </sheetView>
  </sheetViews>
  <sheetFormatPr defaultRowHeight="14.25" x14ac:dyDescent="0.2"/>
  <cols>
    <col min="2" max="2" width="42.125" customWidth="1"/>
    <col min="3" max="3" width="45.625" customWidth="1"/>
    <col min="4" max="5" width="82.625" customWidth="1"/>
    <col min="6" max="6" width="48.375" customWidth="1"/>
  </cols>
  <sheetData>
    <row r="2" spans="2:6" ht="18.75" x14ac:dyDescent="0.3">
      <c r="B2" s="233" t="str">
        <f>'1-Summary'!B2</f>
        <v>Replacement of the I-40 Bridge over the Arkansas River at Webbers Falls</v>
      </c>
    </row>
    <row r="3" spans="2:6" ht="15.75" x14ac:dyDescent="0.25">
      <c r="B3" s="83" t="s">
        <v>31</v>
      </c>
    </row>
    <row r="6" spans="2:6" ht="28.15" customHeight="1" x14ac:dyDescent="0.2">
      <c r="B6" s="34" t="s">
        <v>475</v>
      </c>
      <c r="C6" s="34" t="s">
        <v>476</v>
      </c>
      <c r="D6" s="203" t="s">
        <v>8</v>
      </c>
      <c r="E6" s="203" t="s">
        <v>684</v>
      </c>
      <c r="F6" s="204" t="s">
        <v>32</v>
      </c>
    </row>
    <row r="7" spans="2:6" ht="13.9" customHeight="1" x14ac:dyDescent="0.2">
      <c r="B7" s="346" t="s">
        <v>703</v>
      </c>
      <c r="C7" s="347" t="s">
        <v>474</v>
      </c>
      <c r="D7" s="176" t="s">
        <v>9</v>
      </c>
      <c r="E7" s="262"/>
      <c r="F7" s="204"/>
    </row>
    <row r="8" spans="2:6" x14ac:dyDescent="0.2">
      <c r="B8" s="346"/>
      <c r="C8" s="347"/>
      <c r="D8" s="184" t="s">
        <v>10</v>
      </c>
      <c r="E8" s="263" t="s">
        <v>687</v>
      </c>
      <c r="F8" s="279">
        <f>_xlfn.XLOOKUP(D8,'1-Summary'!$B$65:$B$104,'1-Summary'!$D$65:$D$104)</f>
        <v>30.054890853106311</v>
      </c>
    </row>
    <row r="9" spans="2:6" x14ac:dyDescent="0.2">
      <c r="B9" s="346"/>
      <c r="C9" s="347"/>
      <c r="D9" s="184" t="s">
        <v>26</v>
      </c>
      <c r="E9" s="263" t="s">
        <v>687</v>
      </c>
      <c r="F9" s="279">
        <f>_xlfn.XLOOKUP(D9,'1-Summary'!$B$65:$B$104,'1-Summary'!$D$65:$D$104)</f>
        <v>-0.35618027655687257</v>
      </c>
    </row>
    <row r="10" spans="2:6" x14ac:dyDescent="0.2">
      <c r="B10" s="346"/>
      <c r="C10" s="347"/>
      <c r="D10" s="238" t="s">
        <v>11</v>
      </c>
      <c r="E10" s="263" t="s">
        <v>43</v>
      </c>
      <c r="F10" s="280">
        <f>_xlfn.XLOOKUP(D10,'1-Summary'!$B$65:$B$104,'1-Summary'!$D$65:$D$104)</f>
        <v>13.406785225641874</v>
      </c>
    </row>
    <row r="11" spans="2:6" x14ac:dyDescent="0.2">
      <c r="B11" s="346"/>
      <c r="C11" s="347"/>
      <c r="D11" s="239" t="s">
        <v>667</v>
      </c>
      <c r="E11" s="264" t="s">
        <v>689</v>
      </c>
      <c r="F11" s="281">
        <f>_xlfn.XLOOKUP(D11,'1-Summary'!$B$65:$B$104,'1-Summary'!$D$65:$D$104)</f>
        <v>13.499498435062955</v>
      </c>
    </row>
    <row r="12" spans="2:6" ht="15" x14ac:dyDescent="0.2">
      <c r="B12" s="346"/>
      <c r="C12" s="347"/>
      <c r="D12" s="190" t="s">
        <v>12</v>
      </c>
      <c r="E12" s="265"/>
      <c r="F12" s="282">
        <f>_xlfn.XLOOKUP(D12,'1-Summary'!$B$65:$B$104,'1-Summary'!$D$65:$D$104)</f>
        <v>56.604994237254274</v>
      </c>
    </row>
    <row r="13" spans="2:6" ht="15" x14ac:dyDescent="0.2">
      <c r="B13" s="346"/>
      <c r="C13" s="347"/>
      <c r="D13" s="176" t="s">
        <v>489</v>
      </c>
      <c r="E13" s="262"/>
      <c r="F13" s="204"/>
    </row>
    <row r="14" spans="2:6" x14ac:dyDescent="0.2">
      <c r="B14" s="346"/>
      <c r="C14" s="347"/>
      <c r="D14" s="240" t="s">
        <v>657</v>
      </c>
      <c r="E14" s="266" t="s">
        <v>685</v>
      </c>
      <c r="F14" s="283">
        <f>_xlfn.XLOOKUP(D14,'1-Summary'!$B$65:$B$104,'1-Summary'!$D$65:$D$104)</f>
        <v>-53.265941063708645</v>
      </c>
    </row>
    <row r="15" spans="2:6" x14ac:dyDescent="0.2">
      <c r="B15" s="346"/>
      <c r="C15" s="347"/>
      <c r="D15" s="195" t="s">
        <v>658</v>
      </c>
      <c r="E15" s="266" t="s">
        <v>685</v>
      </c>
      <c r="F15" s="284">
        <f>_xlfn.XLOOKUP(D15,'1-Summary'!$B$65:$B$104,'1-Summary'!$D$65:$D$104)</f>
        <v>78.685241333063544</v>
      </c>
    </row>
    <row r="16" spans="2:6" x14ac:dyDescent="0.2">
      <c r="B16" s="346"/>
      <c r="C16" s="347"/>
      <c r="D16" s="195" t="s">
        <v>659</v>
      </c>
      <c r="E16" s="266" t="s">
        <v>685</v>
      </c>
      <c r="F16" s="285">
        <f>_xlfn.XLOOKUP(D16,'1-Summary'!$B$65:$B$104,'1-Summary'!$D$65:$D$104)</f>
        <v>0.41091673720146804</v>
      </c>
    </row>
    <row r="17" spans="2:6" x14ac:dyDescent="0.2">
      <c r="B17" s="346"/>
      <c r="C17" s="347"/>
      <c r="D17" s="195" t="s">
        <v>14</v>
      </c>
      <c r="E17" s="266" t="s">
        <v>685</v>
      </c>
      <c r="F17" s="269" t="str">
        <f>_xlfn.XLOOKUP(D17,'1-Summary'!$B$65:$B$104,'1-Summary'!$D$65:$D$104)</f>
        <v>Qualitative</v>
      </c>
    </row>
    <row r="18" spans="2:6" ht="15" x14ac:dyDescent="0.2">
      <c r="B18" s="346"/>
      <c r="C18" s="347"/>
      <c r="D18" s="190" t="s">
        <v>16</v>
      </c>
      <c r="E18" s="265"/>
      <c r="F18" s="282">
        <f>_xlfn.XLOOKUP(D18,'1-Summary'!$B$65:$B$104,'1-Summary'!$D$65:$D$104)</f>
        <v>25.830217006556364</v>
      </c>
    </row>
    <row r="19" spans="2:6" ht="15" x14ac:dyDescent="0.2">
      <c r="B19" s="346"/>
      <c r="C19" s="347"/>
      <c r="D19" s="176" t="s">
        <v>17</v>
      </c>
      <c r="E19" s="262"/>
      <c r="F19" s="204"/>
    </row>
    <row r="20" spans="2:6" x14ac:dyDescent="0.2">
      <c r="B20" s="346"/>
      <c r="C20" s="347"/>
      <c r="D20" s="197" t="s">
        <v>666</v>
      </c>
      <c r="E20" s="266" t="s">
        <v>685</v>
      </c>
      <c r="F20" s="284">
        <f>_xlfn.XLOOKUP(D20,'1-Summary'!$B$65:$B$104,'1-Summary'!$D$65:$D$104)</f>
        <v>219.00284329894788</v>
      </c>
    </row>
    <row r="21" spans="2:6" x14ac:dyDescent="0.2">
      <c r="B21" s="346"/>
      <c r="C21" s="347"/>
      <c r="D21" s="184" t="s">
        <v>660</v>
      </c>
      <c r="E21" s="266" t="s">
        <v>685</v>
      </c>
      <c r="F21" s="283">
        <f>_xlfn.XLOOKUP(D21,'1-Summary'!$B$65:$B$104,'1-Summary'!$D$65:$D$104)</f>
        <v>-23.684281468652799</v>
      </c>
    </row>
    <row r="22" spans="2:6" x14ac:dyDescent="0.2">
      <c r="B22" s="346"/>
      <c r="C22" s="347"/>
      <c r="D22" s="184" t="s">
        <v>661</v>
      </c>
      <c r="E22" s="266" t="s">
        <v>685</v>
      </c>
      <c r="F22" s="279">
        <f>_xlfn.XLOOKUP(D22,'1-Summary'!$B$65:$B$104,'1-Summary'!$D$65:$D$104)</f>
        <v>227.71525502857702</v>
      </c>
    </row>
    <row r="23" spans="2:6" x14ac:dyDescent="0.2">
      <c r="B23" s="346"/>
      <c r="C23" s="347"/>
      <c r="D23" s="195" t="s">
        <v>664</v>
      </c>
      <c r="E23" s="266" t="s">
        <v>685</v>
      </c>
      <c r="F23" s="284">
        <f>_xlfn.XLOOKUP(D23,'1-Summary'!$B$65:$B$104,'1-Summary'!$D$65:$D$104)</f>
        <v>12.907126291674569</v>
      </c>
    </row>
    <row r="24" spans="2:6" x14ac:dyDescent="0.2">
      <c r="B24" s="346"/>
      <c r="C24" s="347"/>
      <c r="D24" s="184" t="s">
        <v>665</v>
      </c>
      <c r="E24" s="266" t="s">
        <v>685</v>
      </c>
      <c r="F24" s="269" t="str">
        <f>_xlfn.XLOOKUP(D24,'1-Summary'!$B$65:$B$104,'1-Summary'!$D$65:$D$104)</f>
        <v>Qualitative</v>
      </c>
    </row>
    <row r="25" spans="2:6" ht="15" x14ac:dyDescent="0.2">
      <c r="B25" s="346"/>
      <c r="C25" s="347"/>
      <c r="D25" s="190" t="s">
        <v>18</v>
      </c>
      <c r="E25" s="265"/>
      <c r="F25" s="282">
        <f>_xlfn.XLOOKUP(D25,'1-Summary'!$B$65:$B$104,'1-Summary'!$D$65:$D$104)</f>
        <v>435.94094315054667</v>
      </c>
    </row>
    <row r="26" spans="2:6" ht="15" x14ac:dyDescent="0.2">
      <c r="B26" s="346"/>
      <c r="C26" s="347"/>
      <c r="D26" s="176" t="s">
        <v>490</v>
      </c>
      <c r="E26" s="262"/>
      <c r="F26" s="204"/>
    </row>
    <row r="27" spans="2:6" x14ac:dyDescent="0.2">
      <c r="B27" s="346"/>
      <c r="C27" s="347"/>
      <c r="D27" s="197" t="s">
        <v>662</v>
      </c>
      <c r="E27" s="267" t="s">
        <v>688</v>
      </c>
      <c r="F27" s="284">
        <f>_xlfn.XLOOKUP(D27,'1-Summary'!$B$65:$B$104,'1-Summary'!$D$65:$D$104)</f>
        <v>139.51569603018228</v>
      </c>
    </row>
    <row r="28" spans="2:6" x14ac:dyDescent="0.2">
      <c r="B28" s="346"/>
      <c r="C28" s="347"/>
      <c r="D28" s="195" t="s">
        <v>663</v>
      </c>
      <c r="E28" s="267" t="s">
        <v>688</v>
      </c>
      <c r="F28" s="284">
        <f>_xlfn.XLOOKUP(D28,'1-Summary'!$B$65:$B$104,'1-Summary'!$D$65:$D$104)</f>
        <v>0.56626611811407257</v>
      </c>
    </row>
    <row r="29" spans="2:6" x14ac:dyDescent="0.2">
      <c r="B29" s="346"/>
      <c r="C29" s="347"/>
      <c r="D29" s="195" t="s">
        <v>19</v>
      </c>
      <c r="E29" s="267" t="s">
        <v>686</v>
      </c>
      <c r="F29" s="269" t="str">
        <f>_xlfn.XLOOKUP(D29,'1-Summary'!$B$65:$B$104,'1-Summary'!$D$65:$D$104)</f>
        <v>Qualitative</v>
      </c>
    </row>
    <row r="30" spans="2:6" x14ac:dyDescent="0.2">
      <c r="B30" s="346"/>
      <c r="C30" s="347"/>
      <c r="D30" s="195" t="s">
        <v>20</v>
      </c>
      <c r="E30" s="267" t="s">
        <v>686</v>
      </c>
      <c r="F30" s="269" t="str">
        <f>_xlfn.XLOOKUP(D30,'1-Summary'!$B$65:$B$104,'1-Summary'!$D$65:$D$104)</f>
        <v>Qualitative</v>
      </c>
    </row>
    <row r="31" spans="2:6" ht="15" x14ac:dyDescent="0.2">
      <c r="B31" s="346"/>
      <c r="C31" s="347"/>
      <c r="D31" s="190" t="s">
        <v>21</v>
      </c>
      <c r="E31" s="265"/>
      <c r="F31" s="282">
        <f>_xlfn.XLOOKUP(D31,'1-Summary'!$B$65:$B$104,'1-Summary'!$D$65:$D$104)</f>
        <v>140.08196214829636</v>
      </c>
    </row>
    <row r="32" spans="2:6" ht="15" x14ac:dyDescent="0.2">
      <c r="B32" s="346"/>
      <c r="C32" s="347"/>
      <c r="D32" s="176" t="s">
        <v>22</v>
      </c>
      <c r="E32" s="262"/>
      <c r="F32" s="204"/>
    </row>
    <row r="33" spans="2:6" x14ac:dyDescent="0.2">
      <c r="B33" s="346"/>
      <c r="C33" s="347"/>
      <c r="D33" s="197" t="s">
        <v>504</v>
      </c>
      <c r="E33" s="267"/>
      <c r="F33" s="284">
        <f>_xlfn.XLOOKUP(D33,'1-Summary'!$B$65:$B$104,'1-Summary'!$D$65:$D$104)</f>
        <v>6.6981328343680799E-2</v>
      </c>
    </row>
    <row r="34" spans="2:6" ht="15" x14ac:dyDescent="0.2">
      <c r="B34" s="346"/>
      <c r="C34" s="347"/>
      <c r="D34" s="190" t="s">
        <v>23</v>
      </c>
      <c r="E34" s="265"/>
      <c r="F34" s="282">
        <f>_xlfn.XLOOKUP(D34,'1-Summary'!$B$65:$B$104,'1-Summary'!$D$65:$D$104)</f>
        <v>6.6981328343680799E-2</v>
      </c>
    </row>
    <row r="35" spans="2:6" ht="15" x14ac:dyDescent="0.2">
      <c r="B35" s="346"/>
      <c r="C35" s="347"/>
      <c r="D35" s="176" t="s">
        <v>24</v>
      </c>
      <c r="E35" s="262"/>
      <c r="F35" s="204"/>
    </row>
    <row r="36" spans="2:6" x14ac:dyDescent="0.2">
      <c r="B36" s="346"/>
      <c r="C36" s="347"/>
      <c r="D36" s="195" t="s">
        <v>506</v>
      </c>
      <c r="E36" s="267" t="s">
        <v>686</v>
      </c>
      <c r="F36" s="270" t="str">
        <f>_xlfn.XLOOKUP(D36,'1-Summary'!$B$65:$B$104,'1-Summary'!$D$65:$D$104)</f>
        <v>Qualitative</v>
      </c>
    </row>
    <row r="37" spans="2:6" x14ac:dyDescent="0.2">
      <c r="B37" s="346"/>
      <c r="C37" s="347"/>
      <c r="D37" s="195" t="s">
        <v>507</v>
      </c>
      <c r="E37" s="267" t="s">
        <v>686</v>
      </c>
      <c r="F37" s="270" t="str">
        <f>_xlfn.XLOOKUP(D37,'1-Summary'!$B$65:$B$104,'1-Summary'!$D$65:$D$104)</f>
        <v>Qualitative</v>
      </c>
    </row>
    <row r="38" spans="2:6" x14ac:dyDescent="0.2">
      <c r="B38" s="346"/>
      <c r="C38" s="347"/>
      <c r="D38" s="195" t="s">
        <v>508</v>
      </c>
      <c r="E38" s="267" t="s">
        <v>686</v>
      </c>
      <c r="F38" s="270" t="str">
        <f>_xlfn.XLOOKUP(D38,'1-Summary'!$B$65:$B$104,'1-Summary'!$D$65:$D$104)</f>
        <v>Qualitative</v>
      </c>
    </row>
    <row r="39" spans="2:6" ht="15" x14ac:dyDescent="0.2">
      <c r="B39" s="346"/>
      <c r="C39" s="347"/>
      <c r="D39" s="201" t="s">
        <v>25</v>
      </c>
      <c r="E39" s="268"/>
      <c r="F39" s="202" t="str">
        <f>_xlfn.XLOOKUP(D39,'1-Summary'!$B$65:$B$104,'1-Summary'!$D$65:$D$104)</f>
        <v>Qualitative</v>
      </c>
    </row>
    <row r="40" spans="2:6" x14ac:dyDescent="0.2">
      <c r="B40" s="346"/>
      <c r="C40" s="347"/>
      <c r="D40" s="200"/>
      <c r="E40" s="200"/>
      <c r="F40" s="271"/>
    </row>
    <row r="41" spans="2:6" ht="15" x14ac:dyDescent="0.2">
      <c r="B41" s="346"/>
      <c r="C41" s="347"/>
      <c r="D41" s="203" t="s">
        <v>27</v>
      </c>
      <c r="E41" s="203"/>
      <c r="F41" s="286">
        <f>_xlfn.XLOOKUP(D41,'1-Summary'!$B$65:$B$104,'1-Summary'!$D$65:$D$104)</f>
        <v>658.52509787099734</v>
      </c>
    </row>
  </sheetData>
  <sheetProtection algorithmName="SHA-512" hashValue="BAWg3Qty3k51GoW/FjBPK5Udq4ExeBpxatEiJniazxR8dhApkSGS1yBxRq5acObpAXIqI4Zq5qyWvfmOIZ3O2w==" saltValue="mTsk3ablq9ROgLYj5Bl6Qg==" spinCount="100000" sheet="1" objects="1" scenarios="1"/>
  <mergeCells count="2">
    <mergeCell ref="B7:B41"/>
    <mergeCell ref="C7:C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68BEC-5022-4F63-94D3-E90BED1112F4}">
  <sheetPr>
    <tabColor theme="0"/>
  </sheetPr>
  <dimension ref="B2:D113"/>
  <sheetViews>
    <sheetView topLeftCell="A48" zoomScaleNormal="100" workbookViewId="0">
      <selection activeCell="B42" sqref="B42:D42"/>
    </sheetView>
  </sheetViews>
  <sheetFormatPr defaultColWidth="9.125" defaultRowHeight="12.75" x14ac:dyDescent="0.2"/>
  <cols>
    <col min="1" max="1" width="9.125" style="296"/>
    <col min="2" max="2" width="27" style="340" customWidth="1"/>
    <col min="3" max="3" width="13.375" style="296" customWidth="1"/>
    <col min="4" max="4" width="30.375" style="334" customWidth="1"/>
    <col min="5" max="16384" width="9.125" style="296"/>
  </cols>
  <sheetData>
    <row r="2" spans="2:4" x14ac:dyDescent="0.2">
      <c r="B2" s="335" t="s">
        <v>33</v>
      </c>
      <c r="C2" s="294" t="s">
        <v>34</v>
      </c>
      <c r="D2" s="295" t="s">
        <v>35</v>
      </c>
    </row>
    <row r="3" spans="2:4" x14ac:dyDescent="0.2">
      <c r="B3" s="349" t="s">
        <v>36</v>
      </c>
      <c r="C3" s="349"/>
      <c r="D3" s="349"/>
    </row>
    <row r="4" spans="2:4" ht="15" customHeight="1" x14ac:dyDescent="0.2">
      <c r="B4" s="297" t="s">
        <v>37</v>
      </c>
      <c r="C4" s="298">
        <v>3.1E-2</v>
      </c>
      <c r="D4" s="354" t="s">
        <v>38</v>
      </c>
    </row>
    <row r="5" spans="2:4" x14ac:dyDescent="0.2">
      <c r="B5" s="297" t="s">
        <v>39</v>
      </c>
      <c r="C5" s="299">
        <v>0.02</v>
      </c>
      <c r="D5" s="355"/>
    </row>
    <row r="6" spans="2:4" x14ac:dyDescent="0.2">
      <c r="B6" s="297" t="s">
        <v>40</v>
      </c>
      <c r="C6" s="300">
        <v>2022</v>
      </c>
      <c r="D6" s="355"/>
    </row>
    <row r="7" spans="2:4" x14ac:dyDescent="0.2">
      <c r="B7" s="297" t="s">
        <v>41</v>
      </c>
      <c r="C7" s="300">
        <v>2022</v>
      </c>
      <c r="D7" s="356"/>
    </row>
    <row r="8" spans="2:4" ht="13.15" customHeight="1" x14ac:dyDescent="0.2">
      <c r="B8" s="297" t="s">
        <v>42</v>
      </c>
      <c r="C8" s="301">
        <v>30</v>
      </c>
      <c r="D8" s="354" t="s">
        <v>43</v>
      </c>
    </row>
    <row r="9" spans="2:4" x14ac:dyDescent="0.2">
      <c r="B9" s="302" t="s">
        <v>44</v>
      </c>
      <c r="C9" s="303">
        <v>2029</v>
      </c>
      <c r="D9" s="355"/>
    </row>
    <row r="10" spans="2:4" x14ac:dyDescent="0.2">
      <c r="B10" s="302" t="s">
        <v>509</v>
      </c>
      <c r="C10" s="303">
        <v>2058</v>
      </c>
      <c r="D10" s="355"/>
    </row>
    <row r="11" spans="2:4" x14ac:dyDescent="0.2">
      <c r="B11" s="302" t="s">
        <v>511</v>
      </c>
      <c r="C11" s="303">
        <v>2026</v>
      </c>
      <c r="D11" s="355"/>
    </row>
    <row r="12" spans="2:4" x14ac:dyDescent="0.2">
      <c r="B12" s="302" t="s">
        <v>512</v>
      </c>
      <c r="C12" s="303">
        <v>2029</v>
      </c>
      <c r="D12" s="355"/>
    </row>
    <row r="13" spans="2:4" x14ac:dyDescent="0.2">
      <c r="B13" s="302" t="s">
        <v>503</v>
      </c>
      <c r="C13" s="303">
        <v>0.25</v>
      </c>
      <c r="D13" s="355"/>
    </row>
    <row r="14" spans="2:4" x14ac:dyDescent="0.2">
      <c r="B14" s="302" t="s">
        <v>396</v>
      </c>
      <c r="C14" s="303">
        <v>0.5</v>
      </c>
      <c r="D14" s="356"/>
    </row>
    <row r="15" spans="2:4" ht="25.5" x14ac:dyDescent="0.2">
      <c r="B15" s="304" t="s">
        <v>435</v>
      </c>
      <c r="C15" s="305">
        <v>2038</v>
      </c>
      <c r="D15" s="351" t="s">
        <v>45</v>
      </c>
    </row>
    <row r="16" spans="2:4" x14ac:dyDescent="0.2">
      <c r="B16" s="304" t="s">
        <v>196</v>
      </c>
      <c r="C16" s="305">
        <v>2048</v>
      </c>
      <c r="D16" s="352"/>
    </row>
    <row r="17" spans="2:4" ht="25.5" x14ac:dyDescent="0.2">
      <c r="B17" s="304" t="s">
        <v>436</v>
      </c>
      <c r="C17" s="305">
        <v>4</v>
      </c>
      <c r="D17" s="352"/>
    </row>
    <row r="18" spans="2:4" ht="25.5" x14ac:dyDescent="0.2">
      <c r="B18" s="304" t="s">
        <v>46</v>
      </c>
      <c r="C18" s="305">
        <f>C16+C17</f>
        <v>2052</v>
      </c>
      <c r="D18" s="353"/>
    </row>
    <row r="19" spans="2:4" x14ac:dyDescent="0.2">
      <c r="B19" s="297" t="s">
        <v>397</v>
      </c>
      <c r="C19" s="300">
        <v>-1</v>
      </c>
      <c r="D19" s="306" t="s">
        <v>672</v>
      </c>
    </row>
    <row r="20" spans="2:4" x14ac:dyDescent="0.2">
      <c r="B20" s="302" t="s">
        <v>692</v>
      </c>
      <c r="C20" s="307">
        <v>0.03</v>
      </c>
      <c r="D20" s="354" t="s">
        <v>43</v>
      </c>
    </row>
    <row r="21" spans="2:4" x14ac:dyDescent="0.2">
      <c r="B21" s="302" t="s">
        <v>700</v>
      </c>
      <c r="C21" s="305">
        <v>2024</v>
      </c>
      <c r="D21" s="356"/>
    </row>
    <row r="22" spans="2:4" x14ac:dyDescent="0.2">
      <c r="B22" s="349" t="s">
        <v>47</v>
      </c>
      <c r="C22" s="349"/>
      <c r="D22" s="349"/>
    </row>
    <row r="23" spans="2:4" ht="25.5" x14ac:dyDescent="0.2">
      <c r="B23" s="336" t="s">
        <v>48</v>
      </c>
      <c r="C23" s="308">
        <v>60</v>
      </c>
      <c r="D23" s="309" t="s">
        <v>484</v>
      </c>
    </row>
    <row r="24" spans="2:4" ht="14.45" customHeight="1" x14ac:dyDescent="0.2">
      <c r="B24" s="336" t="s">
        <v>49</v>
      </c>
      <c r="C24" s="310">
        <v>1000000</v>
      </c>
      <c r="D24" s="350" t="s">
        <v>485</v>
      </c>
    </row>
    <row r="25" spans="2:4" x14ac:dyDescent="0.2">
      <c r="B25" s="336" t="s">
        <v>451</v>
      </c>
      <c r="C25" s="310">
        <v>100000000</v>
      </c>
      <c r="D25" s="350"/>
    </row>
    <row r="26" spans="2:4" x14ac:dyDescent="0.2">
      <c r="B26" s="349" t="s">
        <v>13</v>
      </c>
      <c r="C26" s="349"/>
      <c r="D26" s="349"/>
    </row>
    <row r="27" spans="2:4" ht="25.5" x14ac:dyDescent="0.2">
      <c r="B27" s="297" t="s">
        <v>438</v>
      </c>
      <c r="C27" s="300">
        <v>2.27</v>
      </c>
      <c r="D27" s="357" t="s">
        <v>446</v>
      </c>
    </row>
    <row r="28" spans="2:4" ht="25.5" x14ac:dyDescent="0.2">
      <c r="B28" s="297" t="s">
        <v>441</v>
      </c>
      <c r="C28" s="311">
        <v>38.33</v>
      </c>
      <c r="D28" s="350"/>
    </row>
    <row r="29" spans="2:4" ht="25.5" x14ac:dyDescent="0.2">
      <c r="B29" s="297" t="s">
        <v>439</v>
      </c>
      <c r="C29" s="312">
        <v>114.5</v>
      </c>
      <c r="D29" s="350"/>
    </row>
    <row r="30" spans="2:4" ht="25.5" x14ac:dyDescent="0.2">
      <c r="B30" s="297" t="s">
        <v>440</v>
      </c>
      <c r="C30" s="313">
        <f>C29-(C27+C28)</f>
        <v>73.900000000000006</v>
      </c>
      <c r="D30" s="306" t="s">
        <v>50</v>
      </c>
    </row>
    <row r="31" spans="2:4" ht="25.5" x14ac:dyDescent="0.2">
      <c r="B31" s="297" t="s">
        <v>442</v>
      </c>
      <c r="C31" s="313">
        <v>1.61</v>
      </c>
      <c r="D31" s="350" t="s">
        <v>446</v>
      </c>
    </row>
    <row r="32" spans="2:4" ht="25.5" x14ac:dyDescent="0.2">
      <c r="B32" s="297" t="s">
        <v>443</v>
      </c>
      <c r="C32" s="313">
        <v>25.94</v>
      </c>
      <c r="D32" s="350"/>
    </row>
    <row r="33" spans="2:4" ht="25.5" x14ac:dyDescent="0.2">
      <c r="B33" s="297" t="s">
        <v>444</v>
      </c>
      <c r="C33" s="313">
        <v>109.38</v>
      </c>
      <c r="D33" s="350"/>
    </row>
    <row r="34" spans="2:4" ht="25.5" x14ac:dyDescent="0.2">
      <c r="B34" s="297" t="s">
        <v>445</v>
      </c>
      <c r="C34" s="313">
        <f>C33-(C31+C32)</f>
        <v>81.83</v>
      </c>
      <c r="D34" s="306" t="s">
        <v>50</v>
      </c>
    </row>
    <row r="35" spans="2:4" x14ac:dyDescent="0.2">
      <c r="B35" s="297" t="s">
        <v>51</v>
      </c>
      <c r="C35" s="312">
        <v>10176</v>
      </c>
      <c r="D35" s="354" t="s">
        <v>52</v>
      </c>
    </row>
    <row r="36" spans="2:4" ht="25.5" x14ac:dyDescent="0.2">
      <c r="B36" s="297" t="s">
        <v>53</v>
      </c>
      <c r="C36" s="312">
        <v>16282</v>
      </c>
      <c r="D36" s="355"/>
    </row>
    <row r="37" spans="2:4" x14ac:dyDescent="0.2">
      <c r="B37" s="297" t="s">
        <v>54</v>
      </c>
      <c r="C37" s="312">
        <v>5724</v>
      </c>
      <c r="D37" s="355"/>
    </row>
    <row r="38" spans="2:4" x14ac:dyDescent="0.2">
      <c r="B38" s="297" t="s">
        <v>55</v>
      </c>
      <c r="C38" s="312">
        <v>9158</v>
      </c>
      <c r="D38" s="356"/>
    </row>
    <row r="39" spans="2:4" ht="76.5" x14ac:dyDescent="0.2">
      <c r="B39" s="297" t="s">
        <v>428</v>
      </c>
      <c r="C39" s="314">
        <v>0.3</v>
      </c>
      <c r="D39" s="315" t="s">
        <v>429</v>
      </c>
    </row>
    <row r="40" spans="2:4" x14ac:dyDescent="0.2">
      <c r="B40" s="297" t="s">
        <v>56</v>
      </c>
      <c r="C40" s="297">
        <v>365</v>
      </c>
      <c r="D40" s="306" t="s">
        <v>704</v>
      </c>
    </row>
    <row r="41" spans="2:4" ht="25.5" x14ac:dyDescent="0.2">
      <c r="B41" s="297" t="s">
        <v>57</v>
      </c>
      <c r="C41" s="297">
        <v>260</v>
      </c>
      <c r="D41" s="306" t="s">
        <v>704</v>
      </c>
    </row>
    <row r="42" spans="2:4" x14ac:dyDescent="0.2">
      <c r="B42" s="349" t="s">
        <v>58</v>
      </c>
      <c r="C42" s="349"/>
      <c r="D42" s="349"/>
    </row>
    <row r="43" spans="2:4" x14ac:dyDescent="0.2">
      <c r="B43" s="297" t="s">
        <v>59</v>
      </c>
      <c r="C43" s="312">
        <v>70</v>
      </c>
      <c r="D43" s="306" t="s">
        <v>60</v>
      </c>
    </row>
    <row r="44" spans="2:4" ht="25.5" x14ac:dyDescent="0.2">
      <c r="B44" s="297" t="s">
        <v>61</v>
      </c>
      <c r="C44" s="312">
        <v>4</v>
      </c>
      <c r="D44" s="306" t="s">
        <v>62</v>
      </c>
    </row>
    <row r="45" spans="2:4" x14ac:dyDescent="0.2">
      <c r="B45" s="297" t="s">
        <v>63</v>
      </c>
      <c r="C45" s="316">
        <f>(C23/C43)*C44</f>
        <v>3.4285714285714284</v>
      </c>
      <c r="D45" s="306" t="s">
        <v>50</v>
      </c>
    </row>
    <row r="46" spans="2:4" x14ac:dyDescent="0.2">
      <c r="B46" s="297" t="s">
        <v>64</v>
      </c>
      <c r="C46" s="300">
        <v>8</v>
      </c>
      <c r="D46" s="306" t="s">
        <v>62</v>
      </c>
    </row>
    <row r="47" spans="2:4" x14ac:dyDescent="0.2">
      <c r="B47" s="297" t="s">
        <v>65</v>
      </c>
      <c r="C47" s="300">
        <v>11</v>
      </c>
      <c r="D47" s="306" t="s">
        <v>62</v>
      </c>
    </row>
    <row r="48" spans="2:4" ht="12.75" customHeight="1" x14ac:dyDescent="0.2">
      <c r="B48" s="297" t="s">
        <v>66</v>
      </c>
      <c r="C48" s="317">
        <v>19.600000000000001</v>
      </c>
      <c r="D48" s="348" t="s">
        <v>38</v>
      </c>
    </row>
    <row r="49" spans="2:4" ht="12.75" customHeight="1" x14ac:dyDescent="0.2">
      <c r="B49" s="297" t="s">
        <v>67</v>
      </c>
      <c r="C49" s="317">
        <v>33.5</v>
      </c>
      <c r="D49" s="348"/>
    </row>
    <row r="50" spans="2:4" ht="12.75" customHeight="1" x14ac:dyDescent="0.2">
      <c r="B50" s="297" t="s">
        <v>68</v>
      </c>
      <c r="C50" s="317">
        <v>0.52</v>
      </c>
      <c r="D50" s="348"/>
    </row>
    <row r="51" spans="2:4" ht="12.75" customHeight="1" x14ac:dyDescent="0.2">
      <c r="B51" s="297" t="s">
        <v>69</v>
      </c>
      <c r="C51" s="317">
        <v>1.32</v>
      </c>
      <c r="D51" s="348"/>
    </row>
    <row r="52" spans="2:4" ht="12.75" customHeight="1" x14ac:dyDescent="0.2">
      <c r="B52" s="297" t="s">
        <v>70</v>
      </c>
      <c r="C52" s="317">
        <v>9100</v>
      </c>
      <c r="D52" s="348"/>
    </row>
    <row r="53" spans="2:4" ht="12.75" customHeight="1" x14ac:dyDescent="0.2">
      <c r="B53" s="297" t="s">
        <v>71</v>
      </c>
      <c r="C53" s="317">
        <v>313000</v>
      </c>
      <c r="D53" s="348"/>
    </row>
    <row r="54" spans="2:4" ht="12.75" customHeight="1" x14ac:dyDescent="0.2">
      <c r="B54" s="297" t="s">
        <v>72</v>
      </c>
      <c r="C54" s="318">
        <v>14022900</v>
      </c>
      <c r="D54" s="348"/>
    </row>
    <row r="55" spans="2:4" ht="63.75" x14ac:dyDescent="0.2">
      <c r="B55" s="337" t="s">
        <v>73</v>
      </c>
      <c r="C55" s="317">
        <v>0</v>
      </c>
      <c r="D55" s="306" t="s">
        <v>74</v>
      </c>
    </row>
    <row r="56" spans="2:4" ht="25.5" x14ac:dyDescent="0.2">
      <c r="B56" s="337" t="s">
        <v>75</v>
      </c>
      <c r="C56" s="319">
        <f>(C55*Deflator!C89)/Deflator!C67</f>
        <v>0</v>
      </c>
      <c r="D56" s="306" t="s">
        <v>76</v>
      </c>
    </row>
    <row r="57" spans="2:4" ht="63.75" x14ac:dyDescent="0.2">
      <c r="B57" s="320" t="s">
        <v>77</v>
      </c>
      <c r="C57" s="321">
        <v>5.6000000000000001E-2</v>
      </c>
      <c r="D57" s="306" t="s">
        <v>74</v>
      </c>
    </row>
    <row r="58" spans="2:4" ht="25.5" x14ac:dyDescent="0.2">
      <c r="B58" s="337" t="s">
        <v>78</v>
      </c>
      <c r="C58" s="321">
        <f>(C57*Deflator!C89)/Deflator!C67</f>
        <v>9.0027268971216101E-2</v>
      </c>
      <c r="D58" s="306" t="s">
        <v>76</v>
      </c>
    </row>
    <row r="59" spans="2:4" ht="12.75" customHeight="1" x14ac:dyDescent="0.2">
      <c r="B59" s="337" t="s">
        <v>79</v>
      </c>
      <c r="C59" s="321">
        <v>2.9000000000000001E-2</v>
      </c>
      <c r="D59" s="348" t="s">
        <v>38</v>
      </c>
    </row>
    <row r="60" spans="2:4" ht="12.75" customHeight="1" x14ac:dyDescent="0.2">
      <c r="B60" s="337" t="s">
        <v>80</v>
      </c>
      <c r="C60" s="321">
        <v>7.4999999999999997E-2</v>
      </c>
      <c r="D60" s="348"/>
    </row>
    <row r="61" spans="2:4" ht="12.75" customHeight="1" x14ac:dyDescent="0.2">
      <c r="B61" s="337" t="s">
        <v>81</v>
      </c>
      <c r="C61" s="321">
        <v>2.0000000000000001E-4</v>
      </c>
      <c r="D61" s="348"/>
    </row>
    <row r="62" spans="2:4" ht="12.75" customHeight="1" x14ac:dyDescent="0.2">
      <c r="B62" s="337" t="s">
        <v>82</v>
      </c>
      <c r="C62" s="319">
        <v>3.7000000000000002E-3</v>
      </c>
      <c r="D62" s="348"/>
    </row>
    <row r="63" spans="2:4" x14ac:dyDescent="0.2">
      <c r="B63" s="349" t="s">
        <v>83</v>
      </c>
      <c r="C63" s="349"/>
      <c r="D63" s="349"/>
    </row>
    <row r="64" spans="2:4" ht="25.5" x14ac:dyDescent="0.2">
      <c r="B64" s="297" t="s">
        <v>84</v>
      </c>
      <c r="C64" s="300">
        <v>9.9999999999999995E-7</v>
      </c>
      <c r="D64" s="306" t="s">
        <v>85</v>
      </c>
    </row>
    <row r="65" spans="2:4" ht="25.5" x14ac:dyDescent="0.2">
      <c r="B65" s="297" t="s">
        <v>563</v>
      </c>
      <c r="C65" s="300">
        <v>1E-3</v>
      </c>
      <c r="D65" s="306" t="s">
        <v>564</v>
      </c>
    </row>
    <row r="66" spans="2:4" ht="25.5" x14ac:dyDescent="0.2">
      <c r="B66" s="297" t="s">
        <v>86</v>
      </c>
      <c r="C66" s="300">
        <v>1.034</v>
      </c>
      <c r="D66" s="306" t="s">
        <v>505</v>
      </c>
    </row>
    <row r="67" spans="2:4" ht="51" x14ac:dyDescent="0.2">
      <c r="B67" s="297" t="s">
        <v>87</v>
      </c>
      <c r="C67" s="322">
        <v>27500</v>
      </c>
      <c r="D67" s="306" t="s">
        <v>88</v>
      </c>
    </row>
    <row r="68" spans="2:4" x14ac:dyDescent="0.2">
      <c r="B68" s="297" t="s">
        <v>89</v>
      </c>
      <c r="C68" s="322">
        <f>(C67*Deflator!C89)/Deflator!C82</f>
        <v>32903.597785977858</v>
      </c>
      <c r="D68" s="306" t="s">
        <v>90</v>
      </c>
    </row>
    <row r="69" spans="2:4" ht="13.15" customHeight="1" x14ac:dyDescent="0.2">
      <c r="B69" s="338" t="s">
        <v>565</v>
      </c>
      <c r="C69" s="323">
        <v>0.45500000000000002</v>
      </c>
      <c r="D69" s="324" t="s">
        <v>91</v>
      </c>
    </row>
    <row r="70" spans="2:4" x14ac:dyDescent="0.2">
      <c r="B70" s="349" t="s">
        <v>11</v>
      </c>
      <c r="C70" s="349"/>
      <c r="D70" s="349"/>
    </row>
    <row r="71" spans="2:4" ht="25.5" x14ac:dyDescent="0.2">
      <c r="B71" s="297" t="s">
        <v>92</v>
      </c>
      <c r="C71" s="300">
        <v>60</v>
      </c>
      <c r="D71" s="306" t="s">
        <v>93</v>
      </c>
    </row>
    <row r="72" spans="2:4" ht="25.5" x14ac:dyDescent="0.2">
      <c r="B72" s="297" t="s">
        <v>94</v>
      </c>
      <c r="C72" s="300">
        <v>60</v>
      </c>
      <c r="D72" s="306" t="s">
        <v>93</v>
      </c>
    </row>
    <row r="73" spans="2:4" ht="25.5" x14ac:dyDescent="0.2">
      <c r="B73" s="297" t="s">
        <v>95</v>
      </c>
      <c r="C73" s="300">
        <v>75</v>
      </c>
      <c r="D73" s="325" t="s">
        <v>96</v>
      </c>
    </row>
    <row r="74" spans="2:4" x14ac:dyDescent="0.2">
      <c r="B74" s="349" t="s">
        <v>97</v>
      </c>
      <c r="C74" s="349"/>
      <c r="D74" s="349"/>
    </row>
    <row r="75" spans="2:4" ht="28.5" x14ac:dyDescent="0.2">
      <c r="B75" s="297" t="s">
        <v>98</v>
      </c>
      <c r="C75" s="300">
        <v>0.95</v>
      </c>
      <c r="D75" s="326" t="s">
        <v>99</v>
      </c>
    </row>
    <row r="76" spans="2:4" x14ac:dyDescent="0.2">
      <c r="B76" s="349" t="s">
        <v>392</v>
      </c>
      <c r="C76" s="349"/>
      <c r="D76" s="349"/>
    </row>
    <row r="77" spans="2:4" ht="25.5" x14ac:dyDescent="0.2">
      <c r="B77" s="297" t="s">
        <v>101</v>
      </c>
      <c r="C77" s="322">
        <v>12500000</v>
      </c>
      <c r="D77" s="306" t="s">
        <v>38</v>
      </c>
    </row>
    <row r="78" spans="2:4" ht="25.5" x14ac:dyDescent="0.2">
      <c r="B78" s="327" t="s">
        <v>100</v>
      </c>
      <c r="C78" s="328">
        <v>58.5</v>
      </c>
      <c r="D78" s="350" t="s">
        <v>406</v>
      </c>
    </row>
    <row r="79" spans="2:4" ht="25.5" x14ac:dyDescent="0.2">
      <c r="B79" s="327" t="s">
        <v>102</v>
      </c>
      <c r="C79" s="328">
        <v>8</v>
      </c>
      <c r="D79" s="350"/>
    </row>
    <row r="80" spans="2:4" x14ac:dyDescent="0.2">
      <c r="B80" s="327" t="s">
        <v>103</v>
      </c>
      <c r="C80" s="328" t="s">
        <v>104</v>
      </c>
      <c r="D80" s="350"/>
    </row>
    <row r="81" spans="2:4" ht="165.75" x14ac:dyDescent="0.2">
      <c r="B81" s="297" t="s">
        <v>458</v>
      </c>
      <c r="C81" s="301">
        <v>25.4</v>
      </c>
      <c r="D81" s="315" t="s">
        <v>407</v>
      </c>
    </row>
    <row r="82" spans="2:4" ht="178.5" x14ac:dyDescent="0.2">
      <c r="B82" s="297" t="s">
        <v>459</v>
      </c>
      <c r="C82" s="301">
        <v>31.9</v>
      </c>
      <c r="D82" s="329" t="s">
        <v>408</v>
      </c>
    </row>
    <row r="83" spans="2:4" ht="38.25" x14ac:dyDescent="0.2">
      <c r="B83" s="302" t="s">
        <v>460</v>
      </c>
      <c r="C83" s="305">
        <v>338</v>
      </c>
      <c r="D83" s="329" t="s">
        <v>461</v>
      </c>
    </row>
    <row r="84" spans="2:4" ht="13.5" customHeight="1" x14ac:dyDescent="0.2">
      <c r="B84" s="349" t="s">
        <v>10</v>
      </c>
      <c r="C84" s="349"/>
      <c r="D84" s="349"/>
    </row>
    <row r="85" spans="2:4" ht="25.5" x14ac:dyDescent="0.2">
      <c r="B85" s="339" t="s">
        <v>410</v>
      </c>
      <c r="C85" s="330">
        <v>40000</v>
      </c>
      <c r="D85" s="351" t="s">
        <v>419</v>
      </c>
    </row>
    <row r="86" spans="2:4" ht="25.5" x14ac:dyDescent="0.2">
      <c r="B86" s="304" t="s">
        <v>411</v>
      </c>
      <c r="C86" s="330">
        <v>5000</v>
      </c>
      <c r="D86" s="352"/>
    </row>
    <row r="87" spans="2:4" ht="25.5" x14ac:dyDescent="0.2">
      <c r="B87" s="304" t="s">
        <v>420</v>
      </c>
      <c r="C87" s="331">
        <v>10000</v>
      </c>
      <c r="D87" s="352"/>
    </row>
    <row r="88" spans="2:4" ht="25.5" x14ac:dyDescent="0.2">
      <c r="B88" s="304" t="s">
        <v>421</v>
      </c>
      <c r="C88" s="331">
        <v>20000</v>
      </c>
      <c r="D88" s="352"/>
    </row>
    <row r="89" spans="2:4" x14ac:dyDescent="0.2">
      <c r="B89" s="304" t="s">
        <v>412</v>
      </c>
      <c r="C89" s="330">
        <v>30000000</v>
      </c>
      <c r="D89" s="352"/>
    </row>
    <row r="90" spans="2:4" ht="25.5" x14ac:dyDescent="0.2">
      <c r="B90" s="304" t="s">
        <v>413</v>
      </c>
      <c r="C90" s="330">
        <v>30000000</v>
      </c>
      <c r="D90" s="353"/>
    </row>
    <row r="91" spans="2:4" ht="25.5" x14ac:dyDescent="0.2">
      <c r="B91" s="339" t="s">
        <v>414</v>
      </c>
      <c r="C91" s="331">
        <f>C85/Deflator!$C$91*Deflator!$C$89</f>
        <v>37255.246150163563</v>
      </c>
      <c r="D91" s="351" t="s">
        <v>76</v>
      </c>
    </row>
    <row r="92" spans="2:4" ht="25.5" x14ac:dyDescent="0.2">
      <c r="B92" s="304" t="s">
        <v>415</v>
      </c>
      <c r="C92" s="331">
        <f>C86/Deflator!$C$91*Deflator!$C$89</f>
        <v>4656.9057687704453</v>
      </c>
      <c r="D92" s="352"/>
    </row>
    <row r="93" spans="2:4" ht="25.5" x14ac:dyDescent="0.2">
      <c r="B93" s="304" t="s">
        <v>422</v>
      </c>
      <c r="C93" s="331">
        <f>C87/Deflator!$C$91*Deflator!$C$89</f>
        <v>9313.8115375408906</v>
      </c>
      <c r="D93" s="352"/>
    </row>
    <row r="94" spans="2:4" ht="25.5" x14ac:dyDescent="0.2">
      <c r="B94" s="304" t="s">
        <v>423</v>
      </c>
      <c r="C94" s="331">
        <f>C88/Deflator!$C$91*Deflator!$C$89</f>
        <v>18627.623075081781</v>
      </c>
      <c r="D94" s="352"/>
    </row>
    <row r="95" spans="2:4" x14ac:dyDescent="0.2">
      <c r="B95" s="304" t="s">
        <v>417</v>
      </c>
      <c r="C95" s="331">
        <f>C89/Deflator!$C$91*Deflator!$C$89</f>
        <v>27941434.612622675</v>
      </c>
      <c r="D95" s="352"/>
    </row>
    <row r="96" spans="2:4" ht="25.5" x14ac:dyDescent="0.2">
      <c r="B96" s="304" t="s">
        <v>418</v>
      </c>
      <c r="C96" s="331">
        <f>C90/Deflator!$C$91*Deflator!$C$89</f>
        <v>27941434.612622675</v>
      </c>
      <c r="D96" s="353"/>
    </row>
    <row r="97" spans="2:4" x14ac:dyDescent="0.2">
      <c r="B97" s="349" t="s">
        <v>26</v>
      </c>
      <c r="C97" s="349"/>
      <c r="D97" s="349"/>
    </row>
    <row r="98" spans="2:4" ht="27" customHeight="1" x14ac:dyDescent="0.2">
      <c r="B98" s="304" t="s">
        <v>411</v>
      </c>
      <c r="C98" s="330">
        <v>5000</v>
      </c>
      <c r="D98" s="351" t="s">
        <v>419</v>
      </c>
    </row>
    <row r="99" spans="2:4" x14ac:dyDescent="0.2">
      <c r="B99" s="304" t="s">
        <v>486</v>
      </c>
      <c r="C99" s="331">
        <v>10000</v>
      </c>
      <c r="D99" s="352"/>
    </row>
    <row r="100" spans="2:4" ht="25.5" x14ac:dyDescent="0.2">
      <c r="B100" s="304" t="s">
        <v>421</v>
      </c>
      <c r="C100" s="331">
        <v>20000</v>
      </c>
      <c r="D100" s="352"/>
    </row>
    <row r="101" spans="2:4" x14ac:dyDescent="0.2">
      <c r="B101" s="304" t="s">
        <v>487</v>
      </c>
      <c r="C101" s="331">
        <v>250000</v>
      </c>
      <c r="D101" s="353"/>
    </row>
    <row r="102" spans="2:4" ht="25.5" x14ac:dyDescent="0.2">
      <c r="B102" s="304" t="s">
        <v>415</v>
      </c>
      <c r="C102" s="331">
        <f>C98/Deflator!$C$91*Deflator!$C$89</f>
        <v>4656.9057687704453</v>
      </c>
      <c r="D102" s="351" t="s">
        <v>76</v>
      </c>
    </row>
    <row r="103" spans="2:4" ht="25.5" x14ac:dyDescent="0.2">
      <c r="B103" s="304" t="s">
        <v>422</v>
      </c>
      <c r="C103" s="331">
        <f>C99/Deflator!$C$91*Deflator!$C$89</f>
        <v>9313.8115375408906</v>
      </c>
      <c r="D103" s="352"/>
    </row>
    <row r="104" spans="2:4" ht="25.5" x14ac:dyDescent="0.2">
      <c r="B104" s="304" t="s">
        <v>423</v>
      </c>
      <c r="C104" s="331">
        <f>C100/Deflator!$C$91*Deflator!$C$89</f>
        <v>18627.623075081781</v>
      </c>
      <c r="D104" s="352"/>
    </row>
    <row r="105" spans="2:4" x14ac:dyDescent="0.2">
      <c r="B105" s="304" t="s">
        <v>430</v>
      </c>
      <c r="C105" s="331">
        <f>C101/Deflator!$C$91*Deflator!$C$89</f>
        <v>232845.28843852229</v>
      </c>
      <c r="D105" s="353"/>
    </row>
    <row r="106" spans="2:4" x14ac:dyDescent="0.2">
      <c r="B106" s="349" t="s">
        <v>393</v>
      </c>
      <c r="C106" s="349"/>
      <c r="D106" s="349"/>
    </row>
    <row r="107" spans="2:4" ht="12.75" customHeight="1" x14ac:dyDescent="0.2">
      <c r="B107" s="297" t="s">
        <v>394</v>
      </c>
      <c r="C107" s="300">
        <v>2026</v>
      </c>
      <c r="D107" s="348" t="s">
        <v>43</v>
      </c>
    </row>
    <row r="108" spans="2:4" ht="12.75" customHeight="1" x14ac:dyDescent="0.2">
      <c r="B108" s="297" t="s">
        <v>395</v>
      </c>
      <c r="C108" s="300">
        <v>2029</v>
      </c>
      <c r="D108" s="348"/>
    </row>
    <row r="109" spans="2:4" ht="38.25" x14ac:dyDescent="0.2">
      <c r="B109" s="297" t="s">
        <v>398</v>
      </c>
      <c r="C109" s="300">
        <v>55</v>
      </c>
      <c r="D109" s="309" t="s">
        <v>405</v>
      </c>
    </row>
    <row r="110" spans="2:4" ht="13.15" customHeight="1" x14ac:dyDescent="0.2">
      <c r="B110" s="297" t="s">
        <v>491</v>
      </c>
      <c r="C110" s="300">
        <v>70</v>
      </c>
      <c r="D110" s="325" t="s">
        <v>492</v>
      </c>
    </row>
    <row r="111" spans="2:4" ht="51" x14ac:dyDescent="0.2">
      <c r="B111" s="297" t="s">
        <v>402</v>
      </c>
      <c r="C111" s="300">
        <v>0.28999999999999998</v>
      </c>
      <c r="D111" s="332" t="s">
        <v>473</v>
      </c>
    </row>
    <row r="112" spans="2:4" x14ac:dyDescent="0.2">
      <c r="B112" s="297" t="s">
        <v>399</v>
      </c>
      <c r="C112" s="300">
        <v>4</v>
      </c>
      <c r="D112" s="306" t="s">
        <v>546</v>
      </c>
    </row>
    <row r="113" spans="2:4" ht="38.25" x14ac:dyDescent="0.2">
      <c r="B113" s="297" t="s">
        <v>523</v>
      </c>
      <c r="C113" s="300">
        <v>0.78</v>
      </c>
      <c r="D113" s="333" t="s">
        <v>547</v>
      </c>
    </row>
  </sheetData>
  <sheetProtection algorithmName="SHA-512" hashValue="rFn7gvMjmxN+fcn4p5OSOs+W7bwDDJPV51XwWr4sExyPsfchFdIACxMnHgiTgb5QdU8CycSaLB1cSApM+OJU3Q==" saltValue="4VPjlCcSoZSAyL5OLF0Fpw==" spinCount="100000" sheet="1" objects="1" scenarios="1"/>
  <mergeCells count="27">
    <mergeCell ref="B106:D106"/>
    <mergeCell ref="D107:D108"/>
    <mergeCell ref="B84:D84"/>
    <mergeCell ref="B74:D74"/>
    <mergeCell ref="B76:D76"/>
    <mergeCell ref="D98:D101"/>
    <mergeCell ref="D102:D105"/>
    <mergeCell ref="B3:D3"/>
    <mergeCell ref="D4:D7"/>
    <mergeCell ref="B26:D26"/>
    <mergeCell ref="B42:D42"/>
    <mergeCell ref="B22:D22"/>
    <mergeCell ref="D15:D18"/>
    <mergeCell ref="D35:D38"/>
    <mergeCell ref="D27:D29"/>
    <mergeCell ref="D31:D33"/>
    <mergeCell ref="D24:D25"/>
    <mergeCell ref="D8:D14"/>
    <mergeCell ref="D20:D21"/>
    <mergeCell ref="D48:D54"/>
    <mergeCell ref="D59:D62"/>
    <mergeCell ref="B97:D97"/>
    <mergeCell ref="D78:D80"/>
    <mergeCell ref="D85:D90"/>
    <mergeCell ref="D91:D96"/>
    <mergeCell ref="B63:D63"/>
    <mergeCell ref="B70:D70"/>
  </mergeCells>
  <phoneticPr fontId="9" type="noConversion"/>
  <hyperlinks>
    <hyperlink ref="D73" r:id="rId1" xr:uid="{DF08BE48-67D3-40BB-B9D5-3D86AAAFAA18}"/>
    <hyperlink ref="D113" r:id="rId2" xr:uid="{7417E05D-04EA-4894-8F6A-F6FA69002DAD}"/>
    <hyperlink ref="D27" r:id="rId3" xr:uid="{39AE237F-CFC3-4145-A6E1-1713AF407F28}"/>
    <hyperlink ref="D110" r:id="rId4" xr:uid="{0F5B4BD6-8A3E-4347-B8EA-87489B6AACB5}"/>
    <hyperlink ref="D75" r:id="rId5" xr:uid="{A7FF0B72-E737-44D6-8442-D1AD83BAFCC5}"/>
  </hyperlinks>
  <pageMargins left="0.7" right="0.7" top="0.75" bottom="0.75" header="0.3" footer="0.3"/>
  <pageSetup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4EBE-E735-401B-98AB-F77F6FF75CC5}">
  <sheetPr>
    <tabColor theme="0"/>
  </sheetPr>
  <dimension ref="B2:F47"/>
  <sheetViews>
    <sheetView zoomScaleNormal="100" workbookViewId="0">
      <selection activeCell="A5" sqref="A5"/>
    </sheetView>
  </sheetViews>
  <sheetFormatPr defaultColWidth="8.625" defaultRowHeight="13.5" x14ac:dyDescent="0.25"/>
  <cols>
    <col min="1" max="1" width="8.625" style="5"/>
    <col min="2" max="2" width="31" style="5" customWidth="1"/>
    <col min="3" max="6" width="11.375" style="5" customWidth="1"/>
    <col min="7" max="16384" width="8.625" style="5"/>
  </cols>
  <sheetData>
    <row r="2" spans="2:6" ht="27" x14ac:dyDescent="0.25">
      <c r="B2" s="3" t="s">
        <v>105</v>
      </c>
      <c r="C2" s="4" t="s">
        <v>106</v>
      </c>
      <c r="D2" s="4" t="s">
        <v>107</v>
      </c>
      <c r="E2" s="4" t="s">
        <v>108</v>
      </c>
      <c r="F2" s="4" t="s">
        <v>109</v>
      </c>
    </row>
    <row r="3" spans="2:6" x14ac:dyDescent="0.25">
      <c r="B3" s="6">
        <v>2021</v>
      </c>
      <c r="C3" s="7"/>
      <c r="D3" s="7"/>
      <c r="E3" s="8"/>
      <c r="F3" s="9"/>
    </row>
    <row r="4" spans="2:6" x14ac:dyDescent="0.25">
      <c r="B4" s="6">
        <v>2022</v>
      </c>
      <c r="C4" s="7"/>
      <c r="D4" s="7"/>
      <c r="E4" s="8"/>
      <c r="F4" s="9"/>
    </row>
    <row r="5" spans="2:6" x14ac:dyDescent="0.25">
      <c r="B5" s="6">
        <v>2023</v>
      </c>
      <c r="C5" s="10">
        <v>19800</v>
      </c>
      <c r="D5" s="10">
        <v>52900</v>
      </c>
      <c r="E5" s="10">
        <v>951000</v>
      </c>
      <c r="F5" s="11">
        <v>228</v>
      </c>
    </row>
    <row r="6" spans="2:6" x14ac:dyDescent="0.25">
      <c r="B6" s="6">
        <v>2024</v>
      </c>
      <c r="C6" s="10">
        <v>20100</v>
      </c>
      <c r="D6" s="10">
        <v>23800</v>
      </c>
      <c r="E6" s="10">
        <v>963200</v>
      </c>
      <c r="F6" s="11">
        <v>233</v>
      </c>
    </row>
    <row r="7" spans="2:6" x14ac:dyDescent="0.25">
      <c r="B7" s="6">
        <v>2025</v>
      </c>
      <c r="C7" s="10">
        <v>20300</v>
      </c>
      <c r="D7" s="10">
        <v>54800</v>
      </c>
      <c r="E7" s="10">
        <v>975500</v>
      </c>
      <c r="F7" s="11">
        <v>237</v>
      </c>
    </row>
    <row r="8" spans="2:6" x14ac:dyDescent="0.25">
      <c r="B8" s="6">
        <v>2026</v>
      </c>
      <c r="C8" s="10">
        <v>20600</v>
      </c>
      <c r="D8" s="10">
        <v>56100</v>
      </c>
      <c r="E8" s="10">
        <v>993500</v>
      </c>
      <c r="F8" s="11">
        <v>241</v>
      </c>
    </row>
    <row r="9" spans="2:6" x14ac:dyDescent="0.25">
      <c r="B9" s="6">
        <v>2027</v>
      </c>
      <c r="C9" s="10">
        <v>21000</v>
      </c>
      <c r="D9" s="10">
        <v>57400</v>
      </c>
      <c r="E9" s="10">
        <v>1011900</v>
      </c>
      <c r="F9" s="11">
        <v>245</v>
      </c>
    </row>
    <row r="10" spans="2:6" x14ac:dyDescent="0.25">
      <c r="B10" s="6">
        <v>2028</v>
      </c>
      <c r="C10" s="10">
        <v>21300</v>
      </c>
      <c r="D10" s="10">
        <v>58700</v>
      </c>
      <c r="E10" s="10">
        <v>1030600</v>
      </c>
      <c r="F10" s="11">
        <v>250</v>
      </c>
    </row>
    <row r="11" spans="2:6" x14ac:dyDescent="0.25">
      <c r="B11" s="6">
        <v>2029</v>
      </c>
      <c r="C11" s="10">
        <v>21700</v>
      </c>
      <c r="D11" s="10">
        <v>60100</v>
      </c>
      <c r="E11" s="10">
        <v>1069000</v>
      </c>
      <c r="F11" s="11">
        <v>253</v>
      </c>
    </row>
    <row r="12" spans="2:6" x14ac:dyDescent="0.25">
      <c r="B12" s="6">
        <v>2030</v>
      </c>
      <c r="C12" s="10">
        <v>22000</v>
      </c>
      <c r="D12" s="10">
        <v>61500</v>
      </c>
      <c r="E12" s="10">
        <v>1069000</v>
      </c>
      <c r="F12" s="11">
        <v>257</v>
      </c>
    </row>
    <row r="13" spans="2:6" x14ac:dyDescent="0.25">
      <c r="B13" s="6">
        <v>2031</v>
      </c>
      <c r="C13" s="10">
        <v>22000</v>
      </c>
      <c r="D13" s="10">
        <v>61500</v>
      </c>
      <c r="E13" s="10">
        <v>1069000</v>
      </c>
      <c r="F13" s="11">
        <v>262</v>
      </c>
    </row>
    <row r="14" spans="2:6" x14ac:dyDescent="0.25">
      <c r="B14" s="6">
        <v>2032</v>
      </c>
      <c r="C14" s="10">
        <v>22000</v>
      </c>
      <c r="D14" s="10">
        <v>61500</v>
      </c>
      <c r="E14" s="10">
        <v>1069000</v>
      </c>
      <c r="F14" s="11">
        <v>265</v>
      </c>
    </row>
    <row r="15" spans="2:6" x14ac:dyDescent="0.25">
      <c r="B15" s="6">
        <v>2033</v>
      </c>
      <c r="C15" s="10">
        <v>22000</v>
      </c>
      <c r="D15" s="10">
        <v>61500</v>
      </c>
      <c r="E15" s="10">
        <v>1069000</v>
      </c>
      <c r="F15" s="11">
        <v>270</v>
      </c>
    </row>
    <row r="16" spans="2:6" x14ac:dyDescent="0.25">
      <c r="B16" s="6">
        <v>2034</v>
      </c>
      <c r="C16" s="10">
        <v>22000</v>
      </c>
      <c r="D16" s="10">
        <v>61500</v>
      </c>
      <c r="E16" s="10">
        <v>1069000</v>
      </c>
      <c r="F16" s="11">
        <v>274</v>
      </c>
    </row>
    <row r="17" spans="2:6" x14ac:dyDescent="0.25">
      <c r="B17" s="6">
        <v>2035</v>
      </c>
      <c r="C17" s="10">
        <v>22000</v>
      </c>
      <c r="D17" s="10">
        <v>61500</v>
      </c>
      <c r="E17" s="10">
        <v>1069000</v>
      </c>
      <c r="F17" s="11">
        <v>278</v>
      </c>
    </row>
    <row r="18" spans="2:6" x14ac:dyDescent="0.25">
      <c r="B18" s="6">
        <v>2036</v>
      </c>
      <c r="C18" s="10">
        <v>22000</v>
      </c>
      <c r="D18" s="10">
        <v>61500</v>
      </c>
      <c r="E18" s="10">
        <v>1069000</v>
      </c>
      <c r="F18" s="11">
        <v>282</v>
      </c>
    </row>
    <row r="19" spans="2:6" x14ac:dyDescent="0.25">
      <c r="B19" s="6">
        <v>2037</v>
      </c>
      <c r="C19" s="10">
        <v>22000</v>
      </c>
      <c r="D19" s="10">
        <v>61500</v>
      </c>
      <c r="E19" s="10">
        <v>1069000</v>
      </c>
      <c r="F19" s="11">
        <v>287</v>
      </c>
    </row>
    <row r="20" spans="2:6" x14ac:dyDescent="0.25">
      <c r="B20" s="6">
        <v>2038</v>
      </c>
      <c r="C20" s="10">
        <v>22000</v>
      </c>
      <c r="D20" s="10">
        <v>61500</v>
      </c>
      <c r="E20" s="10">
        <v>1069000</v>
      </c>
      <c r="F20" s="11">
        <v>290</v>
      </c>
    </row>
    <row r="21" spans="2:6" x14ac:dyDescent="0.25">
      <c r="B21" s="6">
        <v>2039</v>
      </c>
      <c r="C21" s="10">
        <v>22000</v>
      </c>
      <c r="D21" s="10">
        <v>61500</v>
      </c>
      <c r="E21" s="10">
        <v>1069000</v>
      </c>
      <c r="F21" s="11">
        <v>294</v>
      </c>
    </row>
    <row r="22" spans="2:6" x14ac:dyDescent="0.25">
      <c r="B22" s="6">
        <v>2040</v>
      </c>
      <c r="C22" s="10">
        <v>22000</v>
      </c>
      <c r="D22" s="10">
        <v>61500</v>
      </c>
      <c r="E22" s="10">
        <v>1069000</v>
      </c>
      <c r="F22" s="11">
        <v>299</v>
      </c>
    </row>
    <row r="23" spans="2:6" x14ac:dyDescent="0.25">
      <c r="B23" s="6">
        <v>2041</v>
      </c>
      <c r="C23" s="10">
        <v>22000</v>
      </c>
      <c r="D23" s="10">
        <v>61500</v>
      </c>
      <c r="E23" s="10">
        <v>1069000</v>
      </c>
      <c r="F23" s="11">
        <v>303</v>
      </c>
    </row>
    <row r="24" spans="2:6" x14ac:dyDescent="0.25">
      <c r="B24" s="6">
        <v>2042</v>
      </c>
      <c r="C24" s="10">
        <v>22000</v>
      </c>
      <c r="D24" s="10">
        <v>61500</v>
      </c>
      <c r="E24" s="10">
        <v>1069000</v>
      </c>
      <c r="F24" s="11">
        <v>308</v>
      </c>
    </row>
    <row r="25" spans="2:6" x14ac:dyDescent="0.25">
      <c r="B25" s="6">
        <v>2043</v>
      </c>
      <c r="C25" s="10">
        <v>22000</v>
      </c>
      <c r="D25" s="10">
        <v>61500</v>
      </c>
      <c r="E25" s="10">
        <v>1069000</v>
      </c>
      <c r="F25" s="11">
        <v>312</v>
      </c>
    </row>
    <row r="26" spans="2:6" x14ac:dyDescent="0.25">
      <c r="B26" s="6">
        <v>2044</v>
      </c>
      <c r="C26" s="10">
        <v>22000</v>
      </c>
      <c r="D26" s="10">
        <v>61500</v>
      </c>
      <c r="E26" s="10">
        <v>1069000</v>
      </c>
      <c r="F26" s="11">
        <v>317</v>
      </c>
    </row>
    <row r="27" spans="2:6" x14ac:dyDescent="0.25">
      <c r="B27" s="6">
        <v>2045</v>
      </c>
      <c r="C27" s="10">
        <v>22000</v>
      </c>
      <c r="D27" s="10">
        <v>61500</v>
      </c>
      <c r="E27" s="10">
        <v>1069000</v>
      </c>
      <c r="F27" s="11">
        <v>321</v>
      </c>
    </row>
    <row r="28" spans="2:6" x14ac:dyDescent="0.25">
      <c r="B28" s="6">
        <v>2046</v>
      </c>
      <c r="C28" s="10">
        <v>22000</v>
      </c>
      <c r="D28" s="10">
        <v>61500</v>
      </c>
      <c r="E28" s="10">
        <v>1069000</v>
      </c>
      <c r="F28" s="11">
        <v>326</v>
      </c>
    </row>
    <row r="29" spans="2:6" x14ac:dyDescent="0.25">
      <c r="B29" s="6">
        <v>2047</v>
      </c>
      <c r="C29" s="10">
        <v>22000</v>
      </c>
      <c r="D29" s="10">
        <v>61500</v>
      </c>
      <c r="E29" s="10">
        <v>1069000</v>
      </c>
      <c r="F29" s="11">
        <v>331</v>
      </c>
    </row>
    <row r="30" spans="2:6" x14ac:dyDescent="0.25">
      <c r="B30" s="6">
        <v>2048</v>
      </c>
      <c r="C30" s="10">
        <v>22000</v>
      </c>
      <c r="D30" s="10">
        <v>61500</v>
      </c>
      <c r="E30" s="10">
        <v>1069000</v>
      </c>
      <c r="F30" s="11">
        <v>336</v>
      </c>
    </row>
    <row r="31" spans="2:6" x14ac:dyDescent="0.25">
      <c r="B31" s="6">
        <v>2049</v>
      </c>
      <c r="C31" s="10">
        <v>22000</v>
      </c>
      <c r="D31" s="10">
        <v>61500</v>
      </c>
      <c r="E31" s="10">
        <v>1069000</v>
      </c>
      <c r="F31" s="11">
        <v>340</v>
      </c>
    </row>
    <row r="32" spans="2:6" x14ac:dyDescent="0.25">
      <c r="B32" s="6">
        <v>2050</v>
      </c>
      <c r="C32" s="10">
        <v>22000</v>
      </c>
      <c r="D32" s="10">
        <v>61500</v>
      </c>
      <c r="E32" s="10">
        <v>1069000</v>
      </c>
      <c r="F32" s="11">
        <v>345</v>
      </c>
    </row>
    <row r="33" spans="2:6" x14ac:dyDescent="0.25">
      <c r="B33" s="6">
        <v>2051</v>
      </c>
      <c r="C33" s="10">
        <v>22000</v>
      </c>
      <c r="D33" s="10">
        <v>61500</v>
      </c>
      <c r="E33" s="10">
        <v>1069000</v>
      </c>
      <c r="F33" s="11">
        <v>349</v>
      </c>
    </row>
    <row r="34" spans="2:6" x14ac:dyDescent="0.25">
      <c r="B34" s="6">
        <v>2052</v>
      </c>
      <c r="C34" s="10">
        <v>22000</v>
      </c>
      <c r="D34" s="10">
        <v>61500</v>
      </c>
      <c r="E34" s="10">
        <v>1069000</v>
      </c>
      <c r="F34" s="11">
        <v>353</v>
      </c>
    </row>
    <row r="35" spans="2:6" x14ac:dyDescent="0.25">
      <c r="B35" s="6">
        <v>2053</v>
      </c>
      <c r="C35" s="12">
        <v>22000</v>
      </c>
      <c r="D35" s="12">
        <v>61500</v>
      </c>
      <c r="E35" s="12">
        <v>1069000</v>
      </c>
      <c r="F35" s="13">
        <v>357</v>
      </c>
    </row>
    <row r="36" spans="2:6" x14ac:dyDescent="0.25">
      <c r="B36" s="14">
        <f t="shared" ref="B36:B46" si="0">B35+1</f>
        <v>2054</v>
      </c>
      <c r="C36" s="15">
        <f t="shared" ref="C36:F46" si="1">C35</f>
        <v>22000</v>
      </c>
      <c r="D36" s="15">
        <f t="shared" si="1"/>
        <v>61500</v>
      </c>
      <c r="E36" s="15">
        <f t="shared" si="1"/>
        <v>1069000</v>
      </c>
      <c r="F36" s="15">
        <f t="shared" si="1"/>
        <v>357</v>
      </c>
    </row>
    <row r="37" spans="2:6" x14ac:dyDescent="0.25">
      <c r="B37" s="14">
        <f t="shared" si="0"/>
        <v>2055</v>
      </c>
      <c r="C37" s="15">
        <f t="shared" si="1"/>
        <v>22000</v>
      </c>
      <c r="D37" s="15">
        <f t="shared" si="1"/>
        <v>61500</v>
      </c>
      <c r="E37" s="15">
        <f t="shared" si="1"/>
        <v>1069000</v>
      </c>
      <c r="F37" s="15">
        <f t="shared" si="1"/>
        <v>357</v>
      </c>
    </row>
    <row r="38" spans="2:6" x14ac:dyDescent="0.25">
      <c r="B38" s="14">
        <f t="shared" si="0"/>
        <v>2056</v>
      </c>
      <c r="C38" s="15">
        <f t="shared" si="1"/>
        <v>22000</v>
      </c>
      <c r="D38" s="15">
        <f t="shared" si="1"/>
        <v>61500</v>
      </c>
      <c r="E38" s="15">
        <f t="shared" si="1"/>
        <v>1069000</v>
      </c>
      <c r="F38" s="15">
        <f t="shared" si="1"/>
        <v>357</v>
      </c>
    </row>
    <row r="39" spans="2:6" x14ac:dyDescent="0.25">
      <c r="B39" s="14">
        <f t="shared" si="0"/>
        <v>2057</v>
      </c>
      <c r="C39" s="15">
        <f t="shared" si="1"/>
        <v>22000</v>
      </c>
      <c r="D39" s="15">
        <f t="shared" si="1"/>
        <v>61500</v>
      </c>
      <c r="E39" s="15">
        <f t="shared" si="1"/>
        <v>1069000</v>
      </c>
      <c r="F39" s="15">
        <f t="shared" si="1"/>
        <v>357</v>
      </c>
    </row>
    <row r="40" spans="2:6" x14ac:dyDescent="0.25">
      <c r="B40" s="14">
        <f t="shared" si="0"/>
        <v>2058</v>
      </c>
      <c r="C40" s="15">
        <f t="shared" si="1"/>
        <v>22000</v>
      </c>
      <c r="D40" s="15">
        <f t="shared" si="1"/>
        <v>61500</v>
      </c>
      <c r="E40" s="15">
        <f t="shared" si="1"/>
        <v>1069000</v>
      </c>
      <c r="F40" s="15">
        <f t="shared" si="1"/>
        <v>357</v>
      </c>
    </row>
    <row r="41" spans="2:6" x14ac:dyDescent="0.25">
      <c r="B41" s="14">
        <f t="shared" si="0"/>
        <v>2059</v>
      </c>
      <c r="C41" s="15">
        <f t="shared" si="1"/>
        <v>22000</v>
      </c>
      <c r="D41" s="15">
        <f t="shared" si="1"/>
        <v>61500</v>
      </c>
      <c r="E41" s="15">
        <f t="shared" si="1"/>
        <v>1069000</v>
      </c>
      <c r="F41" s="15">
        <f t="shared" si="1"/>
        <v>357</v>
      </c>
    </row>
    <row r="42" spans="2:6" x14ac:dyDescent="0.25">
      <c r="B42" s="14">
        <f t="shared" si="0"/>
        <v>2060</v>
      </c>
      <c r="C42" s="15">
        <f t="shared" si="1"/>
        <v>22000</v>
      </c>
      <c r="D42" s="15">
        <f t="shared" si="1"/>
        <v>61500</v>
      </c>
      <c r="E42" s="15">
        <f t="shared" si="1"/>
        <v>1069000</v>
      </c>
      <c r="F42" s="15">
        <f t="shared" si="1"/>
        <v>357</v>
      </c>
    </row>
    <row r="43" spans="2:6" x14ac:dyDescent="0.25">
      <c r="B43" s="14">
        <f t="shared" si="0"/>
        <v>2061</v>
      </c>
      <c r="C43" s="15">
        <f t="shared" si="1"/>
        <v>22000</v>
      </c>
      <c r="D43" s="15">
        <f t="shared" si="1"/>
        <v>61500</v>
      </c>
      <c r="E43" s="15">
        <f t="shared" si="1"/>
        <v>1069000</v>
      </c>
      <c r="F43" s="15">
        <f t="shared" si="1"/>
        <v>357</v>
      </c>
    </row>
    <row r="44" spans="2:6" x14ac:dyDescent="0.25">
      <c r="B44" s="14">
        <f t="shared" si="0"/>
        <v>2062</v>
      </c>
      <c r="C44" s="15">
        <f t="shared" si="1"/>
        <v>22000</v>
      </c>
      <c r="D44" s="15">
        <f t="shared" si="1"/>
        <v>61500</v>
      </c>
      <c r="E44" s="15">
        <f t="shared" si="1"/>
        <v>1069000</v>
      </c>
      <c r="F44" s="15">
        <f t="shared" si="1"/>
        <v>357</v>
      </c>
    </row>
    <row r="45" spans="2:6" x14ac:dyDescent="0.25">
      <c r="B45" s="14">
        <f t="shared" si="0"/>
        <v>2063</v>
      </c>
      <c r="C45" s="15">
        <f t="shared" si="1"/>
        <v>22000</v>
      </c>
      <c r="D45" s="15">
        <f t="shared" si="1"/>
        <v>61500</v>
      </c>
      <c r="E45" s="15">
        <f t="shared" si="1"/>
        <v>1069000</v>
      </c>
      <c r="F45" s="15">
        <f t="shared" si="1"/>
        <v>357</v>
      </c>
    </row>
    <row r="46" spans="2:6" x14ac:dyDescent="0.25">
      <c r="B46" s="14">
        <f t="shared" si="0"/>
        <v>2064</v>
      </c>
      <c r="C46" s="15">
        <f t="shared" si="1"/>
        <v>22000</v>
      </c>
      <c r="D46" s="15">
        <f t="shared" si="1"/>
        <v>61500</v>
      </c>
      <c r="E46" s="15">
        <f t="shared" si="1"/>
        <v>1069000</v>
      </c>
      <c r="F46" s="15">
        <f t="shared" si="1"/>
        <v>357</v>
      </c>
    </row>
    <row r="47" spans="2:6" x14ac:dyDescent="0.25">
      <c r="B47" s="5" t="s">
        <v>110</v>
      </c>
      <c r="C47" s="16"/>
      <c r="D47" s="16"/>
      <c r="E47" s="16"/>
    </row>
  </sheetData>
  <sheetProtection algorithmName="SHA-512" hashValue="vIBgnQbQJPZTM/LQ2MicCG9m3oFW3nUlInMiHDfXBVUOu+JOJyZRX5kj2ujVrsNWcyGfuacc2MlI1+rpNyEV+w==" saltValue="PSaXZXd1nmAJ5uBAXsqtr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04A0-E584-4B05-B9B5-E6E151E20AB5}">
  <sheetPr>
    <tabColor theme="0"/>
  </sheetPr>
  <dimension ref="A2:N1565"/>
  <sheetViews>
    <sheetView zoomScaleNormal="100" workbookViewId="0">
      <selection activeCell="J12" sqref="J12"/>
    </sheetView>
  </sheetViews>
  <sheetFormatPr defaultColWidth="8.625" defaultRowHeight="13.5" x14ac:dyDescent="0.25"/>
  <cols>
    <col min="1" max="1" width="8.625" style="5"/>
    <col min="2" max="2" width="31" style="5" customWidth="1"/>
    <col min="3" max="3" width="11.375" style="5" customWidth="1"/>
    <col min="4" max="4" width="19.375" style="5" customWidth="1"/>
    <col min="5" max="5" width="16.375" style="5" customWidth="1"/>
    <col min="6" max="6" width="17.375" style="5" customWidth="1"/>
    <col min="7" max="7" width="8.625" style="5"/>
    <col min="8" max="8" width="15.625" style="5" customWidth="1"/>
    <col min="9" max="16384" width="8.625" style="5"/>
  </cols>
  <sheetData>
    <row r="2" spans="1:5" ht="15" x14ac:dyDescent="0.25">
      <c r="A2"/>
      <c r="B2" s="47" t="s">
        <v>583</v>
      </c>
    </row>
    <row r="4" spans="1:5" ht="15" x14ac:dyDescent="0.25">
      <c r="B4" s="221" t="s">
        <v>616</v>
      </c>
      <c r="C4" s="222" t="s">
        <v>617</v>
      </c>
      <c r="D4" s="223" t="s">
        <v>618</v>
      </c>
      <c r="E4" s="224" t="s">
        <v>619</v>
      </c>
    </row>
    <row r="5" spans="1:5" ht="15" x14ac:dyDescent="0.25">
      <c r="B5" s="225" t="s">
        <v>233</v>
      </c>
      <c r="C5" s="226" t="s">
        <v>236</v>
      </c>
      <c r="D5" s="95">
        <v>66</v>
      </c>
      <c r="E5" s="227" t="s">
        <v>577</v>
      </c>
    </row>
    <row r="6" spans="1:5" ht="15" x14ac:dyDescent="0.25">
      <c r="B6" s="225" t="s">
        <v>620</v>
      </c>
      <c r="C6" s="226" t="s">
        <v>621</v>
      </c>
      <c r="D6" s="95">
        <v>53</v>
      </c>
      <c r="E6" s="227" t="s">
        <v>577</v>
      </c>
    </row>
    <row r="7" spans="1:5" ht="15" x14ac:dyDescent="0.25">
      <c r="B7" s="225" t="s">
        <v>622</v>
      </c>
      <c r="C7" s="226" t="s">
        <v>623</v>
      </c>
      <c r="D7" s="95">
        <v>42</v>
      </c>
      <c r="E7" s="227" t="s">
        <v>624</v>
      </c>
    </row>
    <row r="8" spans="1:5" ht="15" x14ac:dyDescent="0.25">
      <c r="B8" s="225" t="s">
        <v>625</v>
      </c>
      <c r="C8" s="226" t="s">
        <v>626</v>
      </c>
      <c r="D8" s="95">
        <v>47</v>
      </c>
      <c r="E8" s="227" t="s">
        <v>624</v>
      </c>
    </row>
    <row r="9" spans="1:5" ht="15" x14ac:dyDescent="0.25">
      <c r="B9" s="225" t="s">
        <v>627</v>
      </c>
      <c r="C9" s="226" t="s">
        <v>628</v>
      </c>
      <c r="D9" s="95">
        <v>40</v>
      </c>
      <c r="E9" s="227" t="s">
        <v>624</v>
      </c>
    </row>
    <row r="10" spans="1:5" ht="15" x14ac:dyDescent="0.25">
      <c r="B10" s="225" t="s">
        <v>629</v>
      </c>
      <c r="C10" s="226" t="s">
        <v>630</v>
      </c>
      <c r="D10" s="95">
        <v>40</v>
      </c>
      <c r="E10" s="227" t="s">
        <v>624</v>
      </c>
    </row>
    <row r="11" spans="1:5" ht="15" x14ac:dyDescent="0.25">
      <c r="B11" s="225" t="s">
        <v>631</v>
      </c>
      <c r="C11" s="226" t="s">
        <v>632</v>
      </c>
      <c r="D11" s="95">
        <v>60</v>
      </c>
      <c r="E11" s="227" t="s">
        <v>633</v>
      </c>
    </row>
    <row r="12" spans="1:5" ht="15" x14ac:dyDescent="0.25">
      <c r="B12" s="225" t="s">
        <v>634</v>
      </c>
      <c r="C12" s="226" t="s">
        <v>635</v>
      </c>
      <c r="D12" s="95">
        <v>29</v>
      </c>
      <c r="E12" s="227" t="s">
        <v>633</v>
      </c>
    </row>
    <row r="13" spans="1:5" ht="15" x14ac:dyDescent="0.25">
      <c r="B13" s="225" t="s">
        <v>636</v>
      </c>
      <c r="C13" s="226" t="s">
        <v>637</v>
      </c>
      <c r="D13" s="95">
        <v>24</v>
      </c>
      <c r="E13" s="227" t="s">
        <v>638</v>
      </c>
    </row>
    <row r="14" spans="1:5" ht="15" x14ac:dyDescent="0.25">
      <c r="B14" s="225" t="s">
        <v>639</v>
      </c>
      <c r="C14" s="226" t="s">
        <v>640</v>
      </c>
      <c r="D14" s="95">
        <v>35</v>
      </c>
      <c r="E14" s="227" t="s">
        <v>638</v>
      </c>
    </row>
    <row r="15" spans="1:5" ht="15" x14ac:dyDescent="0.25">
      <c r="B15" s="225" t="s">
        <v>641</v>
      </c>
      <c r="C15" s="226" t="s">
        <v>642</v>
      </c>
      <c r="D15" s="95">
        <v>33</v>
      </c>
      <c r="E15" s="227" t="s">
        <v>638</v>
      </c>
    </row>
    <row r="16" spans="1:5" ht="15" x14ac:dyDescent="0.25">
      <c r="B16" s="228" t="s">
        <v>643</v>
      </c>
      <c r="C16" s="229" t="s">
        <v>644</v>
      </c>
      <c r="D16" s="230">
        <v>29</v>
      </c>
      <c r="E16" s="231" t="s">
        <v>638</v>
      </c>
    </row>
    <row r="17" spans="2:9" ht="15" x14ac:dyDescent="0.25">
      <c r="B17" s="219"/>
      <c r="C17" s="220"/>
      <c r="D17" s="220"/>
      <c r="E17" s="220"/>
    </row>
    <row r="18" spans="2:9" ht="15" x14ac:dyDescent="0.25">
      <c r="B18" s="216" t="s">
        <v>566</v>
      </c>
      <c r="C18" s="217" t="s">
        <v>567</v>
      </c>
      <c r="D18" s="217" t="s">
        <v>568</v>
      </c>
      <c r="E18" s="217" t="s">
        <v>569</v>
      </c>
      <c r="F18" s="217" t="s">
        <v>570</v>
      </c>
      <c r="G18" s="217" t="s">
        <v>571</v>
      </c>
      <c r="H18" s="217" t="s">
        <v>572</v>
      </c>
      <c r="I18" s="216" t="s">
        <v>573</v>
      </c>
    </row>
    <row r="19" spans="2:9" ht="15" x14ac:dyDescent="0.25">
      <c r="B19" s="24" t="s">
        <v>584</v>
      </c>
      <c r="C19" s="25">
        <v>2020</v>
      </c>
      <c r="D19" s="25" t="s">
        <v>574</v>
      </c>
      <c r="E19" s="25" t="s">
        <v>575</v>
      </c>
      <c r="F19" s="25">
        <v>3.9266654310511103E-4</v>
      </c>
      <c r="G19" s="25" t="s">
        <v>576</v>
      </c>
      <c r="H19" s="25" t="s">
        <v>577</v>
      </c>
      <c r="I19" s="218">
        <v>60</v>
      </c>
    </row>
    <row r="20" spans="2:9" ht="15" x14ac:dyDescent="0.25">
      <c r="B20" s="24" t="s">
        <v>585</v>
      </c>
      <c r="C20" s="25">
        <v>2020</v>
      </c>
      <c r="D20" s="25" t="s">
        <v>574</v>
      </c>
      <c r="E20" s="25" t="s">
        <v>579</v>
      </c>
      <c r="F20" s="25">
        <v>2.088547107861E-6</v>
      </c>
      <c r="G20" s="25" t="s">
        <v>576</v>
      </c>
      <c r="H20" s="25" t="s">
        <v>577</v>
      </c>
      <c r="I20" s="218">
        <v>60</v>
      </c>
    </row>
    <row r="21" spans="2:9" ht="15" x14ac:dyDescent="0.25">
      <c r="B21" s="24" t="s">
        <v>586</v>
      </c>
      <c r="C21" s="25">
        <v>2020</v>
      </c>
      <c r="D21" s="25" t="s">
        <v>574</v>
      </c>
      <c r="E21" s="25" t="s">
        <v>580</v>
      </c>
      <c r="F21" s="25">
        <v>0.32076941531360598</v>
      </c>
      <c r="G21" s="25" t="s">
        <v>576</v>
      </c>
      <c r="H21" s="25" t="s">
        <v>577</v>
      </c>
      <c r="I21" s="218">
        <v>60</v>
      </c>
    </row>
    <row r="22" spans="2:9" ht="15" x14ac:dyDescent="0.25">
      <c r="B22" s="24" t="s">
        <v>587</v>
      </c>
      <c r="C22" s="25">
        <v>2020</v>
      </c>
      <c r="D22" s="25" t="s">
        <v>574</v>
      </c>
      <c r="E22" s="25" t="s">
        <v>581</v>
      </c>
      <c r="F22" s="25">
        <v>6.4391326285075499E-6</v>
      </c>
      <c r="G22" s="25" t="s">
        <v>576</v>
      </c>
      <c r="H22" s="25" t="s">
        <v>577</v>
      </c>
      <c r="I22" s="218">
        <v>60</v>
      </c>
    </row>
    <row r="23" spans="2:9" ht="15" x14ac:dyDescent="0.25">
      <c r="B23" s="24" t="s">
        <v>588</v>
      </c>
      <c r="C23" s="25">
        <v>2030</v>
      </c>
      <c r="D23" s="25" t="s">
        <v>574</v>
      </c>
      <c r="E23" s="25" t="s">
        <v>575</v>
      </c>
      <c r="F23" s="25">
        <v>7.5164317150541398E-5</v>
      </c>
      <c r="G23" s="25" t="s">
        <v>576</v>
      </c>
      <c r="H23" s="25" t="s">
        <v>577</v>
      </c>
      <c r="I23" s="218">
        <v>60</v>
      </c>
    </row>
    <row r="24" spans="2:9" ht="15" x14ac:dyDescent="0.25">
      <c r="B24" s="24" t="s">
        <v>589</v>
      </c>
      <c r="C24" s="25">
        <v>2030</v>
      </c>
      <c r="D24" s="25" t="s">
        <v>574</v>
      </c>
      <c r="E24" s="25" t="s">
        <v>579</v>
      </c>
      <c r="F24" s="25">
        <v>1.6919062057899099E-6</v>
      </c>
      <c r="G24" s="25" t="s">
        <v>576</v>
      </c>
      <c r="H24" s="25" t="s">
        <v>577</v>
      </c>
      <c r="I24" s="218">
        <v>60</v>
      </c>
    </row>
    <row r="25" spans="2:9" ht="15" x14ac:dyDescent="0.25">
      <c r="B25" s="24" t="s">
        <v>590</v>
      </c>
      <c r="C25" s="25">
        <v>2030</v>
      </c>
      <c r="D25" s="25" t="s">
        <v>574</v>
      </c>
      <c r="E25" s="25" t="s">
        <v>580</v>
      </c>
      <c r="F25" s="25">
        <v>0.26093480486113502</v>
      </c>
      <c r="G25" s="25" t="s">
        <v>576</v>
      </c>
      <c r="H25" s="25" t="s">
        <v>577</v>
      </c>
      <c r="I25" s="218">
        <v>60</v>
      </c>
    </row>
    <row r="26" spans="2:9" ht="15" x14ac:dyDescent="0.25">
      <c r="B26" s="24" t="s">
        <v>591</v>
      </c>
      <c r="C26" s="25">
        <v>2030</v>
      </c>
      <c r="D26" s="25" t="s">
        <v>574</v>
      </c>
      <c r="E26" s="25" t="s">
        <v>581</v>
      </c>
      <c r="F26" s="25">
        <v>3.5857367526394601E-6</v>
      </c>
      <c r="G26" s="25" t="s">
        <v>576</v>
      </c>
      <c r="H26" s="25" t="s">
        <v>577</v>
      </c>
      <c r="I26" s="218">
        <v>60</v>
      </c>
    </row>
    <row r="27" spans="2:9" ht="15" x14ac:dyDescent="0.25">
      <c r="B27" s="24" t="s">
        <v>592</v>
      </c>
      <c r="C27" s="25">
        <v>2040</v>
      </c>
      <c r="D27" s="25" t="s">
        <v>574</v>
      </c>
      <c r="E27" s="25" t="s">
        <v>575</v>
      </c>
      <c r="F27" s="25">
        <v>1.17857894327933E-5</v>
      </c>
      <c r="G27" s="25" t="s">
        <v>576</v>
      </c>
      <c r="H27" s="25" t="s">
        <v>577</v>
      </c>
      <c r="I27" s="218">
        <v>60</v>
      </c>
    </row>
    <row r="28" spans="2:9" ht="15" x14ac:dyDescent="0.25">
      <c r="B28" s="24" t="s">
        <v>593</v>
      </c>
      <c r="C28" s="25">
        <v>2040</v>
      </c>
      <c r="D28" s="25" t="s">
        <v>574</v>
      </c>
      <c r="E28" s="25" t="s">
        <v>579</v>
      </c>
      <c r="F28" s="25">
        <v>1.4876655645404301E-6</v>
      </c>
      <c r="G28" s="25" t="s">
        <v>576</v>
      </c>
      <c r="H28" s="25" t="s">
        <v>577</v>
      </c>
      <c r="I28" s="218">
        <v>60</v>
      </c>
    </row>
    <row r="29" spans="2:9" ht="15" x14ac:dyDescent="0.25">
      <c r="B29" s="24" t="s">
        <v>594</v>
      </c>
      <c r="C29" s="25">
        <v>2040</v>
      </c>
      <c r="D29" s="25" t="s">
        <v>574</v>
      </c>
      <c r="E29" s="25" t="s">
        <v>580</v>
      </c>
      <c r="F29" s="25">
        <v>0.23042846980193199</v>
      </c>
      <c r="G29" s="25" t="s">
        <v>576</v>
      </c>
      <c r="H29" s="25" t="s">
        <v>577</v>
      </c>
      <c r="I29" s="218">
        <v>60</v>
      </c>
    </row>
    <row r="30" spans="2:9" ht="15" x14ac:dyDescent="0.25">
      <c r="B30" s="24" t="s">
        <v>595</v>
      </c>
      <c r="C30" s="25">
        <v>2040</v>
      </c>
      <c r="D30" s="25" t="s">
        <v>574</v>
      </c>
      <c r="E30" s="25" t="s">
        <v>581</v>
      </c>
      <c r="F30" s="25">
        <v>2.71037144448955E-6</v>
      </c>
      <c r="G30" s="25" t="s">
        <v>576</v>
      </c>
      <c r="H30" s="25" t="s">
        <v>577</v>
      </c>
      <c r="I30" s="218">
        <v>60</v>
      </c>
    </row>
    <row r="31" spans="2:9" ht="15" x14ac:dyDescent="0.25">
      <c r="B31" s="24" t="s">
        <v>596</v>
      </c>
      <c r="C31" s="25">
        <v>2050</v>
      </c>
      <c r="D31" s="25" t="s">
        <v>574</v>
      </c>
      <c r="E31" s="25" t="s">
        <v>575</v>
      </c>
      <c r="F31" s="25">
        <v>5.9989346447119398E-6</v>
      </c>
      <c r="G31" s="25" t="s">
        <v>576</v>
      </c>
      <c r="H31" s="25" t="s">
        <v>577</v>
      </c>
      <c r="I31" s="218">
        <v>60</v>
      </c>
    </row>
    <row r="32" spans="2:9" ht="15" x14ac:dyDescent="0.25">
      <c r="B32" s="24" t="s">
        <v>597</v>
      </c>
      <c r="C32" s="25">
        <v>2050</v>
      </c>
      <c r="D32" s="25" t="s">
        <v>574</v>
      </c>
      <c r="E32" s="25" t="s">
        <v>579</v>
      </c>
      <c r="F32" s="25">
        <v>1.42186439202717E-6</v>
      </c>
      <c r="G32" s="25" t="s">
        <v>576</v>
      </c>
      <c r="H32" s="25" t="s">
        <v>577</v>
      </c>
      <c r="I32" s="218">
        <v>60</v>
      </c>
    </row>
    <row r="33" spans="2:9" ht="15" x14ac:dyDescent="0.25">
      <c r="B33" s="24" t="s">
        <v>598</v>
      </c>
      <c r="C33" s="25">
        <v>2050</v>
      </c>
      <c r="D33" s="25" t="s">
        <v>574</v>
      </c>
      <c r="E33" s="25" t="s">
        <v>580</v>
      </c>
      <c r="F33" s="25">
        <v>0.22068116289112</v>
      </c>
      <c r="G33" s="25" t="s">
        <v>576</v>
      </c>
      <c r="H33" s="25" t="s">
        <v>577</v>
      </c>
      <c r="I33" s="218">
        <v>60</v>
      </c>
    </row>
    <row r="34" spans="2:9" ht="15" x14ac:dyDescent="0.25">
      <c r="B34" s="24" t="s">
        <v>599</v>
      </c>
      <c r="C34" s="25">
        <v>2050</v>
      </c>
      <c r="D34" s="25" t="s">
        <v>574</v>
      </c>
      <c r="E34" s="25" t="s">
        <v>581</v>
      </c>
      <c r="F34" s="25">
        <v>2.5733014803686201E-6</v>
      </c>
      <c r="G34" s="25" t="s">
        <v>576</v>
      </c>
      <c r="H34" s="25" t="s">
        <v>577</v>
      </c>
      <c r="I34" s="218">
        <v>60</v>
      </c>
    </row>
    <row r="35" spans="2:9" ht="15" x14ac:dyDescent="0.25">
      <c r="B35" s="24" t="s">
        <v>600</v>
      </c>
      <c r="C35" s="25">
        <v>2020</v>
      </c>
      <c r="D35" s="25" t="s">
        <v>578</v>
      </c>
      <c r="E35" s="25" t="s">
        <v>575</v>
      </c>
      <c r="F35" s="25">
        <v>5.3831865046786104E-3</v>
      </c>
      <c r="G35" s="25" t="s">
        <v>576</v>
      </c>
      <c r="H35" s="25" t="s">
        <v>577</v>
      </c>
      <c r="I35" s="218">
        <v>60</v>
      </c>
    </row>
    <row r="36" spans="2:9" ht="15" x14ac:dyDescent="0.25">
      <c r="B36" s="24" t="s">
        <v>601</v>
      </c>
      <c r="C36" s="25">
        <v>2020</v>
      </c>
      <c r="D36" s="25" t="s">
        <v>578</v>
      </c>
      <c r="E36" s="25" t="s">
        <v>579</v>
      </c>
      <c r="F36" s="25">
        <v>4.4234987091797399E-6</v>
      </c>
      <c r="G36" s="25" t="s">
        <v>576</v>
      </c>
      <c r="H36" s="25" t="s">
        <v>577</v>
      </c>
      <c r="I36" s="218">
        <v>60</v>
      </c>
    </row>
    <row r="37" spans="2:9" ht="15" x14ac:dyDescent="0.25">
      <c r="B37" s="24" t="s">
        <v>602</v>
      </c>
      <c r="C37" s="25">
        <v>2020</v>
      </c>
      <c r="D37" s="25" t="s">
        <v>578</v>
      </c>
      <c r="E37" s="25" t="s">
        <v>580</v>
      </c>
      <c r="F37" s="25">
        <v>1.20113864868446</v>
      </c>
      <c r="G37" s="25" t="s">
        <v>576</v>
      </c>
      <c r="H37" s="25" t="s">
        <v>577</v>
      </c>
      <c r="I37" s="218">
        <v>60</v>
      </c>
    </row>
    <row r="38" spans="2:9" ht="15" x14ac:dyDescent="0.25">
      <c r="B38" s="24" t="s">
        <v>603</v>
      </c>
      <c r="C38" s="25">
        <v>2020</v>
      </c>
      <c r="D38" s="25" t="s">
        <v>578</v>
      </c>
      <c r="E38" s="25" t="s">
        <v>581</v>
      </c>
      <c r="F38" s="25">
        <v>1.8550202047688799E-4</v>
      </c>
      <c r="G38" s="25" t="s">
        <v>576</v>
      </c>
      <c r="H38" s="25" t="s">
        <v>577</v>
      </c>
      <c r="I38" s="218">
        <v>60</v>
      </c>
    </row>
    <row r="39" spans="2:9" ht="15" x14ac:dyDescent="0.25">
      <c r="B39" s="24" t="s">
        <v>604</v>
      </c>
      <c r="C39" s="25">
        <v>2030</v>
      </c>
      <c r="D39" s="25" t="s">
        <v>578</v>
      </c>
      <c r="E39" s="25" t="s">
        <v>575</v>
      </c>
      <c r="F39" s="25">
        <v>1.9417881907739299E-3</v>
      </c>
      <c r="G39" s="25" t="s">
        <v>576</v>
      </c>
      <c r="H39" s="25" t="s">
        <v>577</v>
      </c>
      <c r="I39" s="218">
        <v>60</v>
      </c>
    </row>
    <row r="40" spans="2:9" ht="15" x14ac:dyDescent="0.25">
      <c r="B40" s="24" t="s">
        <v>605</v>
      </c>
      <c r="C40" s="25">
        <v>2030</v>
      </c>
      <c r="D40" s="25" t="s">
        <v>578</v>
      </c>
      <c r="E40" s="25" t="s">
        <v>579</v>
      </c>
      <c r="F40" s="25">
        <v>3.8767492057591001E-6</v>
      </c>
      <c r="G40" s="25" t="s">
        <v>576</v>
      </c>
      <c r="H40" s="25" t="s">
        <v>577</v>
      </c>
      <c r="I40" s="218">
        <v>60</v>
      </c>
    </row>
    <row r="41" spans="2:9" ht="15" x14ac:dyDescent="0.25">
      <c r="B41" s="24" t="s">
        <v>606</v>
      </c>
      <c r="C41" s="25">
        <v>2030</v>
      </c>
      <c r="D41" s="25" t="s">
        <v>578</v>
      </c>
      <c r="E41" s="25" t="s">
        <v>580</v>
      </c>
      <c r="F41" s="25">
        <v>1.0675269780176999</v>
      </c>
      <c r="G41" s="25" t="s">
        <v>576</v>
      </c>
      <c r="H41" s="25" t="s">
        <v>577</v>
      </c>
      <c r="I41" s="218">
        <v>60</v>
      </c>
    </row>
    <row r="42" spans="2:9" ht="15" x14ac:dyDescent="0.25">
      <c r="B42" s="24" t="s">
        <v>607</v>
      </c>
      <c r="C42" s="25">
        <v>2030</v>
      </c>
      <c r="D42" s="25" t="s">
        <v>578</v>
      </c>
      <c r="E42" s="25" t="s">
        <v>581</v>
      </c>
      <c r="F42" s="25">
        <v>5.4439182838359401E-5</v>
      </c>
      <c r="G42" s="25" t="s">
        <v>576</v>
      </c>
      <c r="H42" s="25" t="s">
        <v>577</v>
      </c>
      <c r="I42" s="218">
        <v>60</v>
      </c>
    </row>
    <row r="43" spans="2:9" ht="15" x14ac:dyDescent="0.25">
      <c r="B43" s="24" t="s">
        <v>608</v>
      </c>
      <c r="C43" s="25">
        <v>2040</v>
      </c>
      <c r="D43" s="25" t="s">
        <v>578</v>
      </c>
      <c r="E43" s="25" t="s">
        <v>575</v>
      </c>
      <c r="F43" s="25">
        <v>1.0109373550145999E-3</v>
      </c>
      <c r="G43" s="25" t="s">
        <v>576</v>
      </c>
      <c r="H43" s="25" t="s">
        <v>577</v>
      </c>
      <c r="I43" s="218">
        <v>60</v>
      </c>
    </row>
    <row r="44" spans="2:9" ht="15" x14ac:dyDescent="0.25">
      <c r="B44" s="24" t="s">
        <v>609</v>
      </c>
      <c r="C44" s="25">
        <v>2040</v>
      </c>
      <c r="D44" s="25" t="s">
        <v>578</v>
      </c>
      <c r="E44" s="25" t="s">
        <v>579</v>
      </c>
      <c r="F44" s="25">
        <v>3.48517638532466E-6</v>
      </c>
      <c r="G44" s="25" t="s">
        <v>576</v>
      </c>
      <c r="H44" s="25" t="s">
        <v>577</v>
      </c>
      <c r="I44" s="218">
        <v>60</v>
      </c>
    </row>
    <row r="45" spans="2:9" ht="15" x14ac:dyDescent="0.25">
      <c r="B45" s="24" t="s">
        <v>610</v>
      </c>
      <c r="C45" s="25">
        <v>2040</v>
      </c>
      <c r="D45" s="25" t="s">
        <v>578</v>
      </c>
      <c r="E45" s="25" t="s">
        <v>580</v>
      </c>
      <c r="F45" s="25">
        <v>0.96074312058039302</v>
      </c>
      <c r="G45" s="25" t="s">
        <v>576</v>
      </c>
      <c r="H45" s="25" t="s">
        <v>577</v>
      </c>
      <c r="I45" s="218">
        <v>60</v>
      </c>
    </row>
    <row r="46" spans="2:9" ht="15" x14ac:dyDescent="0.25">
      <c r="B46" s="24" t="s">
        <v>611</v>
      </c>
      <c r="C46" s="25">
        <v>2040</v>
      </c>
      <c r="D46" s="25" t="s">
        <v>578</v>
      </c>
      <c r="E46" s="25" t="s">
        <v>581</v>
      </c>
      <c r="F46" s="25">
        <v>1.60021167306215E-5</v>
      </c>
      <c r="G46" s="25" t="s">
        <v>576</v>
      </c>
      <c r="H46" s="25" t="s">
        <v>577</v>
      </c>
      <c r="I46" s="218">
        <v>60</v>
      </c>
    </row>
    <row r="47" spans="2:9" ht="15" x14ac:dyDescent="0.25">
      <c r="B47" s="24" t="s">
        <v>612</v>
      </c>
      <c r="C47" s="25">
        <v>2050</v>
      </c>
      <c r="D47" s="25" t="s">
        <v>578</v>
      </c>
      <c r="E47" s="25" t="s">
        <v>575</v>
      </c>
      <c r="F47" s="25">
        <v>8.9922442972375301E-4</v>
      </c>
      <c r="G47" s="25" t="s">
        <v>576</v>
      </c>
      <c r="H47" s="25" t="s">
        <v>577</v>
      </c>
      <c r="I47" s="218">
        <v>60</v>
      </c>
    </row>
    <row r="48" spans="2:9" ht="15" x14ac:dyDescent="0.25">
      <c r="B48" s="24" t="s">
        <v>613</v>
      </c>
      <c r="C48" s="25">
        <v>2050</v>
      </c>
      <c r="D48" s="25" t="s">
        <v>578</v>
      </c>
      <c r="E48" s="25" t="s">
        <v>579</v>
      </c>
      <c r="F48" s="25">
        <v>3.2876512209261801E-6</v>
      </c>
      <c r="G48" s="25" t="s">
        <v>576</v>
      </c>
      <c r="H48" s="25" t="s">
        <v>577</v>
      </c>
      <c r="I48" s="218">
        <v>60</v>
      </c>
    </row>
    <row r="49" spans="2:12" ht="15" x14ac:dyDescent="0.25">
      <c r="B49" s="24" t="s">
        <v>614</v>
      </c>
      <c r="C49" s="25">
        <v>2050</v>
      </c>
      <c r="D49" s="25" t="s">
        <v>578</v>
      </c>
      <c r="E49" s="25" t="s">
        <v>580</v>
      </c>
      <c r="F49" s="25">
        <v>0.90532478106265202</v>
      </c>
      <c r="G49" s="25" t="s">
        <v>576</v>
      </c>
      <c r="H49" s="25" t="s">
        <v>577</v>
      </c>
      <c r="I49" s="218">
        <v>60</v>
      </c>
    </row>
    <row r="50" spans="2:12" ht="15" x14ac:dyDescent="0.25">
      <c r="B50" s="24" t="s">
        <v>615</v>
      </c>
      <c r="C50" s="25">
        <v>2050</v>
      </c>
      <c r="D50" s="25" t="s">
        <v>578</v>
      </c>
      <c r="E50" s="25" t="s">
        <v>581</v>
      </c>
      <c r="F50" s="25">
        <v>1.44623204192651E-5</v>
      </c>
      <c r="G50" s="25" t="s">
        <v>576</v>
      </c>
      <c r="H50" s="25" t="s">
        <v>577</v>
      </c>
      <c r="I50" s="218">
        <v>60</v>
      </c>
    </row>
    <row r="51" spans="2:12" x14ac:dyDescent="0.25">
      <c r="B51" s="5" t="s">
        <v>582</v>
      </c>
      <c r="C51" s="16"/>
      <c r="D51" s="16"/>
      <c r="E51" s="16"/>
    </row>
    <row r="53" spans="2:12" ht="15" x14ac:dyDescent="0.25">
      <c r="B53"/>
      <c r="C53"/>
      <c r="D53"/>
      <c r="E53"/>
      <c r="F53"/>
      <c r="G53"/>
      <c r="H53"/>
      <c r="I53"/>
      <c r="J53"/>
      <c r="K53"/>
      <c r="L53"/>
    </row>
    <row r="54" spans="2:12" ht="18.75" x14ac:dyDescent="0.25">
      <c r="B54"/>
      <c r="C54" s="257" t="s">
        <v>675</v>
      </c>
      <c r="D54" s="257" t="s">
        <v>676</v>
      </c>
      <c r="E54" s="257" t="s">
        <v>679</v>
      </c>
      <c r="F54" s="257" t="s">
        <v>677</v>
      </c>
      <c r="G54"/>
      <c r="H54"/>
      <c r="I54"/>
      <c r="J54"/>
      <c r="K54"/>
      <c r="L54"/>
    </row>
    <row r="55" spans="2:12" ht="34.5" x14ac:dyDescent="0.25">
      <c r="B55" s="257" t="s">
        <v>678</v>
      </c>
      <c r="C55" s="257" t="s">
        <v>680</v>
      </c>
      <c r="D55" s="257" t="s">
        <v>681</v>
      </c>
      <c r="E55" s="257" t="s">
        <v>682</v>
      </c>
      <c r="F55" s="257" t="s">
        <v>683</v>
      </c>
      <c r="G55"/>
      <c r="H55"/>
      <c r="I55"/>
      <c r="J55"/>
      <c r="K55"/>
      <c r="L55"/>
    </row>
    <row r="56" spans="2:12" ht="15" x14ac:dyDescent="0.25">
      <c r="B56" s="2" t="s">
        <v>574</v>
      </c>
      <c r="C56" s="258"/>
      <c r="D56" s="258"/>
      <c r="E56" s="259"/>
      <c r="F56" s="258"/>
      <c r="G56"/>
      <c r="H56"/>
      <c r="I56"/>
      <c r="J56"/>
      <c r="K56"/>
      <c r="L56"/>
    </row>
    <row r="57" spans="2:12" ht="15" x14ac:dyDescent="0.25">
      <c r="B57" s="260">
        <v>2020</v>
      </c>
      <c r="C57" s="261">
        <f t="shared" ref="C57:F60" si="0">SUMIFS($F$19:$F$50,$E$19:$E$50,C$54,$D$19:$D$50,$B$56,$C$19:$C$50,$B57)</f>
        <v>3.9266654310511103E-4</v>
      </c>
      <c r="D57" s="261">
        <f t="shared" si="0"/>
        <v>2.088547107861E-6</v>
      </c>
      <c r="E57" s="261">
        <f t="shared" si="0"/>
        <v>6.4391326285075499E-6</v>
      </c>
      <c r="F57" s="261">
        <f t="shared" si="0"/>
        <v>0.32076941531360598</v>
      </c>
      <c r="G57"/>
      <c r="H57"/>
      <c r="I57"/>
      <c r="J57"/>
      <c r="K57"/>
      <c r="L57"/>
    </row>
    <row r="58" spans="2:12" ht="15" x14ac:dyDescent="0.25">
      <c r="B58" s="260">
        <v>2030</v>
      </c>
      <c r="C58" s="261">
        <f t="shared" si="0"/>
        <v>7.5164317150541398E-5</v>
      </c>
      <c r="D58" s="261">
        <f t="shared" si="0"/>
        <v>1.6919062057899099E-6</v>
      </c>
      <c r="E58" s="261">
        <f t="shared" si="0"/>
        <v>3.5857367526394601E-6</v>
      </c>
      <c r="F58" s="261">
        <f t="shared" si="0"/>
        <v>0.26093480486113502</v>
      </c>
      <c r="G58"/>
      <c r="H58"/>
      <c r="I58"/>
      <c r="J58"/>
      <c r="K58"/>
      <c r="L58"/>
    </row>
    <row r="59" spans="2:12" ht="15" x14ac:dyDescent="0.25">
      <c r="B59" s="260">
        <v>2040</v>
      </c>
      <c r="C59" s="261">
        <f t="shared" si="0"/>
        <v>1.17857894327933E-5</v>
      </c>
      <c r="D59" s="261">
        <f t="shared" si="0"/>
        <v>1.4876655645404301E-6</v>
      </c>
      <c r="E59" s="261">
        <f t="shared" si="0"/>
        <v>2.71037144448955E-6</v>
      </c>
      <c r="F59" s="261">
        <f t="shared" si="0"/>
        <v>0.23042846980193199</v>
      </c>
      <c r="G59"/>
      <c r="H59"/>
      <c r="I59"/>
      <c r="J59"/>
      <c r="K59"/>
      <c r="L59"/>
    </row>
    <row r="60" spans="2:12" ht="15" x14ac:dyDescent="0.25">
      <c r="B60" s="260">
        <v>2050</v>
      </c>
      <c r="C60" s="261">
        <f t="shared" si="0"/>
        <v>5.9989346447119398E-6</v>
      </c>
      <c r="D60" s="261">
        <f t="shared" si="0"/>
        <v>1.42186439202717E-6</v>
      </c>
      <c r="E60" s="261">
        <f t="shared" si="0"/>
        <v>2.5733014803686201E-6</v>
      </c>
      <c r="F60" s="261">
        <f t="shared" si="0"/>
        <v>0.22068116289112</v>
      </c>
      <c r="G60"/>
      <c r="H60"/>
      <c r="I60"/>
      <c r="J60"/>
      <c r="K60"/>
      <c r="L60"/>
    </row>
    <row r="61" spans="2:12" ht="15" x14ac:dyDescent="0.25">
      <c r="B61" s="260" t="s">
        <v>578</v>
      </c>
      <c r="C61" s="261"/>
      <c r="D61" s="261"/>
      <c r="E61" s="261"/>
      <c r="F61" s="261"/>
      <c r="G61"/>
      <c r="H61"/>
      <c r="I61"/>
      <c r="J61"/>
      <c r="K61"/>
      <c r="L61"/>
    </row>
    <row r="62" spans="2:12" ht="15" x14ac:dyDescent="0.25">
      <c r="B62" s="260">
        <v>2020</v>
      </c>
      <c r="C62" s="261">
        <f t="shared" ref="C62:F65" si="1">SUMIFS($F$19:$F$50,$E$19:$E$50,C$54,$D$19:$D$50,$B$61,$C$19:$C$50,$B62)</f>
        <v>5.3831865046786104E-3</v>
      </c>
      <c r="D62" s="261">
        <f t="shared" si="1"/>
        <v>4.4234987091797399E-6</v>
      </c>
      <c r="E62" s="261">
        <f t="shared" si="1"/>
        <v>1.8550202047688799E-4</v>
      </c>
      <c r="F62" s="261">
        <f t="shared" si="1"/>
        <v>1.20113864868446</v>
      </c>
      <c r="G62"/>
      <c r="H62"/>
      <c r="I62"/>
      <c r="J62"/>
      <c r="K62"/>
      <c r="L62"/>
    </row>
    <row r="63" spans="2:12" ht="15" x14ac:dyDescent="0.25">
      <c r="B63" s="260">
        <v>2030</v>
      </c>
      <c r="C63" s="261">
        <f t="shared" si="1"/>
        <v>1.9417881907739299E-3</v>
      </c>
      <c r="D63" s="261">
        <f t="shared" si="1"/>
        <v>3.8767492057591001E-6</v>
      </c>
      <c r="E63" s="261">
        <f t="shared" si="1"/>
        <v>5.4439182838359401E-5</v>
      </c>
      <c r="F63" s="261">
        <f t="shared" si="1"/>
        <v>1.0675269780176999</v>
      </c>
      <c r="G63"/>
      <c r="H63"/>
      <c r="I63"/>
      <c r="J63"/>
      <c r="K63"/>
      <c r="L63"/>
    </row>
    <row r="64" spans="2:12" ht="15" x14ac:dyDescent="0.25">
      <c r="B64" s="260">
        <v>2040</v>
      </c>
      <c r="C64" s="261">
        <f t="shared" si="1"/>
        <v>1.0109373550145999E-3</v>
      </c>
      <c r="D64" s="261">
        <f t="shared" si="1"/>
        <v>3.48517638532466E-6</v>
      </c>
      <c r="E64" s="261">
        <f t="shared" si="1"/>
        <v>1.60021167306215E-5</v>
      </c>
      <c r="F64" s="261">
        <f t="shared" si="1"/>
        <v>0.96074312058039302</v>
      </c>
      <c r="G64"/>
      <c r="H64"/>
      <c r="I64"/>
      <c r="J64"/>
      <c r="K64"/>
      <c r="L64"/>
    </row>
    <row r="65" spans="2:14" ht="15" x14ac:dyDescent="0.25">
      <c r="B65" s="260">
        <v>2050</v>
      </c>
      <c r="C65" s="261">
        <f t="shared" si="1"/>
        <v>8.9922442972375301E-4</v>
      </c>
      <c r="D65" s="261">
        <f t="shared" si="1"/>
        <v>3.2876512209261801E-6</v>
      </c>
      <c r="E65" s="261">
        <f t="shared" si="1"/>
        <v>1.44623204192651E-5</v>
      </c>
      <c r="F65" s="261">
        <f t="shared" si="1"/>
        <v>0.90532478106265202</v>
      </c>
      <c r="G65"/>
      <c r="H65"/>
      <c r="I65"/>
      <c r="J65"/>
      <c r="K65"/>
      <c r="L65"/>
    </row>
    <row r="66" spans="2:14" ht="15" x14ac:dyDescent="0.25">
      <c r="B66"/>
      <c r="C66"/>
      <c r="D66"/>
      <c r="E66"/>
      <c r="F66"/>
      <c r="G66"/>
      <c r="H66"/>
      <c r="I66"/>
      <c r="J66"/>
      <c r="K66"/>
      <c r="L66"/>
    </row>
    <row r="67" spans="2:14" ht="15" x14ac:dyDescent="0.25">
      <c r="B67"/>
      <c r="C67"/>
      <c r="D67"/>
      <c r="E67"/>
      <c r="F67"/>
      <c r="G67"/>
      <c r="H67"/>
      <c r="I67"/>
      <c r="J67"/>
      <c r="K67"/>
      <c r="L67"/>
    </row>
    <row r="68" spans="2:14" ht="15" x14ac:dyDescent="0.25">
      <c r="B68" t="s">
        <v>690</v>
      </c>
      <c r="C68"/>
      <c r="D68"/>
      <c r="E68"/>
      <c r="F68"/>
      <c r="G68"/>
      <c r="H68"/>
      <c r="I68"/>
      <c r="J68"/>
      <c r="K68"/>
      <c r="L68"/>
    </row>
    <row r="69" spans="2:14" ht="15" x14ac:dyDescent="0.25">
      <c r="B69" s="272"/>
      <c r="C69" s="272"/>
      <c r="D69" s="272"/>
      <c r="E69" s="272"/>
      <c r="F69" s="272"/>
      <c r="G69" s="272"/>
      <c r="H69" s="272"/>
      <c r="I69" s="272"/>
      <c r="J69" s="272"/>
      <c r="K69" s="272"/>
      <c r="L69" s="272"/>
      <c r="M69" s="163"/>
      <c r="N69" s="163"/>
    </row>
    <row r="70" spans="2:14" ht="15" x14ac:dyDescent="0.25">
      <c r="B70" s="272"/>
      <c r="C70" s="272"/>
      <c r="D70" s="272"/>
      <c r="E70" s="272"/>
      <c r="F70" s="272"/>
      <c r="G70" s="272"/>
      <c r="H70" s="272"/>
      <c r="I70" s="272"/>
      <c r="J70" s="272"/>
      <c r="K70" s="272"/>
      <c r="L70" s="272"/>
      <c r="M70" s="163"/>
      <c r="N70" s="163"/>
    </row>
    <row r="71" spans="2:14" ht="15" x14ac:dyDescent="0.25">
      <c r="B71" s="272"/>
      <c r="C71" s="272"/>
      <c r="D71" s="272"/>
      <c r="E71" s="272"/>
      <c r="F71" s="272"/>
      <c r="G71" s="272"/>
      <c r="H71" s="272"/>
      <c r="I71" s="272"/>
      <c r="J71" s="272"/>
      <c r="K71" s="272"/>
      <c r="L71" s="272"/>
      <c r="M71" s="163"/>
      <c r="N71" s="163"/>
    </row>
    <row r="72" spans="2:14" ht="15" x14ac:dyDescent="0.25">
      <c r="B72" s="272"/>
      <c r="C72" s="272"/>
      <c r="D72" s="272"/>
      <c r="E72" s="272"/>
      <c r="F72" s="272"/>
      <c r="G72" s="272"/>
      <c r="H72" s="272"/>
      <c r="I72" s="272"/>
      <c r="J72" s="272"/>
      <c r="K72" s="272"/>
      <c r="L72" s="272"/>
      <c r="M72" s="163"/>
      <c r="N72" s="163"/>
    </row>
    <row r="73" spans="2:14" ht="15" x14ac:dyDescent="0.25">
      <c r="B73" s="272"/>
      <c r="C73" s="272"/>
      <c r="D73" s="272"/>
      <c r="E73" s="272"/>
      <c r="F73" s="272"/>
      <c r="G73" s="272"/>
      <c r="H73" s="272"/>
      <c r="I73" s="272"/>
      <c r="J73" s="272"/>
      <c r="K73" s="272"/>
      <c r="L73" s="272"/>
      <c r="M73" s="163"/>
      <c r="N73" s="163"/>
    </row>
    <row r="74" spans="2:14" ht="15" x14ac:dyDescent="0.25">
      <c r="B74" s="272"/>
      <c r="C74" s="272"/>
      <c r="D74" s="272"/>
      <c r="E74" s="272"/>
      <c r="F74" s="272"/>
      <c r="G74" s="272"/>
      <c r="H74" s="272"/>
      <c r="I74" s="272"/>
      <c r="J74" s="272"/>
      <c r="K74" s="272"/>
      <c r="L74" s="272"/>
      <c r="M74" s="163"/>
      <c r="N74" s="163"/>
    </row>
    <row r="75" spans="2:14" ht="15" x14ac:dyDescent="0.25">
      <c r="B75" s="272"/>
      <c r="C75" s="272"/>
      <c r="D75" s="272"/>
      <c r="E75" s="272"/>
      <c r="F75" s="272"/>
      <c r="G75" s="272"/>
      <c r="H75" s="272"/>
      <c r="I75" s="272"/>
      <c r="J75" s="272"/>
      <c r="K75" s="272"/>
      <c r="L75" s="272"/>
      <c r="M75" s="163"/>
      <c r="N75" s="163"/>
    </row>
    <row r="76" spans="2:14" ht="15" x14ac:dyDescent="0.25">
      <c r="B76" s="272"/>
      <c r="C76" s="272"/>
      <c r="D76" s="272"/>
      <c r="E76" s="272"/>
      <c r="F76" s="272"/>
      <c r="G76" s="272"/>
      <c r="H76" s="272"/>
      <c r="I76" s="272"/>
      <c r="J76" s="272"/>
      <c r="K76" s="272"/>
      <c r="L76" s="272"/>
      <c r="M76" s="163"/>
      <c r="N76" s="163"/>
    </row>
    <row r="77" spans="2:14" ht="15" x14ac:dyDescent="0.25">
      <c r="B77" s="272"/>
      <c r="C77" s="272"/>
      <c r="D77" s="272"/>
      <c r="E77" s="272"/>
      <c r="F77" s="272"/>
      <c r="G77" s="272"/>
      <c r="H77" s="272"/>
      <c r="I77" s="272"/>
      <c r="J77" s="272"/>
      <c r="K77" s="272"/>
      <c r="L77" s="272"/>
      <c r="M77" s="163"/>
      <c r="N77" s="163"/>
    </row>
    <row r="78" spans="2:14" ht="15" x14ac:dyDescent="0.25">
      <c r="B78" s="272"/>
      <c r="C78" s="272"/>
      <c r="D78" s="272"/>
      <c r="E78" s="272"/>
      <c r="F78" s="272"/>
      <c r="G78" s="272"/>
      <c r="H78" s="272"/>
      <c r="I78" s="272"/>
      <c r="J78" s="272"/>
      <c r="K78" s="272"/>
      <c r="L78" s="272"/>
      <c r="M78" s="163"/>
      <c r="N78" s="163"/>
    </row>
    <row r="79" spans="2:14" ht="15" x14ac:dyDescent="0.25">
      <c r="B79" s="272"/>
      <c r="C79" s="272"/>
      <c r="D79" s="272"/>
      <c r="E79" s="272"/>
      <c r="F79" s="272"/>
      <c r="G79" s="272"/>
      <c r="H79" s="272"/>
      <c r="I79" s="272"/>
      <c r="J79" s="272"/>
      <c r="K79" s="272"/>
      <c r="L79" s="272"/>
      <c r="M79" s="163"/>
      <c r="N79" s="163"/>
    </row>
    <row r="80" spans="2:14" ht="15" x14ac:dyDescent="0.25">
      <c r="B80" s="272"/>
      <c r="C80" s="272"/>
      <c r="D80" s="272"/>
      <c r="E80" s="272"/>
      <c r="F80" s="272"/>
      <c r="G80" s="272"/>
      <c r="H80" s="272"/>
      <c r="I80" s="272"/>
      <c r="J80" s="272"/>
      <c r="K80" s="272"/>
      <c r="L80" s="272"/>
      <c r="M80" s="163"/>
      <c r="N80" s="163"/>
    </row>
    <row r="81" spans="2:14" ht="15" x14ac:dyDescent="0.25">
      <c r="B81" s="272"/>
      <c r="C81" s="272"/>
      <c r="D81" s="272"/>
      <c r="E81" s="272"/>
      <c r="F81" s="272"/>
      <c r="G81" s="272"/>
      <c r="H81" s="272"/>
      <c r="I81" s="272"/>
      <c r="J81" s="272"/>
      <c r="K81" s="272"/>
      <c r="L81" s="272"/>
      <c r="M81" s="163"/>
      <c r="N81" s="163"/>
    </row>
    <row r="82" spans="2:14" ht="15" x14ac:dyDescent="0.25">
      <c r="B82" s="272"/>
      <c r="C82" s="272"/>
      <c r="D82" s="272"/>
      <c r="E82" s="272"/>
      <c r="F82" s="272"/>
      <c r="G82" s="272"/>
      <c r="H82" s="272"/>
      <c r="I82" s="272"/>
      <c r="J82" s="272"/>
      <c r="K82" s="272"/>
      <c r="L82" s="272"/>
      <c r="M82" s="163"/>
      <c r="N82" s="163"/>
    </row>
    <row r="83" spans="2:14" ht="15" x14ac:dyDescent="0.25">
      <c r="B83" s="272"/>
      <c r="C83" s="272"/>
      <c r="D83" s="272"/>
      <c r="E83" s="272"/>
      <c r="F83" s="272"/>
      <c r="G83" s="272"/>
      <c r="H83" s="272"/>
      <c r="I83" s="272"/>
      <c r="J83" s="272"/>
      <c r="K83" s="272"/>
      <c r="L83" s="272"/>
      <c r="M83" s="163"/>
      <c r="N83" s="163"/>
    </row>
    <row r="84" spans="2:14" ht="15" x14ac:dyDescent="0.25">
      <c r="B84" s="272"/>
      <c r="C84" s="272"/>
      <c r="D84" s="272"/>
      <c r="E84" s="272"/>
      <c r="F84" s="272"/>
      <c r="G84" s="272"/>
      <c r="H84" s="272"/>
      <c r="I84" s="272"/>
      <c r="J84" s="272"/>
      <c r="K84" s="272"/>
      <c r="L84" s="272"/>
      <c r="M84" s="163"/>
      <c r="N84" s="163"/>
    </row>
    <row r="85" spans="2:14" ht="15" x14ac:dyDescent="0.25">
      <c r="B85" s="272"/>
      <c r="C85" s="272"/>
      <c r="D85" s="272"/>
      <c r="E85" s="272"/>
      <c r="F85" s="272"/>
      <c r="G85" s="272"/>
      <c r="H85" s="272"/>
      <c r="I85" s="272"/>
      <c r="J85" s="272"/>
      <c r="K85" s="272"/>
      <c r="L85" s="272"/>
      <c r="M85" s="163"/>
      <c r="N85" s="163"/>
    </row>
    <row r="86" spans="2:14" ht="15" x14ac:dyDescent="0.25">
      <c r="B86" s="272"/>
      <c r="C86" s="272"/>
      <c r="D86" s="272"/>
      <c r="E86" s="272"/>
      <c r="F86" s="272"/>
      <c r="G86" s="272"/>
      <c r="H86" s="272"/>
      <c r="I86" s="272"/>
      <c r="J86" s="272"/>
      <c r="K86" s="272"/>
      <c r="L86" s="272"/>
      <c r="M86" s="163"/>
      <c r="N86" s="163"/>
    </row>
    <row r="87" spans="2:14" ht="15" x14ac:dyDescent="0.25">
      <c r="B87" s="272"/>
      <c r="C87" s="272"/>
      <c r="D87" s="272"/>
      <c r="E87" s="272"/>
      <c r="F87" s="272"/>
      <c r="G87" s="272"/>
      <c r="H87" s="272"/>
      <c r="I87" s="272"/>
      <c r="J87" s="272"/>
      <c r="K87" s="272"/>
      <c r="L87" s="272"/>
      <c r="M87" s="163"/>
      <c r="N87" s="163"/>
    </row>
    <row r="88" spans="2:14" ht="15" x14ac:dyDescent="0.25">
      <c r="B88" s="272"/>
      <c r="C88" s="272"/>
      <c r="D88" s="272"/>
      <c r="E88" s="272"/>
      <c r="F88" s="272"/>
      <c r="G88" s="272"/>
      <c r="H88" s="272"/>
      <c r="I88" s="272"/>
      <c r="J88" s="272"/>
      <c r="K88" s="272"/>
      <c r="L88" s="272"/>
      <c r="M88" s="163"/>
      <c r="N88" s="163"/>
    </row>
    <row r="89" spans="2:14" ht="15" x14ac:dyDescent="0.25">
      <c r="B89" s="272"/>
      <c r="C89" s="272"/>
      <c r="D89" s="272"/>
      <c r="E89" s="272"/>
      <c r="F89" s="272"/>
      <c r="G89" s="272"/>
      <c r="H89" s="272"/>
      <c r="I89" s="272"/>
      <c r="J89" s="272"/>
      <c r="K89" s="272"/>
      <c r="L89" s="272"/>
      <c r="M89" s="163"/>
      <c r="N89" s="163"/>
    </row>
    <row r="90" spans="2:14" ht="15" x14ac:dyDescent="0.25">
      <c r="B90" s="272"/>
      <c r="C90" s="272"/>
      <c r="D90" s="272"/>
      <c r="E90" s="272"/>
      <c r="F90" s="272"/>
      <c r="G90" s="272"/>
      <c r="H90" s="272"/>
      <c r="I90" s="272"/>
      <c r="J90" s="272"/>
      <c r="K90" s="272"/>
      <c r="L90" s="272"/>
      <c r="M90" s="163"/>
      <c r="N90" s="163"/>
    </row>
    <row r="91" spans="2:14" ht="15" x14ac:dyDescent="0.25">
      <c r="B91" s="272"/>
      <c r="C91" s="272"/>
      <c r="D91" s="272"/>
      <c r="E91" s="272"/>
      <c r="F91" s="272"/>
      <c r="G91" s="272"/>
      <c r="H91" s="272"/>
      <c r="I91" s="272"/>
      <c r="J91" s="272"/>
      <c r="K91" s="272"/>
      <c r="L91" s="272"/>
      <c r="M91" s="163"/>
      <c r="N91" s="163"/>
    </row>
    <row r="92" spans="2:14" ht="15" x14ac:dyDescent="0.25">
      <c r="B92" s="272"/>
      <c r="C92" s="272"/>
      <c r="D92" s="272"/>
      <c r="E92" s="272"/>
      <c r="F92" s="272"/>
      <c r="G92" s="272"/>
      <c r="H92" s="272"/>
      <c r="I92" s="272"/>
      <c r="J92" s="272"/>
      <c r="K92" s="272"/>
      <c r="L92" s="272"/>
      <c r="M92" s="163"/>
      <c r="N92" s="163"/>
    </row>
    <row r="93" spans="2:14" ht="15" x14ac:dyDescent="0.25">
      <c r="B93" s="272"/>
      <c r="C93" s="272"/>
      <c r="D93" s="272"/>
      <c r="E93" s="272"/>
      <c r="F93" s="272"/>
      <c r="G93" s="272"/>
      <c r="H93" s="272"/>
      <c r="I93" s="272"/>
      <c r="J93" s="272"/>
      <c r="K93" s="272"/>
      <c r="L93" s="272"/>
      <c r="M93" s="163"/>
      <c r="N93" s="163"/>
    </row>
    <row r="94" spans="2:14" ht="15" x14ac:dyDescent="0.25">
      <c r="B94" s="272"/>
      <c r="C94" s="272"/>
      <c r="D94" s="272"/>
      <c r="E94" s="272"/>
      <c r="F94" s="272"/>
      <c r="G94" s="272"/>
      <c r="H94" s="272"/>
      <c r="I94" s="272"/>
      <c r="J94" s="272"/>
      <c r="K94" s="272"/>
      <c r="L94" s="272"/>
      <c r="M94" s="163"/>
      <c r="N94" s="163"/>
    </row>
    <row r="95" spans="2:14" ht="15" x14ac:dyDescent="0.25">
      <c r="B95" s="272"/>
      <c r="C95" s="272"/>
      <c r="D95" s="272"/>
      <c r="E95" s="272"/>
      <c r="F95" s="272"/>
      <c r="G95" s="272"/>
      <c r="H95" s="272"/>
      <c r="I95" s="272"/>
      <c r="J95" s="272"/>
      <c r="K95" s="272"/>
      <c r="L95" s="272"/>
      <c r="M95" s="163"/>
      <c r="N95" s="163"/>
    </row>
    <row r="96" spans="2:14" ht="15" x14ac:dyDescent="0.25">
      <c r="B96" s="272"/>
      <c r="C96" s="272"/>
      <c r="D96" s="272"/>
      <c r="E96" s="272"/>
      <c r="F96" s="272"/>
      <c r="G96" s="272"/>
      <c r="H96" s="272"/>
      <c r="I96" s="272"/>
      <c r="J96" s="272"/>
      <c r="K96" s="272"/>
      <c r="L96" s="272"/>
      <c r="M96" s="163"/>
      <c r="N96" s="163"/>
    </row>
    <row r="97" spans="2:14" ht="15" x14ac:dyDescent="0.25">
      <c r="B97" s="272"/>
      <c r="C97" s="272"/>
      <c r="D97" s="272"/>
      <c r="E97" s="272"/>
      <c r="F97" s="272"/>
      <c r="G97" s="272"/>
      <c r="H97" s="272"/>
      <c r="I97" s="272"/>
      <c r="J97" s="272"/>
      <c r="K97" s="272"/>
      <c r="L97" s="272"/>
      <c r="M97" s="163"/>
      <c r="N97" s="163"/>
    </row>
    <row r="98" spans="2:14" ht="15" x14ac:dyDescent="0.25">
      <c r="B98" s="272"/>
      <c r="C98" s="272"/>
      <c r="D98" s="272"/>
      <c r="E98" s="272"/>
      <c r="F98" s="272"/>
      <c r="G98" s="272"/>
      <c r="H98" s="272"/>
      <c r="I98" s="272"/>
      <c r="J98" s="272"/>
      <c r="K98" s="272"/>
      <c r="L98" s="272"/>
      <c r="M98" s="163"/>
      <c r="N98" s="163"/>
    </row>
    <row r="99" spans="2:14" ht="15" x14ac:dyDescent="0.25">
      <c r="B99" s="272"/>
      <c r="C99" s="272"/>
      <c r="D99" s="272"/>
      <c r="E99" s="272"/>
      <c r="F99" s="272"/>
      <c r="G99" s="272"/>
      <c r="H99" s="272"/>
      <c r="I99" s="272"/>
      <c r="J99" s="272"/>
      <c r="K99" s="272"/>
      <c r="L99" s="272"/>
      <c r="M99" s="163"/>
      <c r="N99" s="163"/>
    </row>
    <row r="100" spans="2:14" x14ac:dyDescent="0.25">
      <c r="B100" s="163"/>
      <c r="C100" s="163"/>
      <c r="D100" s="163"/>
      <c r="E100" s="163"/>
      <c r="F100" s="163"/>
      <c r="G100" s="163"/>
      <c r="H100" s="163"/>
      <c r="I100" s="163"/>
      <c r="J100" s="163"/>
      <c r="K100" s="163"/>
      <c r="L100" s="163"/>
      <c r="M100" s="163"/>
      <c r="N100" s="163"/>
    </row>
    <row r="101" spans="2:14" x14ac:dyDescent="0.25">
      <c r="B101" s="163"/>
      <c r="C101" s="163"/>
      <c r="D101" s="163"/>
      <c r="E101" s="163"/>
      <c r="F101" s="163"/>
      <c r="G101" s="163"/>
      <c r="H101" s="163"/>
      <c r="I101" s="163"/>
      <c r="J101" s="163"/>
      <c r="K101" s="163"/>
      <c r="L101" s="163"/>
      <c r="M101" s="163"/>
      <c r="N101" s="163"/>
    </row>
    <row r="102" spans="2:14" x14ac:dyDescent="0.25">
      <c r="B102" s="163"/>
      <c r="C102" s="163"/>
      <c r="D102" s="163"/>
      <c r="E102" s="163"/>
      <c r="F102" s="163"/>
      <c r="G102" s="163"/>
      <c r="H102" s="163"/>
      <c r="I102" s="163"/>
      <c r="J102" s="163"/>
      <c r="K102" s="163"/>
      <c r="L102" s="163"/>
      <c r="M102" s="163"/>
      <c r="N102" s="163"/>
    </row>
    <row r="103" spans="2:14" x14ac:dyDescent="0.25">
      <c r="B103" s="163"/>
      <c r="C103" s="163"/>
      <c r="D103" s="163"/>
      <c r="E103" s="163"/>
      <c r="F103" s="163"/>
      <c r="G103" s="163"/>
      <c r="H103" s="163"/>
      <c r="I103" s="163"/>
      <c r="J103" s="163"/>
      <c r="K103" s="163"/>
      <c r="L103" s="163"/>
      <c r="M103" s="163"/>
      <c r="N103" s="163"/>
    </row>
    <row r="104" spans="2:14" x14ac:dyDescent="0.25">
      <c r="B104" s="163"/>
      <c r="C104" s="163"/>
      <c r="D104" s="163"/>
      <c r="E104" s="163"/>
      <c r="F104" s="163"/>
      <c r="G104" s="163"/>
      <c r="H104" s="163"/>
      <c r="I104" s="163"/>
      <c r="J104" s="163"/>
      <c r="K104" s="163"/>
      <c r="L104" s="163"/>
      <c r="M104" s="163"/>
      <c r="N104" s="163"/>
    </row>
    <row r="105" spans="2:14" x14ac:dyDescent="0.25">
      <c r="B105" s="163"/>
      <c r="C105" s="163"/>
      <c r="D105" s="163"/>
      <c r="E105" s="163"/>
      <c r="F105" s="163"/>
      <c r="G105" s="163"/>
      <c r="H105" s="163"/>
      <c r="I105" s="163"/>
      <c r="J105" s="163"/>
      <c r="K105" s="163"/>
      <c r="L105" s="163"/>
      <c r="M105" s="163"/>
      <c r="N105" s="163"/>
    </row>
    <row r="106" spans="2:14" x14ac:dyDescent="0.25">
      <c r="B106" s="163"/>
      <c r="C106" s="163"/>
      <c r="D106" s="163"/>
      <c r="E106" s="163"/>
      <c r="F106" s="163"/>
      <c r="G106" s="163"/>
      <c r="H106" s="163"/>
      <c r="I106" s="163"/>
      <c r="J106" s="163"/>
      <c r="K106" s="163"/>
      <c r="L106" s="163"/>
      <c r="M106" s="163"/>
      <c r="N106" s="163"/>
    </row>
    <row r="107" spans="2:14" x14ac:dyDescent="0.25">
      <c r="B107" s="163"/>
      <c r="C107" s="163"/>
      <c r="D107" s="163"/>
      <c r="E107" s="163"/>
      <c r="F107" s="163"/>
      <c r="G107" s="163"/>
      <c r="H107" s="163"/>
      <c r="I107" s="163"/>
      <c r="J107" s="163"/>
      <c r="K107" s="163"/>
      <c r="L107" s="163"/>
      <c r="M107" s="163"/>
      <c r="N107" s="163"/>
    </row>
    <row r="108" spans="2:14" x14ac:dyDescent="0.25">
      <c r="B108" s="163"/>
      <c r="C108" s="163"/>
      <c r="D108" s="163"/>
      <c r="E108" s="163"/>
      <c r="F108" s="163"/>
      <c r="G108" s="163"/>
      <c r="H108" s="163"/>
      <c r="I108" s="163"/>
      <c r="J108" s="163"/>
      <c r="K108" s="163"/>
      <c r="L108" s="163"/>
      <c r="M108" s="163"/>
      <c r="N108" s="163"/>
    </row>
    <row r="109" spans="2:14" x14ac:dyDescent="0.25">
      <c r="B109" s="163"/>
      <c r="C109" s="163"/>
      <c r="D109" s="163"/>
      <c r="E109" s="163"/>
      <c r="F109" s="163"/>
      <c r="G109" s="163"/>
      <c r="H109" s="163"/>
      <c r="I109" s="163"/>
      <c r="J109" s="163"/>
      <c r="K109" s="163"/>
      <c r="L109" s="163"/>
      <c r="M109" s="163"/>
      <c r="N109" s="163"/>
    </row>
    <row r="110" spans="2:14" x14ac:dyDescent="0.25">
      <c r="B110" s="163"/>
      <c r="C110" s="163"/>
      <c r="D110" s="163"/>
      <c r="E110" s="163"/>
      <c r="F110" s="163"/>
      <c r="G110" s="163"/>
      <c r="H110" s="163"/>
      <c r="I110" s="163"/>
      <c r="J110" s="163"/>
      <c r="K110" s="163"/>
      <c r="L110" s="163"/>
      <c r="M110" s="163"/>
      <c r="N110" s="163"/>
    </row>
    <row r="111" spans="2:14" x14ac:dyDescent="0.25">
      <c r="B111" s="163"/>
      <c r="C111" s="163"/>
      <c r="D111" s="163"/>
      <c r="E111" s="163"/>
      <c r="F111" s="163"/>
      <c r="G111" s="163"/>
      <c r="H111" s="163"/>
      <c r="I111" s="163"/>
      <c r="J111" s="163"/>
      <c r="K111" s="163"/>
      <c r="L111" s="163"/>
      <c r="M111" s="163"/>
      <c r="N111" s="163"/>
    </row>
    <row r="112" spans="2:14" x14ac:dyDescent="0.25">
      <c r="B112" s="163"/>
      <c r="C112" s="163"/>
      <c r="D112" s="163"/>
      <c r="E112" s="163"/>
      <c r="F112" s="163"/>
      <c r="G112" s="163"/>
      <c r="H112" s="163"/>
      <c r="I112" s="163"/>
      <c r="J112" s="163"/>
      <c r="K112" s="163"/>
      <c r="L112" s="163"/>
      <c r="M112" s="163"/>
      <c r="N112" s="163"/>
    </row>
    <row r="113" spans="2:14" x14ac:dyDescent="0.25">
      <c r="B113" s="163"/>
      <c r="C113" s="163"/>
      <c r="D113" s="163"/>
      <c r="E113" s="163"/>
      <c r="F113" s="163"/>
      <c r="G113" s="163"/>
      <c r="H113" s="163"/>
      <c r="I113" s="163"/>
      <c r="J113" s="163"/>
      <c r="K113" s="163"/>
      <c r="L113" s="163"/>
      <c r="M113" s="163"/>
      <c r="N113" s="163"/>
    </row>
    <row r="114" spans="2:14" x14ac:dyDescent="0.25">
      <c r="B114" s="163"/>
      <c r="C114" s="163"/>
      <c r="D114" s="163"/>
      <c r="E114" s="163"/>
      <c r="F114" s="163"/>
      <c r="G114" s="163"/>
      <c r="H114" s="163"/>
      <c r="I114" s="163"/>
      <c r="J114" s="163"/>
      <c r="K114" s="163"/>
      <c r="L114" s="163"/>
      <c r="M114" s="163"/>
      <c r="N114" s="163"/>
    </row>
    <row r="115" spans="2:14" x14ac:dyDescent="0.25">
      <c r="B115" s="163"/>
      <c r="C115" s="163"/>
      <c r="D115" s="163"/>
      <c r="E115" s="163"/>
      <c r="F115" s="163"/>
      <c r="G115" s="163"/>
      <c r="H115" s="163"/>
      <c r="I115" s="163"/>
      <c r="J115" s="163"/>
      <c r="K115" s="163"/>
      <c r="L115" s="163"/>
      <c r="M115" s="163"/>
      <c r="N115" s="163"/>
    </row>
    <row r="116" spans="2:14" x14ac:dyDescent="0.25">
      <c r="B116" s="163"/>
      <c r="C116" s="163"/>
      <c r="D116" s="163"/>
      <c r="E116" s="163"/>
      <c r="F116" s="163"/>
      <c r="G116" s="163"/>
      <c r="H116" s="163"/>
      <c r="I116" s="163"/>
      <c r="J116" s="163"/>
      <c r="K116" s="163"/>
      <c r="L116" s="163"/>
      <c r="M116" s="163"/>
      <c r="N116" s="163"/>
    </row>
    <row r="117" spans="2:14" x14ac:dyDescent="0.25">
      <c r="B117" s="163"/>
      <c r="C117" s="163"/>
      <c r="D117" s="163"/>
      <c r="E117" s="163"/>
      <c r="F117" s="163"/>
      <c r="G117" s="163"/>
      <c r="H117" s="163"/>
      <c r="I117" s="163"/>
      <c r="J117" s="163"/>
      <c r="K117" s="163"/>
      <c r="L117" s="163"/>
      <c r="M117" s="163"/>
      <c r="N117" s="163"/>
    </row>
    <row r="118" spans="2:14" x14ac:dyDescent="0.25">
      <c r="B118" s="163"/>
      <c r="C118" s="163"/>
      <c r="D118" s="163"/>
      <c r="E118" s="163"/>
      <c r="F118" s="163"/>
      <c r="G118" s="163"/>
      <c r="H118" s="163"/>
      <c r="I118" s="163"/>
      <c r="J118" s="163"/>
      <c r="K118" s="163"/>
      <c r="L118" s="163"/>
      <c r="M118" s="163"/>
      <c r="N118" s="163"/>
    </row>
    <row r="119" spans="2:14" x14ac:dyDescent="0.25">
      <c r="B119" s="163"/>
      <c r="C119" s="163"/>
      <c r="D119" s="163"/>
      <c r="E119" s="163"/>
      <c r="F119" s="163"/>
      <c r="G119" s="163"/>
      <c r="H119" s="163"/>
      <c r="I119" s="163"/>
      <c r="J119" s="163"/>
      <c r="K119" s="163"/>
      <c r="L119" s="163"/>
      <c r="M119" s="163"/>
      <c r="N119" s="163"/>
    </row>
    <row r="120" spans="2:14" x14ac:dyDescent="0.25">
      <c r="B120" s="163"/>
      <c r="C120" s="163"/>
      <c r="D120" s="163"/>
      <c r="E120" s="163"/>
      <c r="F120" s="163"/>
      <c r="G120" s="163"/>
      <c r="H120" s="163"/>
      <c r="I120" s="163"/>
      <c r="J120" s="163"/>
      <c r="K120" s="163"/>
      <c r="L120" s="163"/>
      <c r="M120" s="163"/>
      <c r="N120" s="163"/>
    </row>
    <row r="121" spans="2:14" x14ac:dyDescent="0.25">
      <c r="B121" s="163"/>
      <c r="C121" s="163"/>
      <c r="D121" s="163"/>
      <c r="E121" s="163"/>
      <c r="F121" s="163"/>
      <c r="G121" s="163"/>
      <c r="H121" s="163"/>
      <c r="I121" s="163"/>
      <c r="J121" s="163"/>
      <c r="K121" s="163"/>
      <c r="L121" s="163"/>
      <c r="M121" s="163"/>
      <c r="N121" s="163"/>
    </row>
    <row r="122" spans="2:14" x14ac:dyDescent="0.25">
      <c r="B122" s="163"/>
      <c r="C122" s="163"/>
      <c r="D122" s="163"/>
      <c r="E122" s="163"/>
      <c r="F122" s="163"/>
      <c r="G122" s="163"/>
      <c r="H122" s="163"/>
      <c r="I122" s="163"/>
      <c r="J122" s="163"/>
      <c r="K122" s="163"/>
      <c r="L122" s="163"/>
      <c r="M122" s="163"/>
      <c r="N122" s="163"/>
    </row>
    <row r="123" spans="2:14" x14ac:dyDescent="0.25">
      <c r="B123" s="163"/>
      <c r="C123" s="163"/>
      <c r="D123" s="163"/>
      <c r="E123" s="163"/>
      <c r="F123" s="163"/>
      <c r="G123" s="163"/>
      <c r="H123" s="163"/>
      <c r="I123" s="163"/>
      <c r="J123" s="163"/>
      <c r="K123" s="163"/>
      <c r="L123" s="163"/>
      <c r="M123" s="163"/>
      <c r="N123" s="163"/>
    </row>
    <row r="124" spans="2:14" x14ac:dyDescent="0.25">
      <c r="B124" s="163"/>
      <c r="C124" s="163"/>
      <c r="D124" s="163"/>
      <c r="E124" s="163"/>
      <c r="F124" s="163"/>
      <c r="G124" s="163"/>
      <c r="H124" s="163"/>
      <c r="I124" s="163"/>
      <c r="J124" s="163"/>
      <c r="K124" s="163"/>
      <c r="L124" s="163"/>
      <c r="M124" s="163"/>
      <c r="N124" s="163"/>
    </row>
    <row r="125" spans="2:14" x14ac:dyDescent="0.25">
      <c r="B125" s="163"/>
      <c r="C125" s="163"/>
      <c r="D125" s="163"/>
      <c r="E125" s="163"/>
      <c r="F125" s="163"/>
      <c r="G125" s="163"/>
      <c r="H125" s="163"/>
      <c r="I125" s="163"/>
      <c r="J125" s="163"/>
      <c r="K125" s="163"/>
      <c r="L125" s="163"/>
      <c r="M125" s="163"/>
      <c r="N125" s="163"/>
    </row>
    <row r="126" spans="2:14" x14ac:dyDescent="0.25">
      <c r="B126" s="163"/>
      <c r="C126" s="163"/>
      <c r="D126" s="163"/>
      <c r="E126" s="163"/>
      <c r="F126" s="163"/>
      <c r="G126" s="163"/>
      <c r="H126" s="163"/>
      <c r="I126" s="163"/>
      <c r="J126" s="163"/>
      <c r="K126" s="163"/>
      <c r="L126" s="163"/>
      <c r="M126" s="163"/>
      <c r="N126" s="163"/>
    </row>
    <row r="127" spans="2:14" x14ac:dyDescent="0.25">
      <c r="B127" s="163"/>
      <c r="C127" s="163"/>
      <c r="D127" s="163"/>
      <c r="E127" s="163"/>
      <c r="F127" s="163"/>
      <c r="G127" s="163"/>
      <c r="H127" s="163"/>
      <c r="I127" s="163"/>
      <c r="J127" s="163"/>
      <c r="K127" s="163"/>
      <c r="L127" s="163"/>
      <c r="M127" s="163"/>
      <c r="N127" s="163"/>
    </row>
    <row r="128" spans="2:14" x14ac:dyDescent="0.25">
      <c r="B128" s="163"/>
      <c r="C128" s="163"/>
      <c r="D128" s="163"/>
      <c r="E128" s="163"/>
      <c r="F128" s="163"/>
      <c r="G128" s="163"/>
      <c r="H128" s="163"/>
      <c r="I128" s="163"/>
      <c r="J128" s="163"/>
      <c r="K128" s="163"/>
      <c r="L128" s="163"/>
      <c r="M128" s="163"/>
      <c r="N128" s="163"/>
    </row>
    <row r="129" spans="2:14" x14ac:dyDescent="0.25">
      <c r="B129" s="163"/>
      <c r="C129" s="163"/>
      <c r="D129" s="163"/>
      <c r="E129" s="163"/>
      <c r="F129" s="163"/>
      <c r="G129" s="163"/>
      <c r="H129" s="163"/>
      <c r="I129" s="163"/>
      <c r="J129" s="163"/>
      <c r="K129" s="163"/>
      <c r="L129" s="163"/>
      <c r="M129" s="163"/>
      <c r="N129" s="163"/>
    </row>
    <row r="130" spans="2:14" x14ac:dyDescent="0.25">
      <c r="B130" s="163"/>
      <c r="C130" s="163"/>
      <c r="D130" s="163"/>
      <c r="E130" s="163"/>
      <c r="F130" s="163"/>
      <c r="G130" s="163"/>
      <c r="H130" s="163"/>
      <c r="I130" s="163"/>
      <c r="J130" s="163"/>
      <c r="K130" s="163"/>
      <c r="L130" s="163"/>
      <c r="M130" s="163"/>
      <c r="N130" s="163"/>
    </row>
    <row r="131" spans="2:14" x14ac:dyDescent="0.25">
      <c r="B131" s="163"/>
      <c r="C131" s="163"/>
      <c r="D131" s="163"/>
      <c r="E131" s="163"/>
      <c r="F131" s="163"/>
      <c r="G131" s="163"/>
      <c r="H131" s="163"/>
      <c r="I131" s="163"/>
      <c r="J131" s="163"/>
      <c r="K131" s="163"/>
      <c r="L131" s="163"/>
      <c r="M131" s="163"/>
      <c r="N131" s="163"/>
    </row>
    <row r="132" spans="2:14" x14ac:dyDescent="0.25">
      <c r="B132" s="163"/>
      <c r="C132" s="163"/>
      <c r="D132" s="163"/>
      <c r="E132" s="163"/>
      <c r="F132" s="163"/>
      <c r="G132" s="163"/>
      <c r="H132" s="163"/>
      <c r="I132" s="163"/>
      <c r="J132" s="163"/>
      <c r="K132" s="163"/>
      <c r="L132" s="163"/>
      <c r="M132" s="163"/>
      <c r="N132" s="163"/>
    </row>
    <row r="133" spans="2:14" x14ac:dyDescent="0.25">
      <c r="B133" s="163"/>
      <c r="C133" s="163"/>
      <c r="D133" s="163"/>
      <c r="E133" s="163"/>
      <c r="F133" s="163"/>
      <c r="G133" s="163"/>
      <c r="H133" s="163"/>
      <c r="I133" s="163"/>
      <c r="J133" s="163"/>
      <c r="K133" s="163"/>
      <c r="L133" s="163"/>
      <c r="M133" s="163"/>
      <c r="N133" s="163"/>
    </row>
    <row r="134" spans="2:14" x14ac:dyDescent="0.25">
      <c r="B134" s="163"/>
      <c r="C134" s="163"/>
      <c r="D134" s="163"/>
      <c r="E134" s="163"/>
      <c r="F134" s="163"/>
      <c r="G134" s="163"/>
      <c r="H134" s="163"/>
      <c r="I134" s="163"/>
      <c r="J134" s="163"/>
      <c r="K134" s="163"/>
      <c r="L134" s="163"/>
      <c r="M134" s="163"/>
      <c r="N134" s="163"/>
    </row>
    <row r="135" spans="2:14" x14ac:dyDescent="0.25">
      <c r="B135" s="163"/>
      <c r="C135" s="163"/>
      <c r="D135" s="163"/>
      <c r="E135" s="163"/>
      <c r="F135" s="163"/>
      <c r="G135" s="163"/>
      <c r="H135" s="163"/>
      <c r="I135" s="163"/>
      <c r="J135" s="163"/>
      <c r="K135" s="163"/>
      <c r="L135" s="163"/>
      <c r="M135" s="163"/>
      <c r="N135" s="163"/>
    </row>
    <row r="136" spans="2:14" x14ac:dyDescent="0.25">
      <c r="B136" s="163"/>
      <c r="C136" s="163"/>
      <c r="D136" s="163"/>
      <c r="E136" s="163"/>
      <c r="F136" s="163"/>
      <c r="G136" s="163"/>
      <c r="H136" s="163"/>
      <c r="I136" s="163"/>
      <c r="J136" s="163"/>
      <c r="K136" s="163"/>
      <c r="L136" s="163"/>
      <c r="M136" s="163"/>
      <c r="N136" s="163"/>
    </row>
    <row r="137" spans="2:14" x14ac:dyDescent="0.25">
      <c r="B137" s="163"/>
      <c r="C137" s="163"/>
      <c r="D137" s="163"/>
      <c r="E137" s="163"/>
      <c r="F137" s="163"/>
      <c r="G137" s="163"/>
      <c r="H137" s="163"/>
      <c r="I137" s="163"/>
      <c r="J137" s="163"/>
      <c r="K137" s="163"/>
      <c r="L137" s="163"/>
      <c r="M137" s="163"/>
      <c r="N137" s="163"/>
    </row>
    <row r="138" spans="2:14" x14ac:dyDescent="0.25">
      <c r="B138" s="163"/>
      <c r="C138" s="163"/>
      <c r="D138" s="163"/>
      <c r="E138" s="163"/>
      <c r="F138" s="163"/>
      <c r="G138" s="163"/>
      <c r="H138" s="163"/>
      <c r="I138" s="163"/>
      <c r="J138" s="163"/>
      <c r="K138" s="163"/>
      <c r="L138" s="163"/>
      <c r="M138" s="163"/>
      <c r="N138" s="163"/>
    </row>
    <row r="139" spans="2:14" x14ac:dyDescent="0.25">
      <c r="B139" s="163"/>
      <c r="C139" s="163"/>
      <c r="D139" s="163"/>
      <c r="E139" s="163"/>
      <c r="F139" s="163"/>
      <c r="G139" s="163"/>
      <c r="H139" s="163"/>
      <c r="I139" s="163"/>
      <c r="J139" s="163"/>
      <c r="K139" s="163"/>
      <c r="L139" s="163"/>
      <c r="M139" s="163"/>
      <c r="N139" s="163"/>
    </row>
    <row r="140" spans="2:14" x14ac:dyDescent="0.25">
      <c r="B140" s="163"/>
      <c r="C140" s="163"/>
      <c r="D140" s="163"/>
      <c r="E140" s="163"/>
      <c r="F140" s="163"/>
      <c r="G140" s="163"/>
      <c r="H140" s="163"/>
      <c r="I140" s="163"/>
      <c r="J140" s="163"/>
      <c r="K140" s="163"/>
      <c r="L140" s="163"/>
      <c r="M140" s="163"/>
      <c r="N140" s="163"/>
    </row>
    <row r="141" spans="2:14" x14ac:dyDescent="0.25">
      <c r="B141" s="163"/>
      <c r="C141" s="163"/>
      <c r="D141" s="163"/>
      <c r="E141" s="163"/>
      <c r="F141" s="163"/>
      <c r="G141" s="163"/>
      <c r="H141" s="163"/>
      <c r="I141" s="163"/>
      <c r="J141" s="163"/>
      <c r="K141" s="163"/>
      <c r="L141" s="163"/>
      <c r="M141" s="163"/>
      <c r="N141" s="163"/>
    </row>
    <row r="142" spans="2:14" x14ac:dyDescent="0.25">
      <c r="B142" s="163"/>
      <c r="C142" s="163"/>
      <c r="D142" s="163"/>
      <c r="E142" s="163"/>
      <c r="F142" s="163"/>
      <c r="G142" s="163"/>
      <c r="H142" s="163"/>
      <c r="I142" s="163"/>
      <c r="J142" s="163"/>
      <c r="K142" s="163"/>
      <c r="L142" s="163"/>
      <c r="M142" s="163"/>
      <c r="N142" s="163"/>
    </row>
    <row r="143" spans="2:14" x14ac:dyDescent="0.25">
      <c r="B143" s="163"/>
      <c r="C143" s="163"/>
      <c r="D143" s="163"/>
      <c r="E143" s="163"/>
      <c r="F143" s="163"/>
      <c r="G143" s="163"/>
      <c r="H143" s="163"/>
      <c r="I143" s="163"/>
      <c r="J143" s="163"/>
      <c r="K143" s="163"/>
      <c r="L143" s="163"/>
      <c r="M143" s="163"/>
      <c r="N143" s="163"/>
    </row>
    <row r="144" spans="2:14" x14ac:dyDescent="0.25">
      <c r="B144" s="163"/>
      <c r="C144" s="163"/>
      <c r="D144" s="163"/>
      <c r="E144" s="163"/>
      <c r="F144" s="163"/>
      <c r="G144" s="163"/>
      <c r="H144" s="163"/>
      <c r="I144" s="163"/>
      <c r="J144" s="163"/>
      <c r="K144" s="163"/>
      <c r="L144" s="163"/>
      <c r="M144" s="163"/>
      <c r="N144" s="163"/>
    </row>
    <row r="145" spans="2:14" x14ac:dyDescent="0.25">
      <c r="B145" s="163"/>
      <c r="C145" s="163"/>
      <c r="D145" s="163"/>
      <c r="E145" s="163"/>
      <c r="F145" s="163"/>
      <c r="G145" s="163"/>
      <c r="H145" s="163"/>
      <c r="I145" s="163"/>
      <c r="J145" s="163"/>
      <c r="K145" s="163"/>
      <c r="L145" s="163"/>
      <c r="M145" s="163"/>
      <c r="N145" s="163"/>
    </row>
    <row r="146" spans="2:14" x14ac:dyDescent="0.25">
      <c r="B146" s="163"/>
      <c r="C146" s="163"/>
      <c r="D146" s="163"/>
      <c r="E146" s="163"/>
      <c r="F146" s="163"/>
      <c r="G146" s="163"/>
      <c r="H146" s="163"/>
      <c r="I146" s="163"/>
      <c r="J146" s="163"/>
      <c r="K146" s="163"/>
      <c r="L146" s="163"/>
      <c r="M146" s="163"/>
      <c r="N146" s="163"/>
    </row>
    <row r="147" spans="2:14" x14ac:dyDescent="0.25">
      <c r="B147" s="163"/>
      <c r="C147" s="163"/>
      <c r="D147" s="163"/>
      <c r="E147" s="163"/>
      <c r="F147" s="163"/>
      <c r="G147" s="163"/>
      <c r="H147" s="163"/>
      <c r="I147" s="163"/>
      <c r="J147" s="163"/>
      <c r="K147" s="163"/>
      <c r="L147" s="163"/>
      <c r="M147" s="163"/>
      <c r="N147" s="163"/>
    </row>
    <row r="148" spans="2:14" x14ac:dyDescent="0.25">
      <c r="B148" s="163"/>
      <c r="C148" s="163"/>
      <c r="D148" s="163"/>
      <c r="E148" s="163"/>
      <c r="F148" s="163"/>
      <c r="G148" s="163"/>
      <c r="H148" s="163"/>
      <c r="I148" s="163"/>
      <c r="J148" s="163"/>
      <c r="K148" s="163"/>
      <c r="L148" s="163"/>
      <c r="M148" s="163"/>
      <c r="N148" s="163"/>
    </row>
    <row r="149" spans="2:14" x14ac:dyDescent="0.25">
      <c r="B149" s="163"/>
      <c r="C149" s="163"/>
      <c r="D149" s="163"/>
      <c r="E149" s="163"/>
      <c r="F149" s="163"/>
      <c r="G149" s="163"/>
      <c r="H149" s="163"/>
      <c r="I149" s="163"/>
      <c r="J149" s="163"/>
      <c r="K149" s="163"/>
      <c r="L149" s="163"/>
      <c r="M149" s="163"/>
      <c r="N149" s="163"/>
    </row>
    <row r="150" spans="2:14" x14ac:dyDescent="0.25">
      <c r="B150" s="163"/>
      <c r="C150" s="163"/>
      <c r="D150" s="163"/>
      <c r="E150" s="163"/>
      <c r="F150" s="163"/>
      <c r="G150" s="163"/>
      <c r="H150" s="163"/>
      <c r="I150" s="163"/>
      <c r="J150" s="163"/>
      <c r="K150" s="163"/>
      <c r="L150" s="163"/>
      <c r="M150" s="163"/>
      <c r="N150" s="163"/>
    </row>
    <row r="151" spans="2:14" x14ac:dyDescent="0.25">
      <c r="B151" s="163"/>
      <c r="C151" s="163"/>
      <c r="D151" s="163"/>
      <c r="E151" s="163"/>
      <c r="F151" s="163"/>
      <c r="G151" s="163"/>
      <c r="H151" s="163"/>
      <c r="I151" s="163"/>
      <c r="J151" s="163"/>
      <c r="K151" s="163"/>
      <c r="L151" s="163"/>
      <c r="M151" s="163"/>
      <c r="N151" s="163"/>
    </row>
    <row r="152" spans="2:14" x14ac:dyDescent="0.25">
      <c r="B152" s="163"/>
      <c r="C152" s="163"/>
      <c r="D152" s="163"/>
      <c r="E152" s="163"/>
      <c r="F152" s="163"/>
      <c r="G152" s="163"/>
      <c r="H152" s="163"/>
      <c r="I152" s="163"/>
      <c r="J152" s="163"/>
      <c r="K152" s="163"/>
      <c r="L152" s="163"/>
      <c r="M152" s="163"/>
      <c r="N152" s="163"/>
    </row>
    <row r="153" spans="2:14" x14ac:dyDescent="0.25">
      <c r="B153" s="163"/>
      <c r="C153" s="163"/>
      <c r="D153" s="163"/>
      <c r="E153" s="163"/>
      <c r="F153" s="163"/>
      <c r="G153" s="163"/>
      <c r="H153" s="163"/>
      <c r="I153" s="163"/>
      <c r="J153" s="163"/>
      <c r="K153" s="163"/>
      <c r="L153" s="163"/>
      <c r="M153" s="163"/>
      <c r="N153" s="163"/>
    </row>
    <row r="154" spans="2:14" x14ac:dyDescent="0.25">
      <c r="B154" s="163"/>
      <c r="C154" s="163"/>
      <c r="D154" s="163"/>
      <c r="E154" s="163"/>
      <c r="F154" s="163"/>
      <c r="G154" s="163"/>
      <c r="H154" s="163"/>
      <c r="I154" s="163"/>
      <c r="J154" s="163"/>
      <c r="K154" s="163"/>
      <c r="L154" s="163"/>
      <c r="M154" s="163"/>
      <c r="N154" s="163"/>
    </row>
    <row r="155" spans="2:14" x14ac:dyDescent="0.25">
      <c r="B155" s="163"/>
      <c r="C155" s="163"/>
      <c r="D155" s="163"/>
      <c r="E155" s="163"/>
      <c r="F155" s="163"/>
      <c r="G155" s="163"/>
      <c r="H155" s="163"/>
      <c r="I155" s="163"/>
      <c r="J155" s="163"/>
      <c r="K155" s="163"/>
      <c r="L155" s="163"/>
      <c r="M155" s="163"/>
      <c r="N155" s="163"/>
    </row>
    <row r="156" spans="2:14" x14ac:dyDescent="0.25">
      <c r="B156" s="163"/>
      <c r="C156" s="163"/>
      <c r="D156" s="163"/>
      <c r="E156" s="163"/>
      <c r="F156" s="163"/>
      <c r="G156" s="163"/>
      <c r="H156" s="163"/>
      <c r="I156" s="163"/>
      <c r="J156" s="163"/>
      <c r="K156" s="163"/>
      <c r="L156" s="163"/>
      <c r="M156" s="163"/>
      <c r="N156" s="163"/>
    </row>
    <row r="157" spans="2:14" x14ac:dyDescent="0.25">
      <c r="B157" s="163"/>
      <c r="C157" s="163"/>
      <c r="D157" s="163"/>
      <c r="E157" s="163"/>
      <c r="F157" s="163"/>
      <c r="G157" s="163"/>
      <c r="H157" s="163"/>
      <c r="I157" s="163"/>
      <c r="J157" s="163"/>
      <c r="K157" s="163"/>
      <c r="L157" s="163"/>
      <c r="M157" s="163"/>
      <c r="N157" s="163"/>
    </row>
    <row r="158" spans="2:14" x14ac:dyDescent="0.25">
      <c r="B158" s="163"/>
      <c r="C158" s="163"/>
      <c r="D158" s="163"/>
      <c r="E158" s="163"/>
      <c r="F158" s="163"/>
      <c r="G158" s="163"/>
      <c r="H158" s="163"/>
      <c r="I158" s="163"/>
      <c r="J158" s="163"/>
      <c r="K158" s="163"/>
      <c r="L158" s="163"/>
      <c r="M158" s="163"/>
      <c r="N158" s="163"/>
    </row>
    <row r="159" spans="2:14" x14ac:dyDescent="0.25">
      <c r="B159" s="163"/>
      <c r="C159" s="163"/>
      <c r="D159" s="163"/>
      <c r="E159" s="163"/>
      <c r="F159" s="163"/>
      <c r="G159" s="163"/>
      <c r="H159" s="163"/>
      <c r="I159" s="163"/>
      <c r="J159" s="163"/>
      <c r="K159" s="163"/>
      <c r="L159" s="163"/>
      <c r="M159" s="163"/>
      <c r="N159" s="163"/>
    </row>
    <row r="160" spans="2:14" x14ac:dyDescent="0.25">
      <c r="B160" s="163"/>
      <c r="C160" s="163"/>
      <c r="D160" s="163"/>
      <c r="E160" s="163"/>
      <c r="F160" s="163"/>
      <c r="G160" s="163"/>
      <c r="H160" s="163"/>
      <c r="I160" s="163"/>
      <c r="J160" s="163"/>
      <c r="K160" s="163"/>
      <c r="L160" s="163"/>
      <c r="M160" s="163"/>
      <c r="N160" s="163"/>
    </row>
    <row r="161" spans="2:14" x14ac:dyDescent="0.25">
      <c r="B161" s="163"/>
      <c r="C161" s="163"/>
      <c r="D161" s="163"/>
      <c r="E161" s="163"/>
      <c r="F161" s="163"/>
      <c r="G161" s="163"/>
      <c r="H161" s="163"/>
      <c r="I161" s="163"/>
      <c r="J161" s="163"/>
      <c r="K161" s="163"/>
      <c r="L161" s="163"/>
      <c r="M161" s="163"/>
      <c r="N161" s="163"/>
    </row>
    <row r="162" spans="2:14" x14ac:dyDescent="0.25">
      <c r="B162" s="163"/>
      <c r="C162" s="163"/>
      <c r="D162" s="163"/>
      <c r="E162" s="163"/>
      <c r="F162" s="163"/>
      <c r="G162" s="163"/>
      <c r="H162" s="163"/>
      <c r="I162" s="163"/>
      <c r="J162" s="163"/>
      <c r="K162" s="163"/>
      <c r="L162" s="163"/>
      <c r="M162" s="163"/>
      <c r="N162" s="163"/>
    </row>
    <row r="163" spans="2:14" x14ac:dyDescent="0.25">
      <c r="B163" s="163"/>
      <c r="C163" s="163"/>
      <c r="D163" s="163"/>
      <c r="E163" s="163"/>
      <c r="F163" s="163"/>
      <c r="G163" s="163"/>
      <c r="H163" s="163"/>
      <c r="I163" s="163"/>
      <c r="J163" s="163"/>
      <c r="K163" s="163"/>
      <c r="L163" s="163"/>
      <c r="M163" s="163"/>
      <c r="N163" s="163"/>
    </row>
    <row r="164" spans="2:14" x14ac:dyDescent="0.25">
      <c r="B164" s="163"/>
      <c r="C164" s="163"/>
      <c r="D164" s="163"/>
      <c r="E164" s="163"/>
      <c r="F164" s="163"/>
      <c r="G164" s="163"/>
      <c r="H164" s="163"/>
      <c r="I164" s="163"/>
      <c r="J164" s="163"/>
      <c r="K164" s="163"/>
      <c r="L164" s="163"/>
      <c r="M164" s="163"/>
      <c r="N164" s="163"/>
    </row>
    <row r="165" spans="2:14" x14ac:dyDescent="0.25">
      <c r="B165" s="163"/>
      <c r="C165" s="163"/>
      <c r="D165" s="163"/>
      <c r="E165" s="163"/>
      <c r="F165" s="163"/>
      <c r="G165" s="163"/>
      <c r="H165" s="163"/>
      <c r="I165" s="163"/>
      <c r="J165" s="163"/>
      <c r="K165" s="163"/>
      <c r="L165" s="163"/>
      <c r="M165" s="163"/>
      <c r="N165" s="163"/>
    </row>
    <row r="166" spans="2:14" x14ac:dyDescent="0.25">
      <c r="B166" s="163"/>
      <c r="C166" s="163"/>
      <c r="D166" s="163"/>
      <c r="E166" s="163"/>
      <c r="F166" s="163"/>
      <c r="G166" s="163"/>
      <c r="H166" s="163"/>
      <c r="I166" s="163"/>
      <c r="J166" s="163"/>
      <c r="K166" s="163"/>
      <c r="L166" s="163"/>
      <c r="M166" s="163"/>
      <c r="N166" s="163"/>
    </row>
    <row r="167" spans="2:14" x14ac:dyDescent="0.25">
      <c r="B167" s="163"/>
      <c r="C167" s="163"/>
      <c r="D167" s="163"/>
      <c r="E167" s="163"/>
      <c r="F167" s="163"/>
      <c r="G167" s="163"/>
      <c r="H167" s="163"/>
      <c r="I167" s="163"/>
      <c r="J167" s="163"/>
      <c r="K167" s="163"/>
      <c r="L167" s="163"/>
      <c r="M167" s="163"/>
      <c r="N167" s="163"/>
    </row>
    <row r="168" spans="2:14" x14ac:dyDescent="0.25">
      <c r="B168" s="163"/>
      <c r="C168" s="163"/>
      <c r="D168" s="163"/>
      <c r="E168" s="163"/>
      <c r="F168" s="163"/>
      <c r="G168" s="163"/>
      <c r="H168" s="163"/>
      <c r="I168" s="163"/>
      <c r="J168" s="163"/>
      <c r="K168" s="163"/>
      <c r="L168" s="163"/>
      <c r="M168" s="163"/>
      <c r="N168" s="163"/>
    </row>
    <row r="169" spans="2:14" x14ac:dyDescent="0.25">
      <c r="B169" s="163"/>
      <c r="C169" s="163"/>
      <c r="D169" s="163"/>
      <c r="E169" s="163"/>
      <c r="F169" s="163"/>
      <c r="G169" s="163"/>
      <c r="H169" s="163"/>
      <c r="I169" s="163"/>
      <c r="J169" s="163"/>
      <c r="K169" s="163"/>
      <c r="L169" s="163"/>
      <c r="M169" s="163"/>
      <c r="N169" s="163"/>
    </row>
    <row r="170" spans="2:14" x14ac:dyDescent="0.25">
      <c r="B170" s="163"/>
      <c r="C170" s="163"/>
      <c r="D170" s="163"/>
      <c r="E170" s="163"/>
      <c r="F170" s="163"/>
      <c r="G170" s="163"/>
      <c r="H170" s="163"/>
      <c r="I170" s="163"/>
      <c r="J170" s="163"/>
      <c r="K170" s="163"/>
      <c r="L170" s="163"/>
      <c r="M170" s="163"/>
      <c r="N170" s="163"/>
    </row>
    <row r="171" spans="2:14" x14ac:dyDescent="0.25">
      <c r="B171" s="163"/>
      <c r="C171" s="163"/>
      <c r="D171" s="163"/>
      <c r="E171" s="163"/>
      <c r="F171" s="163"/>
      <c r="G171" s="163"/>
      <c r="H171" s="163"/>
      <c r="I171" s="163"/>
      <c r="J171" s="163"/>
      <c r="K171" s="163"/>
      <c r="L171" s="163"/>
      <c r="M171" s="163"/>
      <c r="N171" s="163"/>
    </row>
    <row r="172" spans="2:14" x14ac:dyDescent="0.25">
      <c r="B172" s="163"/>
      <c r="C172" s="163"/>
      <c r="D172" s="163"/>
      <c r="E172" s="163"/>
      <c r="F172" s="163"/>
      <c r="G172" s="163"/>
      <c r="H172" s="163"/>
      <c r="I172" s="163"/>
      <c r="J172" s="163"/>
      <c r="K172" s="163"/>
      <c r="L172" s="163"/>
      <c r="M172" s="163"/>
      <c r="N172" s="163"/>
    </row>
    <row r="173" spans="2:14" x14ac:dyDescent="0.25">
      <c r="B173" s="163"/>
      <c r="C173" s="163"/>
      <c r="D173" s="163"/>
      <c r="E173" s="163"/>
      <c r="F173" s="163"/>
      <c r="G173" s="163"/>
      <c r="H173" s="163"/>
      <c r="I173" s="163"/>
      <c r="J173" s="163"/>
      <c r="K173" s="163"/>
      <c r="L173" s="163"/>
      <c r="M173" s="163"/>
      <c r="N173" s="163"/>
    </row>
    <row r="174" spans="2:14" x14ac:dyDescent="0.25">
      <c r="B174" s="163"/>
      <c r="C174" s="163"/>
      <c r="D174" s="163"/>
      <c r="E174" s="163"/>
      <c r="F174" s="163"/>
      <c r="G174" s="163"/>
      <c r="H174" s="163"/>
      <c r="I174" s="163"/>
      <c r="J174" s="163"/>
      <c r="K174" s="163"/>
      <c r="L174" s="163"/>
      <c r="M174" s="163"/>
      <c r="N174" s="163"/>
    </row>
    <row r="175" spans="2:14" x14ac:dyDescent="0.25">
      <c r="B175" s="163"/>
      <c r="C175" s="163"/>
      <c r="D175" s="163"/>
      <c r="E175" s="163"/>
      <c r="F175" s="163"/>
      <c r="G175" s="163"/>
      <c r="H175" s="163"/>
      <c r="I175" s="163"/>
      <c r="J175" s="163"/>
      <c r="K175" s="163"/>
      <c r="L175" s="163"/>
      <c r="M175" s="163"/>
      <c r="N175" s="163"/>
    </row>
    <row r="176" spans="2:14" x14ac:dyDescent="0.25">
      <c r="B176" s="163"/>
      <c r="C176" s="163"/>
      <c r="D176" s="163"/>
      <c r="E176" s="163"/>
      <c r="F176" s="163"/>
      <c r="G176" s="163"/>
      <c r="H176" s="163"/>
      <c r="I176" s="163"/>
      <c r="J176" s="163"/>
      <c r="K176" s="163"/>
      <c r="L176" s="163"/>
      <c r="M176" s="163"/>
      <c r="N176" s="163"/>
    </row>
    <row r="177" spans="2:14" x14ac:dyDescent="0.25">
      <c r="B177" s="163"/>
      <c r="C177" s="163"/>
      <c r="D177" s="163"/>
      <c r="E177" s="163"/>
      <c r="F177" s="163"/>
      <c r="G177" s="163"/>
      <c r="H177" s="163"/>
      <c r="I177" s="163"/>
      <c r="J177" s="163"/>
      <c r="K177" s="163"/>
      <c r="L177" s="163"/>
      <c r="M177" s="163"/>
      <c r="N177" s="163"/>
    </row>
    <row r="178" spans="2:14" x14ac:dyDescent="0.25">
      <c r="B178" s="163"/>
      <c r="C178" s="163"/>
      <c r="D178" s="163"/>
      <c r="E178" s="163"/>
      <c r="F178" s="163"/>
      <c r="G178" s="163"/>
      <c r="H178" s="163"/>
      <c r="I178" s="163"/>
      <c r="J178" s="163"/>
      <c r="K178" s="163"/>
      <c r="L178" s="163"/>
      <c r="M178" s="163"/>
      <c r="N178" s="163"/>
    </row>
    <row r="179" spans="2:14" x14ac:dyDescent="0.25">
      <c r="B179" s="163"/>
      <c r="C179" s="163"/>
      <c r="D179" s="163"/>
      <c r="E179" s="163"/>
      <c r="F179" s="163"/>
      <c r="G179" s="163"/>
      <c r="H179" s="163"/>
      <c r="I179" s="163"/>
      <c r="J179" s="163"/>
      <c r="K179" s="163"/>
      <c r="L179" s="163"/>
      <c r="M179" s="163"/>
      <c r="N179" s="163"/>
    </row>
    <row r="180" spans="2:14" x14ac:dyDescent="0.25">
      <c r="B180" s="163"/>
      <c r="C180" s="163"/>
      <c r="D180" s="163"/>
      <c r="E180" s="163"/>
      <c r="F180" s="163"/>
      <c r="G180" s="163"/>
      <c r="H180" s="163"/>
      <c r="I180" s="163"/>
      <c r="J180" s="163"/>
      <c r="K180" s="163"/>
      <c r="L180" s="163"/>
      <c r="M180" s="163"/>
      <c r="N180" s="163"/>
    </row>
    <row r="181" spans="2:14" x14ac:dyDescent="0.25">
      <c r="B181" s="163"/>
      <c r="C181" s="163"/>
      <c r="D181" s="163"/>
      <c r="E181" s="163"/>
      <c r="F181" s="163"/>
      <c r="G181" s="163"/>
      <c r="H181" s="163"/>
      <c r="I181" s="163"/>
      <c r="J181" s="163"/>
      <c r="K181" s="163"/>
      <c r="L181" s="163"/>
      <c r="M181" s="163"/>
      <c r="N181" s="163"/>
    </row>
    <row r="182" spans="2:14" x14ac:dyDescent="0.25">
      <c r="B182" s="163"/>
      <c r="C182" s="163"/>
      <c r="D182" s="163"/>
      <c r="E182" s="163"/>
      <c r="F182" s="163"/>
      <c r="G182" s="163"/>
      <c r="H182" s="163"/>
      <c r="I182" s="163"/>
      <c r="J182" s="163"/>
      <c r="K182" s="163"/>
      <c r="L182" s="163"/>
      <c r="M182" s="163"/>
      <c r="N182" s="163"/>
    </row>
    <row r="183" spans="2:14" x14ac:dyDescent="0.25">
      <c r="B183" s="163"/>
      <c r="C183" s="163"/>
      <c r="D183" s="163"/>
      <c r="E183" s="163"/>
      <c r="F183" s="163"/>
      <c r="G183" s="163"/>
      <c r="H183" s="163"/>
      <c r="I183" s="163"/>
      <c r="J183" s="163"/>
      <c r="K183" s="163"/>
      <c r="L183" s="163"/>
      <c r="M183" s="163"/>
      <c r="N183" s="163"/>
    </row>
    <row r="184" spans="2:14" x14ac:dyDescent="0.25">
      <c r="B184" s="163"/>
      <c r="C184" s="163"/>
      <c r="D184" s="163"/>
      <c r="E184" s="163"/>
      <c r="F184" s="163"/>
      <c r="G184" s="163"/>
      <c r="H184" s="163"/>
      <c r="I184" s="163"/>
      <c r="J184" s="163"/>
      <c r="K184" s="163"/>
      <c r="L184" s="163"/>
      <c r="M184" s="163"/>
      <c r="N184" s="163"/>
    </row>
    <row r="185" spans="2:14" x14ac:dyDescent="0.25">
      <c r="B185" s="163"/>
      <c r="C185" s="163"/>
      <c r="D185" s="163"/>
      <c r="E185" s="163"/>
      <c r="F185" s="163"/>
      <c r="G185" s="163"/>
      <c r="H185" s="163"/>
      <c r="I185" s="163"/>
      <c r="J185" s="163"/>
      <c r="K185" s="163"/>
      <c r="L185" s="163"/>
      <c r="M185" s="163"/>
      <c r="N185" s="163"/>
    </row>
    <row r="186" spans="2:14" x14ac:dyDescent="0.25">
      <c r="B186" s="163"/>
      <c r="C186" s="163"/>
      <c r="D186" s="163"/>
      <c r="E186" s="163"/>
      <c r="F186" s="163"/>
      <c r="G186" s="163"/>
      <c r="H186" s="163"/>
      <c r="I186" s="163"/>
      <c r="J186" s="163"/>
      <c r="K186" s="163"/>
      <c r="L186" s="163"/>
      <c r="M186" s="163"/>
      <c r="N186" s="163"/>
    </row>
    <row r="187" spans="2:14" x14ac:dyDescent="0.25">
      <c r="B187" s="163"/>
      <c r="C187" s="163"/>
      <c r="D187" s="163"/>
      <c r="E187" s="163"/>
      <c r="F187" s="163"/>
      <c r="G187" s="163"/>
      <c r="H187" s="163"/>
      <c r="I187" s="163"/>
      <c r="J187" s="163"/>
      <c r="K187" s="163"/>
      <c r="L187" s="163"/>
      <c r="M187" s="163"/>
      <c r="N187" s="163"/>
    </row>
    <row r="188" spans="2:14" x14ac:dyDescent="0.25">
      <c r="B188" s="163"/>
      <c r="C188" s="163"/>
      <c r="D188" s="163"/>
      <c r="E188" s="163"/>
      <c r="F188" s="163"/>
      <c r="G188" s="163"/>
      <c r="H188" s="163"/>
      <c r="I188" s="163"/>
      <c r="J188" s="163"/>
      <c r="K188" s="163"/>
      <c r="L188" s="163"/>
      <c r="M188" s="163"/>
      <c r="N188" s="163"/>
    </row>
    <row r="189" spans="2:14" x14ac:dyDescent="0.25">
      <c r="B189" s="163"/>
      <c r="C189" s="163"/>
      <c r="D189" s="163"/>
      <c r="E189" s="163"/>
      <c r="F189" s="163"/>
      <c r="G189" s="163"/>
      <c r="H189" s="163"/>
      <c r="I189" s="163"/>
      <c r="J189" s="163"/>
      <c r="K189" s="163"/>
      <c r="L189" s="163"/>
      <c r="M189" s="163"/>
      <c r="N189" s="163"/>
    </row>
    <row r="190" spans="2:14" x14ac:dyDescent="0.25">
      <c r="B190" s="163"/>
      <c r="C190" s="163"/>
      <c r="D190" s="163"/>
      <c r="E190" s="163"/>
      <c r="F190" s="163"/>
      <c r="G190" s="163"/>
      <c r="H190" s="163"/>
      <c r="I190" s="163"/>
      <c r="J190" s="163"/>
      <c r="K190" s="163"/>
      <c r="L190" s="163"/>
      <c r="M190" s="163"/>
      <c r="N190" s="163"/>
    </row>
    <row r="191" spans="2:14" x14ac:dyDescent="0.25">
      <c r="B191" s="163"/>
      <c r="C191" s="163"/>
      <c r="D191" s="163"/>
      <c r="E191" s="163"/>
      <c r="F191" s="163"/>
      <c r="G191" s="163"/>
      <c r="H191" s="163"/>
      <c r="I191" s="163"/>
      <c r="J191" s="163"/>
      <c r="K191" s="163"/>
      <c r="L191" s="163"/>
      <c r="M191" s="163"/>
      <c r="N191" s="163"/>
    </row>
    <row r="192" spans="2:14" x14ac:dyDescent="0.25">
      <c r="B192" s="163"/>
      <c r="C192" s="163"/>
      <c r="D192" s="163"/>
      <c r="E192" s="163"/>
      <c r="F192" s="163"/>
      <c r="G192" s="163"/>
      <c r="H192" s="163"/>
      <c r="I192" s="163"/>
      <c r="J192" s="163"/>
      <c r="K192" s="163"/>
      <c r="L192" s="163"/>
      <c r="M192" s="163"/>
      <c r="N192" s="163"/>
    </row>
    <row r="193" spans="2:14" x14ac:dyDescent="0.25">
      <c r="B193" s="163"/>
      <c r="C193" s="163"/>
      <c r="D193" s="163"/>
      <c r="E193" s="163"/>
      <c r="F193" s="163"/>
      <c r="G193" s="163"/>
      <c r="H193" s="163"/>
      <c r="I193" s="163"/>
      <c r="J193" s="163"/>
      <c r="K193" s="163"/>
      <c r="L193" s="163"/>
      <c r="M193" s="163"/>
      <c r="N193" s="163"/>
    </row>
    <row r="194" spans="2:14" x14ac:dyDescent="0.25">
      <c r="B194" s="163"/>
      <c r="C194" s="163"/>
      <c r="D194" s="163"/>
      <c r="E194" s="163"/>
      <c r="F194" s="163"/>
      <c r="G194" s="163"/>
      <c r="H194" s="163"/>
      <c r="I194" s="163"/>
      <c r="J194" s="163"/>
      <c r="K194" s="163"/>
      <c r="L194" s="163"/>
      <c r="M194" s="163"/>
      <c r="N194" s="163"/>
    </row>
    <row r="195" spans="2:14" x14ac:dyDescent="0.25">
      <c r="B195" s="163"/>
      <c r="C195" s="163"/>
      <c r="D195" s="163"/>
      <c r="E195" s="163"/>
      <c r="F195" s="163"/>
      <c r="G195" s="163"/>
      <c r="H195" s="163"/>
      <c r="I195" s="163"/>
      <c r="J195" s="163"/>
      <c r="K195" s="163"/>
      <c r="L195" s="163"/>
      <c r="M195" s="163"/>
      <c r="N195" s="163"/>
    </row>
    <row r="196" spans="2:14" x14ac:dyDescent="0.25">
      <c r="B196" s="163"/>
      <c r="C196" s="163"/>
      <c r="D196" s="163"/>
      <c r="E196" s="163"/>
      <c r="F196" s="163"/>
      <c r="G196" s="163"/>
      <c r="H196" s="163"/>
      <c r="I196" s="163"/>
      <c r="J196" s="163"/>
      <c r="K196" s="163"/>
      <c r="L196" s="163"/>
      <c r="M196" s="163"/>
      <c r="N196" s="163"/>
    </row>
    <row r="197" spans="2:14" x14ac:dyDescent="0.25">
      <c r="B197" s="163"/>
      <c r="C197" s="163"/>
      <c r="D197" s="163"/>
      <c r="E197" s="163"/>
      <c r="F197" s="163"/>
      <c r="G197" s="163"/>
      <c r="H197" s="163"/>
      <c r="I197" s="163"/>
      <c r="J197" s="163"/>
      <c r="K197" s="163"/>
      <c r="L197" s="163"/>
      <c r="M197" s="163"/>
      <c r="N197" s="163"/>
    </row>
    <row r="198" spans="2:14" x14ac:dyDescent="0.25">
      <c r="B198" s="163"/>
      <c r="C198" s="163"/>
      <c r="D198" s="163"/>
      <c r="E198" s="163"/>
      <c r="F198" s="163"/>
      <c r="G198" s="163"/>
      <c r="H198" s="163"/>
      <c r="I198" s="163"/>
      <c r="J198" s="163"/>
      <c r="K198" s="163"/>
      <c r="L198" s="163"/>
      <c r="M198" s="163"/>
      <c r="N198" s="163"/>
    </row>
    <row r="199" spans="2:14" x14ac:dyDescent="0.25">
      <c r="B199" s="163"/>
      <c r="C199" s="163"/>
      <c r="D199" s="163"/>
      <c r="E199" s="163"/>
      <c r="F199" s="163"/>
      <c r="G199" s="163"/>
      <c r="H199" s="163"/>
      <c r="I199" s="163"/>
      <c r="J199" s="163"/>
      <c r="K199" s="163"/>
      <c r="L199" s="163"/>
      <c r="M199" s="163"/>
      <c r="N199" s="163"/>
    </row>
    <row r="200" spans="2:14" x14ac:dyDescent="0.25">
      <c r="B200" s="163"/>
      <c r="C200" s="163"/>
      <c r="D200" s="163"/>
      <c r="E200" s="163"/>
      <c r="F200" s="163"/>
      <c r="G200" s="163"/>
      <c r="H200" s="163"/>
      <c r="I200" s="163"/>
      <c r="J200" s="163"/>
      <c r="K200" s="163"/>
      <c r="L200" s="163"/>
      <c r="M200" s="163"/>
      <c r="N200" s="163"/>
    </row>
    <row r="201" spans="2:14" x14ac:dyDescent="0.25">
      <c r="B201" s="163"/>
      <c r="C201" s="163"/>
      <c r="D201" s="163"/>
      <c r="E201" s="163"/>
      <c r="F201" s="163"/>
      <c r="G201" s="163"/>
      <c r="H201" s="163"/>
      <c r="I201" s="163"/>
      <c r="J201" s="163"/>
      <c r="K201" s="163"/>
      <c r="L201" s="163"/>
      <c r="M201" s="163"/>
      <c r="N201" s="163"/>
    </row>
    <row r="202" spans="2:14" x14ac:dyDescent="0.25">
      <c r="B202" s="163"/>
      <c r="C202" s="163"/>
      <c r="D202" s="163"/>
      <c r="E202" s="163"/>
      <c r="F202" s="163"/>
      <c r="G202" s="163"/>
      <c r="H202" s="163"/>
      <c r="I202" s="163"/>
      <c r="J202" s="163"/>
      <c r="K202" s="163"/>
      <c r="L202" s="163"/>
      <c r="M202" s="163"/>
      <c r="N202" s="163"/>
    </row>
    <row r="203" spans="2:14" x14ac:dyDescent="0.25">
      <c r="B203" s="163"/>
      <c r="C203" s="163"/>
      <c r="D203" s="163"/>
      <c r="E203" s="163"/>
      <c r="F203" s="163"/>
      <c r="G203" s="163"/>
      <c r="H203" s="163"/>
      <c r="I203" s="163"/>
      <c r="J203" s="163"/>
      <c r="K203" s="163"/>
      <c r="L203" s="163"/>
      <c r="M203" s="163"/>
      <c r="N203" s="163"/>
    </row>
    <row r="204" spans="2:14" x14ac:dyDescent="0.25">
      <c r="B204" s="163"/>
      <c r="C204" s="163"/>
      <c r="D204" s="163"/>
      <c r="E204" s="163"/>
      <c r="F204" s="163"/>
      <c r="G204" s="163"/>
      <c r="H204" s="163"/>
      <c r="I204" s="163"/>
      <c r="J204" s="163"/>
      <c r="K204" s="163"/>
      <c r="L204" s="163"/>
      <c r="M204" s="163"/>
      <c r="N204" s="163"/>
    </row>
    <row r="205" spans="2:14" x14ac:dyDescent="0.25">
      <c r="B205" s="163"/>
      <c r="C205" s="163"/>
      <c r="D205" s="163"/>
      <c r="E205" s="163"/>
      <c r="F205" s="163"/>
      <c r="G205" s="163"/>
      <c r="H205" s="163"/>
      <c r="I205" s="163"/>
      <c r="J205" s="163"/>
      <c r="K205" s="163"/>
      <c r="L205" s="163"/>
      <c r="M205" s="163"/>
      <c r="N205" s="163"/>
    </row>
    <row r="206" spans="2:14" x14ac:dyDescent="0.25">
      <c r="B206" s="163"/>
      <c r="C206" s="163"/>
      <c r="D206" s="163"/>
      <c r="E206" s="163"/>
      <c r="F206" s="163"/>
      <c r="G206" s="163"/>
      <c r="H206" s="163"/>
      <c r="I206" s="163"/>
      <c r="J206" s="163"/>
      <c r="K206" s="163"/>
      <c r="L206" s="163"/>
      <c r="M206" s="163"/>
      <c r="N206" s="163"/>
    </row>
    <row r="207" spans="2:14" x14ac:dyDescent="0.25">
      <c r="B207" s="163"/>
      <c r="C207" s="163"/>
      <c r="D207" s="163"/>
      <c r="E207" s="163"/>
      <c r="F207" s="163"/>
      <c r="G207" s="163"/>
      <c r="H207" s="163"/>
      <c r="I207" s="163"/>
      <c r="J207" s="163"/>
      <c r="K207" s="163"/>
      <c r="L207" s="163"/>
      <c r="M207" s="163"/>
      <c r="N207" s="163"/>
    </row>
    <row r="208" spans="2:14" x14ac:dyDescent="0.25">
      <c r="B208" s="163"/>
      <c r="C208" s="163"/>
      <c r="D208" s="163"/>
      <c r="E208" s="163"/>
      <c r="F208" s="163"/>
      <c r="G208" s="163"/>
      <c r="H208" s="163"/>
      <c r="I208" s="163"/>
      <c r="J208" s="163"/>
      <c r="K208" s="163"/>
      <c r="L208" s="163"/>
      <c r="M208" s="163"/>
      <c r="N208" s="163"/>
    </row>
    <row r="209" spans="2:14" x14ac:dyDescent="0.25">
      <c r="B209" s="163"/>
      <c r="C209" s="163"/>
      <c r="D209" s="163"/>
      <c r="E209" s="163"/>
      <c r="F209" s="163"/>
      <c r="G209" s="163"/>
      <c r="H209" s="163"/>
      <c r="I209" s="163"/>
      <c r="J209" s="163"/>
      <c r="K209" s="163"/>
      <c r="L209" s="163"/>
      <c r="M209" s="163"/>
      <c r="N209" s="163"/>
    </row>
    <row r="210" spans="2:14" x14ac:dyDescent="0.25">
      <c r="B210" s="163"/>
      <c r="C210" s="163"/>
      <c r="D210" s="163"/>
      <c r="E210" s="163"/>
      <c r="F210" s="163"/>
      <c r="G210" s="163"/>
      <c r="H210" s="163"/>
      <c r="I210" s="163"/>
      <c r="J210" s="163"/>
      <c r="K210" s="163"/>
      <c r="L210" s="163"/>
      <c r="M210" s="163"/>
      <c r="N210" s="163"/>
    </row>
    <row r="211" spans="2:14" x14ac:dyDescent="0.25">
      <c r="B211" s="163"/>
      <c r="C211" s="163"/>
      <c r="D211" s="163"/>
      <c r="E211" s="163"/>
      <c r="F211" s="163"/>
      <c r="G211" s="163"/>
      <c r="H211" s="163"/>
      <c r="I211" s="163"/>
      <c r="J211" s="163"/>
      <c r="K211" s="163"/>
      <c r="L211" s="163"/>
      <c r="M211" s="163"/>
      <c r="N211" s="163"/>
    </row>
    <row r="212" spans="2:14" x14ac:dyDescent="0.25">
      <c r="B212" s="163"/>
      <c r="C212" s="163"/>
      <c r="D212" s="163"/>
      <c r="E212" s="163"/>
      <c r="F212" s="163"/>
      <c r="G212" s="163"/>
      <c r="H212" s="163"/>
      <c r="I212" s="163"/>
      <c r="J212" s="163"/>
      <c r="K212" s="163"/>
      <c r="L212" s="163"/>
      <c r="M212" s="163"/>
      <c r="N212" s="163"/>
    </row>
    <row r="213" spans="2:14" x14ac:dyDescent="0.25">
      <c r="B213" s="163"/>
      <c r="C213" s="163"/>
      <c r="D213" s="163"/>
      <c r="E213" s="163"/>
      <c r="F213" s="163"/>
      <c r="G213" s="163"/>
      <c r="H213" s="163"/>
      <c r="I213" s="163"/>
      <c r="J213" s="163"/>
      <c r="K213" s="163"/>
      <c r="L213" s="163"/>
      <c r="M213" s="163"/>
      <c r="N213" s="163"/>
    </row>
    <row r="214" spans="2:14" x14ac:dyDescent="0.25">
      <c r="B214" s="163"/>
      <c r="C214" s="163"/>
      <c r="D214" s="163"/>
      <c r="E214" s="163"/>
      <c r="F214" s="163"/>
      <c r="G214" s="163"/>
      <c r="H214" s="163"/>
      <c r="I214" s="163"/>
      <c r="J214" s="163"/>
      <c r="K214" s="163"/>
      <c r="L214" s="163"/>
      <c r="M214" s="163"/>
      <c r="N214" s="163"/>
    </row>
    <row r="215" spans="2:14" x14ac:dyDescent="0.25">
      <c r="B215" s="163"/>
      <c r="C215" s="163"/>
      <c r="D215" s="163"/>
      <c r="E215" s="163"/>
      <c r="F215" s="163"/>
      <c r="G215" s="163"/>
      <c r="H215" s="163"/>
      <c r="I215" s="163"/>
      <c r="J215" s="163"/>
      <c r="K215" s="163"/>
      <c r="L215" s="163"/>
      <c r="M215" s="163"/>
      <c r="N215" s="163"/>
    </row>
    <row r="216" spans="2:14" x14ac:dyDescent="0.25">
      <c r="B216" s="163"/>
      <c r="C216" s="163"/>
      <c r="D216" s="163"/>
      <c r="E216" s="163"/>
      <c r="F216" s="163"/>
      <c r="G216" s="163"/>
      <c r="H216" s="163"/>
      <c r="I216" s="163"/>
      <c r="J216" s="163"/>
      <c r="K216" s="163"/>
      <c r="L216" s="163"/>
      <c r="M216" s="163"/>
      <c r="N216" s="163"/>
    </row>
    <row r="217" spans="2:14" x14ac:dyDescent="0.25">
      <c r="B217" s="163"/>
      <c r="C217" s="163"/>
      <c r="D217" s="163"/>
      <c r="E217" s="163"/>
      <c r="F217" s="163"/>
      <c r="G217" s="163"/>
      <c r="H217" s="163"/>
      <c r="I217" s="163"/>
      <c r="J217" s="163"/>
      <c r="K217" s="163"/>
      <c r="L217" s="163"/>
      <c r="M217" s="163"/>
      <c r="N217" s="163"/>
    </row>
    <row r="218" spans="2:14" x14ac:dyDescent="0.25">
      <c r="B218" s="163"/>
      <c r="C218" s="163"/>
      <c r="D218" s="163"/>
      <c r="E218" s="163"/>
      <c r="F218" s="163"/>
      <c r="G218" s="163"/>
      <c r="H218" s="163"/>
      <c r="I218" s="163"/>
      <c r="J218" s="163"/>
      <c r="K218" s="163"/>
      <c r="L218" s="163"/>
      <c r="M218" s="163"/>
      <c r="N218" s="163"/>
    </row>
    <row r="219" spans="2:14" x14ac:dyDescent="0.25">
      <c r="B219" s="163"/>
      <c r="C219" s="163"/>
      <c r="D219" s="163"/>
      <c r="E219" s="163"/>
      <c r="F219" s="163"/>
      <c r="G219" s="163"/>
      <c r="H219" s="163"/>
      <c r="I219" s="163"/>
      <c r="J219" s="163"/>
      <c r="K219" s="163"/>
      <c r="L219" s="163"/>
      <c r="M219" s="163"/>
      <c r="N219" s="163"/>
    </row>
    <row r="220" spans="2:14" x14ac:dyDescent="0.25">
      <c r="B220" s="163"/>
      <c r="C220" s="163"/>
      <c r="D220" s="163"/>
      <c r="E220" s="163"/>
      <c r="F220" s="163"/>
      <c r="G220" s="163"/>
      <c r="H220" s="163"/>
      <c r="I220" s="163"/>
      <c r="J220" s="163"/>
      <c r="K220" s="163"/>
      <c r="L220" s="163"/>
      <c r="M220" s="163"/>
      <c r="N220" s="163"/>
    </row>
    <row r="221" spans="2:14" x14ac:dyDescent="0.25">
      <c r="B221" s="163"/>
      <c r="C221" s="163"/>
      <c r="D221" s="163"/>
      <c r="E221" s="163"/>
      <c r="F221" s="163"/>
      <c r="G221" s="163"/>
      <c r="H221" s="163"/>
      <c r="I221" s="163"/>
      <c r="J221" s="163"/>
      <c r="K221" s="163"/>
      <c r="L221" s="163"/>
      <c r="M221" s="163"/>
      <c r="N221" s="163"/>
    </row>
    <row r="222" spans="2:14" x14ac:dyDescent="0.25">
      <c r="B222" s="163"/>
      <c r="C222" s="163"/>
      <c r="D222" s="163"/>
      <c r="E222" s="163"/>
      <c r="F222" s="163"/>
      <c r="G222" s="163"/>
      <c r="H222" s="163"/>
      <c r="I222" s="163"/>
      <c r="J222" s="163"/>
      <c r="K222" s="163"/>
      <c r="L222" s="163"/>
      <c r="M222" s="163"/>
      <c r="N222" s="163"/>
    </row>
    <row r="223" spans="2:14" x14ac:dyDescent="0.25">
      <c r="B223" s="163"/>
      <c r="C223" s="163"/>
      <c r="D223" s="163"/>
      <c r="E223" s="163"/>
      <c r="F223" s="163"/>
      <c r="G223" s="163"/>
      <c r="H223" s="163"/>
      <c r="I223" s="163"/>
      <c r="J223" s="163"/>
      <c r="K223" s="163"/>
      <c r="L223" s="163"/>
      <c r="M223" s="163"/>
      <c r="N223" s="163"/>
    </row>
    <row r="224" spans="2:14" x14ac:dyDescent="0.25">
      <c r="B224" s="163"/>
      <c r="C224" s="163"/>
      <c r="D224" s="163"/>
      <c r="E224" s="163"/>
      <c r="F224" s="163"/>
      <c r="G224" s="163"/>
      <c r="H224" s="163"/>
      <c r="I224" s="163"/>
      <c r="J224" s="163"/>
      <c r="K224" s="163"/>
      <c r="L224" s="163"/>
      <c r="M224" s="163"/>
      <c r="N224" s="163"/>
    </row>
    <row r="225" spans="2:14" x14ac:dyDescent="0.25">
      <c r="B225" s="163"/>
      <c r="C225" s="163"/>
      <c r="D225" s="163"/>
      <c r="E225" s="163"/>
      <c r="F225" s="163"/>
      <c r="G225" s="163"/>
      <c r="H225" s="163"/>
      <c r="I225" s="163"/>
      <c r="J225" s="163"/>
      <c r="K225" s="163"/>
      <c r="L225" s="163"/>
      <c r="M225" s="163"/>
      <c r="N225" s="163"/>
    </row>
    <row r="226" spans="2:14" x14ac:dyDescent="0.25">
      <c r="B226" s="163"/>
      <c r="C226" s="163"/>
      <c r="D226" s="163"/>
      <c r="E226" s="163"/>
      <c r="F226" s="163"/>
      <c r="G226" s="163"/>
      <c r="H226" s="163"/>
      <c r="I226" s="163"/>
      <c r="J226" s="163"/>
      <c r="K226" s="163"/>
      <c r="L226" s="163"/>
      <c r="M226" s="163"/>
      <c r="N226" s="163"/>
    </row>
    <row r="227" spans="2:14" x14ac:dyDescent="0.25">
      <c r="B227" s="163"/>
      <c r="C227" s="163"/>
      <c r="D227" s="163"/>
      <c r="E227" s="163"/>
      <c r="F227" s="163"/>
      <c r="G227" s="163"/>
      <c r="H227" s="163"/>
      <c r="I227" s="163"/>
      <c r="J227" s="163"/>
      <c r="K227" s="163"/>
      <c r="L227" s="163"/>
      <c r="M227" s="163"/>
      <c r="N227" s="163"/>
    </row>
    <row r="228" spans="2:14" x14ac:dyDescent="0.25">
      <c r="B228" s="163"/>
      <c r="C228" s="163"/>
      <c r="D228" s="163"/>
      <c r="E228" s="163"/>
      <c r="F228" s="163"/>
      <c r="G228" s="163"/>
      <c r="H228" s="163"/>
      <c r="I228" s="163"/>
      <c r="J228" s="163"/>
      <c r="K228" s="163"/>
      <c r="L228" s="163"/>
      <c r="M228" s="163"/>
      <c r="N228" s="163"/>
    </row>
    <row r="229" spans="2:14" x14ac:dyDescent="0.25">
      <c r="B229" s="163"/>
      <c r="C229" s="163"/>
      <c r="D229" s="163"/>
      <c r="E229" s="163"/>
      <c r="F229" s="163"/>
      <c r="G229" s="163"/>
      <c r="H229" s="163"/>
      <c r="I229" s="163"/>
      <c r="J229" s="163"/>
      <c r="K229" s="163"/>
      <c r="L229" s="163"/>
      <c r="M229" s="163"/>
      <c r="N229" s="163"/>
    </row>
    <row r="230" spans="2:14" x14ac:dyDescent="0.25">
      <c r="B230" s="163"/>
      <c r="C230" s="163"/>
      <c r="D230" s="163"/>
      <c r="E230" s="163"/>
      <c r="F230" s="163"/>
      <c r="G230" s="163"/>
      <c r="H230" s="163"/>
      <c r="I230" s="163"/>
      <c r="J230" s="163"/>
      <c r="K230" s="163"/>
      <c r="L230" s="163"/>
      <c r="M230" s="163"/>
      <c r="N230" s="163"/>
    </row>
    <row r="231" spans="2:14" x14ac:dyDescent="0.25">
      <c r="B231" s="163"/>
      <c r="C231" s="163"/>
      <c r="D231" s="163"/>
      <c r="E231" s="163"/>
      <c r="F231" s="163"/>
      <c r="G231" s="163"/>
      <c r="H231" s="163"/>
      <c r="I231" s="163"/>
      <c r="J231" s="163"/>
      <c r="K231" s="163"/>
      <c r="L231" s="163"/>
      <c r="M231" s="163"/>
      <c r="N231" s="163"/>
    </row>
    <row r="232" spans="2:14" x14ac:dyDescent="0.25">
      <c r="B232" s="163"/>
      <c r="C232" s="163"/>
      <c r="D232" s="163"/>
      <c r="E232" s="163"/>
      <c r="F232" s="163"/>
      <c r="G232" s="163"/>
      <c r="H232" s="163"/>
      <c r="I232" s="163"/>
      <c r="J232" s="163"/>
      <c r="K232" s="163"/>
      <c r="L232" s="163"/>
      <c r="M232" s="163"/>
      <c r="N232" s="163"/>
    </row>
    <row r="233" spans="2:14" x14ac:dyDescent="0.25">
      <c r="B233" s="163"/>
      <c r="C233" s="163"/>
      <c r="D233" s="163"/>
      <c r="E233" s="163"/>
      <c r="F233" s="163"/>
      <c r="G233" s="163"/>
      <c r="H233" s="163"/>
      <c r="I233" s="163"/>
      <c r="J233" s="163"/>
      <c r="K233" s="163"/>
      <c r="L233" s="163"/>
      <c r="M233" s="163"/>
      <c r="N233" s="163"/>
    </row>
    <row r="234" spans="2:14" x14ac:dyDescent="0.25">
      <c r="B234" s="163"/>
      <c r="C234" s="163"/>
      <c r="D234" s="163"/>
      <c r="E234" s="163"/>
      <c r="F234" s="163"/>
      <c r="G234" s="163"/>
      <c r="H234" s="163"/>
      <c r="I234" s="163"/>
      <c r="J234" s="163"/>
      <c r="K234" s="163"/>
      <c r="L234" s="163"/>
      <c r="M234" s="163"/>
      <c r="N234" s="163"/>
    </row>
    <row r="235" spans="2:14" x14ac:dyDescent="0.25">
      <c r="B235" s="163"/>
      <c r="C235" s="163"/>
      <c r="D235" s="163"/>
      <c r="E235" s="163"/>
      <c r="F235" s="163"/>
      <c r="G235" s="163"/>
      <c r="H235" s="163"/>
      <c r="I235" s="163"/>
      <c r="J235" s="163"/>
      <c r="K235" s="163"/>
      <c r="L235" s="163"/>
      <c r="M235" s="163"/>
      <c r="N235" s="163"/>
    </row>
    <row r="236" spans="2:14" x14ac:dyDescent="0.25">
      <c r="B236" s="163"/>
      <c r="C236" s="163"/>
      <c r="D236" s="163"/>
      <c r="E236" s="163"/>
      <c r="F236" s="163"/>
      <c r="G236" s="163"/>
      <c r="H236" s="163"/>
      <c r="I236" s="163"/>
      <c r="J236" s="163"/>
      <c r="K236" s="163"/>
      <c r="L236" s="163"/>
      <c r="M236" s="163"/>
      <c r="N236" s="163"/>
    </row>
    <row r="237" spans="2:14" x14ac:dyDescent="0.25">
      <c r="B237" s="163"/>
      <c r="C237" s="163"/>
      <c r="D237" s="163"/>
      <c r="E237" s="163"/>
      <c r="F237" s="163"/>
      <c r="G237" s="163"/>
      <c r="H237" s="163"/>
      <c r="I237" s="163"/>
      <c r="J237" s="163"/>
      <c r="K237" s="163"/>
      <c r="L237" s="163"/>
      <c r="M237" s="163"/>
      <c r="N237" s="163"/>
    </row>
    <row r="238" spans="2:14" x14ac:dyDescent="0.25">
      <c r="B238" s="163"/>
      <c r="C238" s="163"/>
      <c r="D238" s="163"/>
      <c r="E238" s="163"/>
      <c r="F238" s="163"/>
      <c r="G238" s="163"/>
      <c r="H238" s="163"/>
      <c r="I238" s="163"/>
      <c r="J238" s="163"/>
      <c r="K238" s="163"/>
      <c r="L238" s="163"/>
      <c r="M238" s="163"/>
      <c r="N238" s="163"/>
    </row>
    <row r="239" spans="2:14" x14ac:dyDescent="0.25">
      <c r="B239" s="163"/>
      <c r="C239" s="163"/>
      <c r="D239" s="163"/>
      <c r="E239" s="163"/>
      <c r="F239" s="163"/>
      <c r="G239" s="163"/>
      <c r="H239" s="163"/>
      <c r="I239" s="163"/>
      <c r="J239" s="163"/>
      <c r="K239" s="163"/>
      <c r="L239" s="163"/>
      <c r="M239" s="163"/>
      <c r="N239" s="163"/>
    </row>
    <row r="240" spans="2:14" x14ac:dyDescent="0.25">
      <c r="B240" s="163"/>
      <c r="C240" s="163"/>
      <c r="D240" s="163"/>
      <c r="E240" s="163"/>
      <c r="F240" s="163"/>
      <c r="G240" s="163"/>
      <c r="H240" s="163"/>
      <c r="I240" s="163"/>
      <c r="J240" s="163"/>
      <c r="K240" s="163"/>
      <c r="L240" s="163"/>
      <c r="M240" s="163"/>
      <c r="N240" s="163"/>
    </row>
    <row r="241" spans="2:14" x14ac:dyDescent="0.25">
      <c r="B241" s="163"/>
      <c r="C241" s="163"/>
      <c r="D241" s="163"/>
      <c r="E241" s="163"/>
      <c r="F241" s="163"/>
      <c r="G241" s="163"/>
      <c r="H241" s="163"/>
      <c r="I241" s="163"/>
      <c r="J241" s="163"/>
      <c r="K241" s="163"/>
      <c r="L241" s="163"/>
      <c r="M241" s="163"/>
      <c r="N241" s="163"/>
    </row>
    <row r="242" spans="2:14" x14ac:dyDescent="0.25">
      <c r="B242" s="163"/>
      <c r="C242" s="163"/>
      <c r="D242" s="163"/>
      <c r="E242" s="163"/>
      <c r="F242" s="163"/>
      <c r="G242" s="163"/>
      <c r="H242" s="163"/>
      <c r="I242" s="163"/>
      <c r="J242" s="163"/>
      <c r="K242" s="163"/>
      <c r="L242" s="163"/>
      <c r="M242" s="163"/>
      <c r="N242" s="163"/>
    </row>
    <row r="243" spans="2:14" x14ac:dyDescent="0.25">
      <c r="B243" s="163"/>
      <c r="C243" s="163"/>
      <c r="D243" s="163"/>
      <c r="E243" s="163"/>
      <c r="F243" s="163"/>
      <c r="G243" s="163"/>
      <c r="H243" s="163"/>
      <c r="I243" s="163"/>
      <c r="J243" s="163"/>
      <c r="K243" s="163"/>
      <c r="L243" s="163"/>
      <c r="M243" s="163"/>
      <c r="N243" s="163"/>
    </row>
    <row r="244" spans="2:14" x14ac:dyDescent="0.25">
      <c r="B244" s="163"/>
      <c r="C244" s="163"/>
      <c r="D244" s="163"/>
      <c r="E244" s="163"/>
      <c r="F244" s="163"/>
      <c r="G244" s="163"/>
      <c r="H244" s="163"/>
      <c r="I244" s="163"/>
      <c r="J244" s="163"/>
      <c r="K244" s="163"/>
      <c r="L244" s="163"/>
      <c r="M244" s="163"/>
      <c r="N244" s="163"/>
    </row>
    <row r="245" spans="2:14" x14ac:dyDescent="0.25">
      <c r="B245" s="163"/>
      <c r="C245" s="163"/>
      <c r="D245" s="163"/>
      <c r="E245" s="163"/>
      <c r="F245" s="163"/>
      <c r="G245" s="163"/>
      <c r="H245" s="163"/>
      <c r="I245" s="163"/>
      <c r="J245" s="163"/>
      <c r="K245" s="163"/>
      <c r="L245" s="163"/>
      <c r="M245" s="163"/>
      <c r="N245" s="163"/>
    </row>
    <row r="246" spans="2:14" x14ac:dyDescent="0.25">
      <c r="B246" s="163"/>
      <c r="C246" s="163"/>
      <c r="D246" s="163"/>
      <c r="E246" s="163"/>
      <c r="F246" s="163"/>
      <c r="G246" s="163"/>
      <c r="H246" s="163"/>
      <c r="I246" s="163"/>
      <c r="J246" s="163"/>
      <c r="K246" s="163"/>
      <c r="L246" s="163"/>
      <c r="M246" s="163"/>
      <c r="N246" s="163"/>
    </row>
    <row r="247" spans="2:14" x14ac:dyDescent="0.25">
      <c r="B247" s="163"/>
      <c r="C247" s="163"/>
      <c r="D247" s="163"/>
      <c r="E247" s="163"/>
      <c r="F247" s="163"/>
      <c r="G247" s="163"/>
      <c r="H247" s="163"/>
      <c r="I247" s="163"/>
      <c r="J247" s="163"/>
      <c r="K247" s="163"/>
      <c r="L247" s="163"/>
      <c r="M247" s="163"/>
      <c r="N247" s="163"/>
    </row>
    <row r="248" spans="2:14" x14ac:dyDescent="0.25">
      <c r="B248" s="163"/>
      <c r="C248" s="163"/>
      <c r="D248" s="163"/>
      <c r="E248" s="163"/>
      <c r="F248" s="163"/>
      <c r="G248" s="163"/>
      <c r="H248" s="163"/>
      <c r="I248" s="163"/>
      <c r="J248" s="163"/>
      <c r="K248" s="163"/>
      <c r="L248" s="163"/>
      <c r="M248" s="163"/>
      <c r="N248" s="163"/>
    </row>
    <row r="249" spans="2:14" x14ac:dyDescent="0.25">
      <c r="B249" s="163"/>
      <c r="C249" s="163"/>
      <c r="D249" s="163"/>
      <c r="E249" s="163"/>
      <c r="F249" s="163"/>
      <c r="G249" s="163"/>
      <c r="H249" s="163"/>
      <c r="I249" s="163"/>
      <c r="J249" s="163"/>
      <c r="K249" s="163"/>
      <c r="L249" s="163"/>
      <c r="M249" s="163"/>
      <c r="N249" s="163"/>
    </row>
    <row r="250" spans="2:14" x14ac:dyDescent="0.25">
      <c r="B250" s="163"/>
      <c r="C250" s="163"/>
      <c r="D250" s="163"/>
      <c r="E250" s="163"/>
      <c r="F250" s="163"/>
      <c r="G250" s="163"/>
      <c r="H250" s="163"/>
      <c r="I250" s="163"/>
      <c r="J250" s="163"/>
      <c r="K250" s="163"/>
      <c r="L250" s="163"/>
      <c r="M250" s="163"/>
      <c r="N250" s="163"/>
    </row>
    <row r="251" spans="2:14" x14ac:dyDescent="0.25">
      <c r="B251" s="163"/>
      <c r="C251" s="163"/>
      <c r="D251" s="163"/>
      <c r="E251" s="163"/>
      <c r="F251" s="163"/>
      <c r="G251" s="163"/>
      <c r="H251" s="163"/>
      <c r="I251" s="163"/>
      <c r="J251" s="163"/>
      <c r="K251" s="163"/>
      <c r="L251" s="163"/>
      <c r="M251" s="163"/>
      <c r="N251" s="163"/>
    </row>
    <row r="252" spans="2:14" x14ac:dyDescent="0.25">
      <c r="B252" s="163"/>
      <c r="C252" s="163"/>
      <c r="D252" s="163"/>
      <c r="E252" s="163"/>
      <c r="F252" s="163"/>
      <c r="G252" s="163"/>
      <c r="H252" s="163"/>
      <c r="I252" s="163"/>
      <c r="J252" s="163"/>
      <c r="K252" s="163"/>
      <c r="L252" s="163"/>
      <c r="M252" s="163"/>
      <c r="N252" s="163"/>
    </row>
    <row r="253" spans="2:14" x14ac:dyDescent="0.25">
      <c r="B253" s="163"/>
      <c r="C253" s="163"/>
      <c r="D253" s="163"/>
      <c r="E253" s="163"/>
      <c r="F253" s="163"/>
      <c r="G253" s="163"/>
      <c r="H253" s="163"/>
      <c r="I253" s="163"/>
      <c r="J253" s="163"/>
      <c r="K253" s="163"/>
      <c r="L253" s="163"/>
      <c r="M253" s="163"/>
      <c r="N253" s="163"/>
    </row>
    <row r="254" spans="2:14" x14ac:dyDescent="0.25">
      <c r="B254" s="163"/>
      <c r="C254" s="163"/>
      <c r="D254" s="163"/>
      <c r="E254" s="163"/>
      <c r="F254" s="163"/>
      <c r="G254" s="163"/>
      <c r="H254" s="163"/>
      <c r="I254" s="163"/>
      <c r="J254" s="163"/>
      <c r="K254" s="163"/>
      <c r="L254" s="163"/>
      <c r="M254" s="163"/>
      <c r="N254" s="163"/>
    </row>
    <row r="255" spans="2:14" x14ac:dyDescent="0.25">
      <c r="B255" s="163"/>
      <c r="C255" s="163"/>
      <c r="D255" s="163"/>
      <c r="E255" s="163"/>
      <c r="F255" s="163"/>
      <c r="G255" s="163"/>
      <c r="H255" s="163"/>
      <c r="I255" s="163"/>
      <c r="J255" s="163"/>
      <c r="K255" s="163"/>
      <c r="L255" s="163"/>
      <c r="M255" s="163"/>
      <c r="N255" s="163"/>
    </row>
    <row r="256" spans="2:14" x14ac:dyDescent="0.25">
      <c r="B256" s="163"/>
      <c r="C256" s="163"/>
      <c r="D256" s="163"/>
      <c r="E256" s="163"/>
      <c r="F256" s="163"/>
      <c r="G256" s="163"/>
      <c r="H256" s="163"/>
      <c r="I256" s="163"/>
      <c r="J256" s="163"/>
      <c r="K256" s="163"/>
      <c r="L256" s="163"/>
      <c r="M256" s="163"/>
      <c r="N256" s="163"/>
    </row>
    <row r="257" spans="2:14" x14ac:dyDescent="0.25">
      <c r="B257" s="163"/>
      <c r="C257" s="163"/>
      <c r="D257" s="163"/>
      <c r="E257" s="163"/>
      <c r="F257" s="163"/>
      <c r="G257" s="163"/>
      <c r="H257" s="163"/>
      <c r="I257" s="163"/>
      <c r="J257" s="163"/>
      <c r="K257" s="163"/>
      <c r="L257" s="163"/>
      <c r="M257" s="163"/>
      <c r="N257" s="163"/>
    </row>
    <row r="258" spans="2:14" x14ac:dyDescent="0.25">
      <c r="B258" s="163"/>
      <c r="C258" s="163"/>
      <c r="D258" s="163"/>
      <c r="E258" s="163"/>
      <c r="F258" s="163"/>
      <c r="G258" s="163"/>
      <c r="H258" s="163"/>
      <c r="I258" s="163"/>
      <c r="J258" s="163"/>
      <c r="K258" s="163"/>
      <c r="L258" s="163"/>
      <c r="M258" s="163"/>
      <c r="N258" s="163"/>
    </row>
    <row r="259" spans="2:14" x14ac:dyDescent="0.25">
      <c r="B259" s="163"/>
      <c r="C259" s="163"/>
      <c r="D259" s="163"/>
      <c r="E259" s="163"/>
      <c r="F259" s="163"/>
      <c r="G259" s="163"/>
      <c r="H259" s="163"/>
      <c r="I259" s="163"/>
      <c r="J259" s="163"/>
      <c r="K259" s="163"/>
      <c r="L259" s="163"/>
      <c r="M259" s="163"/>
      <c r="N259" s="163"/>
    </row>
    <row r="260" spans="2:14" x14ac:dyDescent="0.25">
      <c r="B260" s="163"/>
      <c r="C260" s="163"/>
      <c r="D260" s="163"/>
      <c r="E260" s="163"/>
      <c r="F260" s="163"/>
      <c r="G260" s="163"/>
      <c r="H260" s="163"/>
      <c r="I260" s="163"/>
      <c r="J260" s="163"/>
      <c r="K260" s="163"/>
      <c r="L260" s="163"/>
      <c r="M260" s="163"/>
      <c r="N260" s="163"/>
    </row>
    <row r="261" spans="2:14" x14ac:dyDescent="0.25">
      <c r="B261" s="163"/>
      <c r="C261" s="163"/>
      <c r="D261" s="163"/>
      <c r="E261" s="163"/>
      <c r="F261" s="163"/>
      <c r="G261" s="163"/>
      <c r="H261" s="163"/>
      <c r="I261" s="163"/>
      <c r="J261" s="163"/>
      <c r="K261" s="163"/>
      <c r="L261" s="163"/>
      <c r="M261" s="163"/>
      <c r="N261" s="163"/>
    </row>
    <row r="262" spans="2:14" x14ac:dyDescent="0.25">
      <c r="B262" s="163"/>
      <c r="C262" s="163"/>
      <c r="D262" s="163"/>
      <c r="E262" s="163"/>
      <c r="F262" s="163"/>
      <c r="G262" s="163"/>
      <c r="H262" s="163"/>
      <c r="I262" s="163"/>
      <c r="J262" s="163"/>
      <c r="K262" s="163"/>
      <c r="L262" s="163"/>
      <c r="M262" s="163"/>
      <c r="N262" s="163"/>
    </row>
    <row r="263" spans="2:14" x14ac:dyDescent="0.25">
      <c r="B263" s="163"/>
      <c r="C263" s="163"/>
      <c r="D263" s="163"/>
      <c r="E263" s="163"/>
      <c r="F263" s="163"/>
      <c r="G263" s="163"/>
      <c r="H263" s="163"/>
      <c r="I263" s="163"/>
      <c r="J263" s="163"/>
      <c r="K263" s="163"/>
      <c r="L263" s="163"/>
      <c r="M263" s="163"/>
      <c r="N263" s="163"/>
    </row>
    <row r="264" spans="2:14" x14ac:dyDescent="0.25">
      <c r="B264" s="163"/>
      <c r="C264" s="163"/>
      <c r="D264" s="163"/>
      <c r="E264" s="163"/>
      <c r="F264" s="163"/>
      <c r="G264" s="163"/>
      <c r="H264" s="163"/>
      <c r="I264" s="163"/>
      <c r="J264" s="163"/>
      <c r="K264" s="163"/>
      <c r="L264" s="163"/>
      <c r="M264" s="163"/>
      <c r="N264" s="163"/>
    </row>
    <row r="265" spans="2:14" x14ac:dyDescent="0.25">
      <c r="B265" s="163"/>
      <c r="C265" s="163"/>
      <c r="D265" s="163"/>
      <c r="E265" s="163"/>
      <c r="F265" s="163"/>
      <c r="G265" s="163"/>
      <c r="H265" s="163"/>
      <c r="I265" s="163"/>
      <c r="J265" s="163"/>
      <c r="K265" s="163"/>
      <c r="L265" s="163"/>
      <c r="M265" s="163"/>
      <c r="N265" s="163"/>
    </row>
    <row r="266" spans="2:14" x14ac:dyDescent="0.25">
      <c r="B266" s="163"/>
      <c r="C266" s="163"/>
      <c r="D266" s="163"/>
      <c r="E266" s="163"/>
      <c r="F266" s="163"/>
      <c r="G266" s="163"/>
      <c r="H266" s="163"/>
      <c r="I266" s="163"/>
      <c r="J266" s="163"/>
      <c r="K266" s="163"/>
      <c r="L266" s="163"/>
      <c r="M266" s="163"/>
      <c r="N266" s="163"/>
    </row>
    <row r="267" spans="2:14" x14ac:dyDescent="0.25">
      <c r="B267" s="163"/>
      <c r="C267" s="163"/>
      <c r="D267" s="163"/>
      <c r="E267" s="163"/>
      <c r="F267" s="163"/>
      <c r="G267" s="163"/>
      <c r="H267" s="163"/>
      <c r="I267" s="163"/>
      <c r="J267" s="163"/>
      <c r="K267" s="163"/>
      <c r="L267" s="163"/>
      <c r="M267" s="163"/>
      <c r="N267" s="163"/>
    </row>
    <row r="268" spans="2:14" x14ac:dyDescent="0.25">
      <c r="B268" s="163"/>
      <c r="C268" s="163"/>
      <c r="D268" s="163"/>
      <c r="E268" s="163"/>
      <c r="F268" s="163"/>
      <c r="G268" s="163"/>
      <c r="H268" s="163"/>
      <c r="I268" s="163"/>
      <c r="J268" s="163"/>
      <c r="K268" s="163"/>
      <c r="L268" s="163"/>
      <c r="M268" s="163"/>
      <c r="N268" s="163"/>
    </row>
    <row r="269" spans="2:14" x14ac:dyDescent="0.25">
      <c r="B269" s="163"/>
      <c r="C269" s="163"/>
      <c r="D269" s="163"/>
      <c r="E269" s="163"/>
      <c r="F269" s="163"/>
      <c r="G269" s="163"/>
      <c r="H269" s="163"/>
      <c r="I269" s="163"/>
      <c r="J269" s="163"/>
      <c r="K269" s="163"/>
      <c r="L269" s="163"/>
      <c r="M269" s="163"/>
      <c r="N269" s="163"/>
    </row>
    <row r="270" spans="2:14" x14ac:dyDescent="0.25">
      <c r="B270" s="163"/>
      <c r="C270" s="163"/>
      <c r="D270" s="163"/>
      <c r="E270" s="163"/>
      <c r="F270" s="163"/>
      <c r="G270" s="163"/>
      <c r="H270" s="163"/>
      <c r="I270" s="163"/>
      <c r="J270" s="163"/>
      <c r="K270" s="163"/>
      <c r="L270" s="163"/>
      <c r="M270" s="163"/>
      <c r="N270" s="163"/>
    </row>
    <row r="271" spans="2:14" x14ac:dyDescent="0.25">
      <c r="B271" s="163"/>
      <c r="C271" s="163"/>
      <c r="D271" s="163"/>
      <c r="E271" s="163"/>
      <c r="F271" s="163"/>
      <c r="G271" s="163"/>
      <c r="H271" s="163"/>
      <c r="I271" s="163"/>
      <c r="J271" s="163"/>
      <c r="K271" s="163"/>
      <c r="L271" s="163"/>
      <c r="M271" s="163"/>
      <c r="N271" s="163"/>
    </row>
    <row r="272" spans="2:14" x14ac:dyDescent="0.25">
      <c r="B272" s="163"/>
      <c r="C272" s="163"/>
      <c r="D272" s="163"/>
      <c r="E272" s="163"/>
      <c r="F272" s="163"/>
      <c r="G272" s="163"/>
      <c r="H272" s="163"/>
      <c r="I272" s="163"/>
      <c r="J272" s="163"/>
      <c r="K272" s="163"/>
      <c r="L272" s="163"/>
      <c r="M272" s="163"/>
      <c r="N272" s="163"/>
    </row>
    <row r="273" spans="2:14" x14ac:dyDescent="0.25">
      <c r="B273" s="163"/>
      <c r="C273" s="163"/>
      <c r="D273" s="163"/>
      <c r="E273" s="163"/>
      <c r="F273" s="163"/>
      <c r="G273" s="163"/>
      <c r="H273" s="163"/>
      <c r="I273" s="163"/>
      <c r="J273" s="163"/>
      <c r="K273" s="163"/>
      <c r="L273" s="163"/>
      <c r="M273" s="163"/>
      <c r="N273" s="163"/>
    </row>
    <row r="274" spans="2:14" x14ac:dyDescent="0.25">
      <c r="B274" s="163"/>
      <c r="C274" s="163"/>
      <c r="D274" s="163"/>
      <c r="E274" s="163"/>
      <c r="F274" s="163"/>
      <c r="G274" s="163"/>
      <c r="H274" s="163"/>
      <c r="I274" s="163"/>
      <c r="J274" s="163"/>
      <c r="K274" s="163"/>
      <c r="L274" s="163"/>
      <c r="M274" s="163"/>
      <c r="N274" s="163"/>
    </row>
    <row r="275" spans="2:14" x14ac:dyDescent="0.25">
      <c r="B275" s="163"/>
      <c r="C275" s="163"/>
      <c r="D275" s="163"/>
      <c r="E275" s="163"/>
      <c r="F275" s="163"/>
      <c r="G275" s="163"/>
      <c r="H275" s="163"/>
      <c r="I275" s="163"/>
      <c r="J275" s="163"/>
      <c r="K275" s="163"/>
      <c r="L275" s="163"/>
      <c r="M275" s="163"/>
      <c r="N275" s="163"/>
    </row>
    <row r="276" spans="2:14" x14ac:dyDescent="0.25">
      <c r="B276" s="163"/>
      <c r="C276" s="163"/>
      <c r="D276" s="163"/>
      <c r="E276" s="163"/>
      <c r="F276" s="163"/>
      <c r="G276" s="163"/>
      <c r="H276" s="163"/>
      <c r="I276" s="163"/>
      <c r="J276" s="163"/>
      <c r="K276" s="163"/>
      <c r="L276" s="163"/>
      <c r="M276" s="163"/>
      <c r="N276" s="163"/>
    </row>
    <row r="277" spans="2:14" x14ac:dyDescent="0.25">
      <c r="B277" s="163"/>
      <c r="C277" s="163"/>
      <c r="D277" s="163"/>
      <c r="E277" s="163"/>
      <c r="F277" s="163"/>
      <c r="G277" s="163"/>
      <c r="H277" s="163"/>
      <c r="I277" s="163"/>
      <c r="J277" s="163"/>
      <c r="K277" s="163"/>
      <c r="L277" s="163"/>
      <c r="M277" s="163"/>
      <c r="N277" s="163"/>
    </row>
    <row r="278" spans="2:14" x14ac:dyDescent="0.25">
      <c r="B278" s="163"/>
      <c r="C278" s="163"/>
      <c r="D278" s="163"/>
      <c r="E278" s="163"/>
      <c r="F278" s="163"/>
      <c r="G278" s="163"/>
      <c r="H278" s="163"/>
      <c r="I278" s="163"/>
      <c r="J278" s="163"/>
      <c r="K278" s="163"/>
      <c r="L278" s="163"/>
      <c r="M278" s="163"/>
      <c r="N278" s="163"/>
    </row>
    <row r="279" spans="2:14" x14ac:dyDescent="0.25">
      <c r="B279" s="163"/>
      <c r="C279" s="163"/>
      <c r="D279" s="163"/>
      <c r="E279" s="163"/>
      <c r="F279" s="163"/>
      <c r="G279" s="163"/>
      <c r="H279" s="163"/>
      <c r="I279" s="163"/>
      <c r="J279" s="163"/>
      <c r="K279" s="163"/>
      <c r="L279" s="163"/>
      <c r="M279" s="163"/>
      <c r="N279" s="163"/>
    </row>
    <row r="280" spans="2:14" x14ac:dyDescent="0.25">
      <c r="B280" s="163"/>
      <c r="C280" s="163"/>
      <c r="D280" s="163"/>
      <c r="E280" s="163"/>
      <c r="F280" s="163"/>
      <c r="G280" s="163"/>
      <c r="H280" s="163"/>
      <c r="I280" s="163"/>
      <c r="J280" s="163"/>
      <c r="K280" s="163"/>
      <c r="L280" s="163"/>
      <c r="M280" s="163"/>
      <c r="N280" s="163"/>
    </row>
    <row r="281" spans="2:14" x14ac:dyDescent="0.25">
      <c r="B281" s="163"/>
      <c r="C281" s="163"/>
      <c r="D281" s="163"/>
      <c r="E281" s="163"/>
      <c r="F281" s="163"/>
      <c r="G281" s="163"/>
      <c r="H281" s="163"/>
      <c r="I281" s="163"/>
      <c r="J281" s="163"/>
      <c r="K281" s="163"/>
      <c r="L281" s="163"/>
      <c r="M281" s="163"/>
      <c r="N281" s="163"/>
    </row>
    <row r="282" spans="2:14" x14ac:dyDescent="0.25">
      <c r="B282" s="163"/>
      <c r="C282" s="163"/>
      <c r="D282" s="163"/>
      <c r="E282" s="163"/>
      <c r="F282" s="163"/>
      <c r="G282" s="163"/>
      <c r="H282" s="163"/>
      <c r="I282" s="163"/>
      <c r="J282" s="163"/>
      <c r="K282" s="163"/>
      <c r="L282" s="163"/>
      <c r="M282" s="163"/>
      <c r="N282" s="163"/>
    </row>
    <row r="283" spans="2:14" x14ac:dyDescent="0.25">
      <c r="B283" s="163"/>
      <c r="C283" s="163"/>
      <c r="D283" s="163"/>
      <c r="E283" s="163"/>
      <c r="F283" s="163"/>
      <c r="G283" s="163"/>
      <c r="H283" s="163"/>
      <c r="I283" s="163"/>
      <c r="J283" s="163"/>
      <c r="K283" s="163"/>
      <c r="L283" s="163"/>
      <c r="M283" s="163"/>
      <c r="N283" s="163"/>
    </row>
    <row r="284" spans="2:14" x14ac:dyDescent="0.25">
      <c r="B284" s="163"/>
      <c r="C284" s="163"/>
      <c r="D284" s="163"/>
      <c r="E284" s="163"/>
      <c r="F284" s="163"/>
      <c r="G284" s="163"/>
      <c r="H284" s="163"/>
      <c r="I284" s="163"/>
      <c r="J284" s="163"/>
      <c r="K284" s="163"/>
      <c r="L284" s="163"/>
      <c r="M284" s="163"/>
      <c r="N284" s="163"/>
    </row>
    <row r="285" spans="2:14" x14ac:dyDescent="0.25">
      <c r="B285" s="163"/>
      <c r="C285" s="163"/>
      <c r="D285" s="163"/>
      <c r="E285" s="163"/>
      <c r="F285" s="163"/>
      <c r="G285" s="163"/>
      <c r="H285" s="163"/>
      <c r="I285" s="163"/>
      <c r="J285" s="163"/>
      <c r="K285" s="163"/>
      <c r="L285" s="163"/>
      <c r="M285" s="163"/>
      <c r="N285" s="163"/>
    </row>
    <row r="286" spans="2:14" x14ac:dyDescent="0.25">
      <c r="B286" s="163"/>
      <c r="C286" s="163"/>
      <c r="D286" s="163"/>
      <c r="E286" s="163"/>
      <c r="F286" s="163"/>
      <c r="G286" s="163"/>
      <c r="H286" s="163"/>
      <c r="I286" s="163"/>
      <c r="J286" s="163"/>
      <c r="K286" s="163"/>
      <c r="L286" s="163"/>
      <c r="M286" s="163"/>
      <c r="N286" s="163"/>
    </row>
    <row r="287" spans="2:14" x14ac:dyDescent="0.25">
      <c r="B287" s="163"/>
      <c r="C287" s="163"/>
      <c r="D287" s="163"/>
      <c r="E287" s="163"/>
      <c r="F287" s="163"/>
      <c r="G287" s="163"/>
      <c r="H287" s="163"/>
      <c r="I287" s="163"/>
      <c r="J287" s="163"/>
      <c r="K287" s="163"/>
      <c r="L287" s="163"/>
      <c r="M287" s="163"/>
      <c r="N287" s="163"/>
    </row>
    <row r="288" spans="2:14" x14ac:dyDescent="0.25">
      <c r="B288" s="163"/>
      <c r="C288" s="163"/>
      <c r="D288" s="163"/>
      <c r="E288" s="163"/>
      <c r="F288" s="163"/>
      <c r="G288" s="163"/>
      <c r="H288" s="163"/>
      <c r="I288" s="163"/>
      <c r="J288" s="163"/>
      <c r="K288" s="163"/>
      <c r="L288" s="163"/>
      <c r="M288" s="163"/>
      <c r="N288" s="163"/>
    </row>
    <row r="289" spans="2:14" x14ac:dyDescent="0.25">
      <c r="B289" s="163"/>
      <c r="C289" s="163"/>
      <c r="D289" s="163"/>
      <c r="E289" s="163"/>
      <c r="F289" s="163"/>
      <c r="G289" s="163"/>
      <c r="H289" s="163"/>
      <c r="I289" s="163"/>
      <c r="J289" s="163"/>
      <c r="K289" s="163"/>
      <c r="L289" s="163"/>
      <c r="M289" s="163"/>
      <c r="N289" s="163"/>
    </row>
    <row r="290" spans="2:14" x14ac:dyDescent="0.25">
      <c r="B290" s="163"/>
      <c r="C290" s="163"/>
      <c r="D290" s="163"/>
      <c r="E290" s="163"/>
      <c r="F290" s="163"/>
      <c r="G290" s="163"/>
      <c r="H290" s="163"/>
      <c r="I290" s="163"/>
      <c r="J290" s="163"/>
      <c r="K290" s="163"/>
      <c r="L290" s="163"/>
      <c r="M290" s="163"/>
      <c r="N290" s="163"/>
    </row>
    <row r="291" spans="2:14" x14ac:dyDescent="0.25">
      <c r="B291" s="163"/>
      <c r="C291" s="163"/>
      <c r="D291" s="163"/>
      <c r="E291" s="163"/>
      <c r="F291" s="163"/>
      <c r="G291" s="163"/>
      <c r="H291" s="163"/>
      <c r="I291" s="163"/>
      <c r="J291" s="163"/>
      <c r="K291" s="163"/>
      <c r="L291" s="163"/>
      <c r="M291" s="163"/>
      <c r="N291" s="163"/>
    </row>
    <row r="292" spans="2:14" x14ac:dyDescent="0.25">
      <c r="B292" s="163"/>
      <c r="C292" s="163"/>
      <c r="D292" s="163"/>
      <c r="E292" s="163"/>
      <c r="F292" s="163"/>
      <c r="G292" s="163"/>
      <c r="H292" s="163"/>
      <c r="I292" s="163"/>
      <c r="J292" s="163"/>
      <c r="K292" s="163"/>
      <c r="L292" s="163"/>
      <c r="M292" s="163"/>
      <c r="N292" s="163"/>
    </row>
    <row r="293" spans="2:14" x14ac:dyDescent="0.25">
      <c r="B293" s="163"/>
      <c r="C293" s="163"/>
      <c r="D293" s="163"/>
      <c r="E293" s="163"/>
      <c r="F293" s="163"/>
      <c r="G293" s="163"/>
      <c r="H293" s="163"/>
      <c r="I293" s="163"/>
      <c r="J293" s="163"/>
      <c r="K293" s="163"/>
      <c r="L293" s="163"/>
      <c r="M293" s="163"/>
      <c r="N293" s="163"/>
    </row>
    <row r="294" spans="2:14" x14ac:dyDescent="0.25">
      <c r="B294" s="163"/>
      <c r="C294" s="163"/>
      <c r="D294" s="163"/>
      <c r="E294" s="163"/>
      <c r="F294" s="163"/>
      <c r="G294" s="163"/>
      <c r="H294" s="163"/>
      <c r="I294" s="163"/>
      <c r="J294" s="163"/>
      <c r="K294" s="163"/>
      <c r="L294" s="163"/>
      <c r="M294" s="163"/>
      <c r="N294" s="163"/>
    </row>
    <row r="295" spans="2:14" x14ac:dyDescent="0.25">
      <c r="B295" s="163"/>
      <c r="C295" s="163"/>
      <c r="D295" s="163"/>
      <c r="E295" s="163"/>
      <c r="F295" s="163"/>
      <c r="G295" s="163"/>
      <c r="H295" s="163"/>
      <c r="I295" s="163"/>
      <c r="J295" s="163"/>
      <c r="K295" s="163"/>
      <c r="L295" s="163"/>
      <c r="M295" s="163"/>
      <c r="N295" s="163"/>
    </row>
    <row r="296" spans="2:14" x14ac:dyDescent="0.25">
      <c r="B296" s="163"/>
      <c r="C296" s="163"/>
      <c r="D296" s="163"/>
      <c r="E296" s="163"/>
      <c r="F296" s="163"/>
      <c r="G296" s="163"/>
      <c r="H296" s="163"/>
      <c r="I296" s="163"/>
      <c r="J296" s="163"/>
      <c r="K296" s="163"/>
      <c r="L296" s="163"/>
      <c r="M296" s="163"/>
      <c r="N296" s="163"/>
    </row>
    <row r="297" spans="2:14" x14ac:dyDescent="0.25">
      <c r="B297" s="163"/>
      <c r="C297" s="163"/>
      <c r="D297" s="163"/>
      <c r="E297" s="163"/>
      <c r="F297" s="163"/>
      <c r="G297" s="163"/>
      <c r="H297" s="163"/>
      <c r="I297" s="163"/>
      <c r="J297" s="163"/>
      <c r="K297" s="163"/>
      <c r="L297" s="163"/>
      <c r="M297" s="163"/>
      <c r="N297" s="163"/>
    </row>
    <row r="298" spans="2:14" x14ac:dyDescent="0.25">
      <c r="B298" s="163"/>
      <c r="C298" s="163"/>
      <c r="D298" s="163"/>
      <c r="E298" s="163"/>
      <c r="F298" s="163"/>
      <c r="G298" s="163"/>
      <c r="H298" s="163"/>
      <c r="I298" s="163"/>
      <c r="J298" s="163"/>
      <c r="K298" s="163"/>
      <c r="L298" s="163"/>
      <c r="M298" s="163"/>
      <c r="N298" s="163"/>
    </row>
    <row r="299" spans="2:14" x14ac:dyDescent="0.25">
      <c r="B299" s="163"/>
      <c r="C299" s="163"/>
      <c r="D299" s="163"/>
      <c r="E299" s="163"/>
      <c r="F299" s="163"/>
      <c r="G299" s="163"/>
      <c r="H299" s="163"/>
      <c r="I299" s="163"/>
      <c r="J299" s="163"/>
      <c r="K299" s="163"/>
      <c r="L299" s="163"/>
      <c r="M299" s="163"/>
      <c r="N299" s="163"/>
    </row>
    <row r="300" spans="2:14" x14ac:dyDescent="0.25">
      <c r="B300" s="163"/>
      <c r="C300" s="163"/>
      <c r="D300" s="163"/>
      <c r="E300" s="163"/>
      <c r="F300" s="163"/>
      <c r="G300" s="163"/>
      <c r="H300" s="163"/>
      <c r="I300" s="163"/>
      <c r="J300" s="163"/>
      <c r="K300" s="163"/>
      <c r="L300" s="163"/>
      <c r="M300" s="163"/>
      <c r="N300" s="163"/>
    </row>
    <row r="301" spans="2:14" x14ac:dyDescent="0.25">
      <c r="B301" s="163"/>
      <c r="C301" s="163"/>
      <c r="D301" s="163"/>
      <c r="E301" s="163"/>
      <c r="F301" s="163"/>
      <c r="G301" s="163"/>
      <c r="H301" s="163"/>
      <c r="I301" s="163"/>
      <c r="J301" s="163"/>
      <c r="K301" s="163"/>
      <c r="L301" s="163"/>
      <c r="M301" s="163"/>
      <c r="N301" s="163"/>
    </row>
    <row r="302" spans="2:14" x14ac:dyDescent="0.25">
      <c r="B302" s="163"/>
      <c r="C302" s="163"/>
      <c r="D302" s="163"/>
      <c r="E302" s="163"/>
      <c r="F302" s="163"/>
      <c r="G302" s="163"/>
      <c r="H302" s="163"/>
      <c r="I302" s="163"/>
      <c r="J302" s="163"/>
      <c r="K302" s="163"/>
      <c r="L302" s="163"/>
      <c r="M302" s="163"/>
      <c r="N302" s="163"/>
    </row>
    <row r="303" spans="2:14" x14ac:dyDescent="0.25">
      <c r="B303" s="163"/>
      <c r="C303" s="163"/>
      <c r="D303" s="163"/>
      <c r="E303" s="163"/>
      <c r="F303" s="163"/>
      <c r="G303" s="163"/>
      <c r="H303" s="163"/>
      <c r="I303" s="163"/>
      <c r="J303" s="163"/>
      <c r="K303" s="163"/>
      <c r="L303" s="163"/>
      <c r="M303" s="163"/>
      <c r="N303" s="163"/>
    </row>
    <row r="304" spans="2:14" x14ac:dyDescent="0.25">
      <c r="B304" s="163"/>
      <c r="C304" s="163"/>
      <c r="D304" s="163"/>
      <c r="E304" s="163"/>
      <c r="F304" s="163"/>
      <c r="G304" s="163"/>
      <c r="H304" s="163"/>
      <c r="I304" s="163"/>
      <c r="J304" s="163"/>
      <c r="K304" s="163"/>
      <c r="L304" s="163"/>
      <c r="M304" s="163"/>
      <c r="N304" s="163"/>
    </row>
    <row r="305" spans="2:14" x14ac:dyDescent="0.25">
      <c r="B305" s="163"/>
      <c r="C305" s="163"/>
      <c r="D305" s="163"/>
      <c r="E305" s="163"/>
      <c r="F305" s="163"/>
      <c r="G305" s="163"/>
      <c r="H305" s="163"/>
      <c r="I305" s="163"/>
      <c r="J305" s="163"/>
      <c r="K305" s="163"/>
      <c r="L305" s="163"/>
      <c r="M305" s="163"/>
      <c r="N305" s="163"/>
    </row>
    <row r="306" spans="2:14" x14ac:dyDescent="0.25">
      <c r="B306" s="163"/>
      <c r="C306" s="163"/>
      <c r="D306" s="163"/>
      <c r="E306" s="163"/>
      <c r="F306" s="163"/>
      <c r="G306" s="163"/>
      <c r="H306" s="163"/>
      <c r="I306" s="163"/>
      <c r="J306" s="163"/>
      <c r="K306" s="163"/>
      <c r="L306" s="163"/>
      <c r="M306" s="163"/>
      <c r="N306" s="163"/>
    </row>
    <row r="307" spans="2:14" x14ac:dyDescent="0.25">
      <c r="B307" s="163"/>
      <c r="C307" s="163"/>
      <c r="D307" s="163"/>
      <c r="E307" s="163"/>
      <c r="F307" s="163"/>
      <c r="G307" s="163"/>
      <c r="H307" s="163"/>
      <c r="I307" s="163"/>
      <c r="J307" s="163"/>
      <c r="K307" s="163"/>
      <c r="L307" s="163"/>
      <c r="M307" s="163"/>
      <c r="N307" s="163"/>
    </row>
    <row r="308" spans="2:14" x14ac:dyDescent="0.25">
      <c r="B308" s="163"/>
      <c r="C308" s="163"/>
      <c r="D308" s="163"/>
      <c r="E308" s="163"/>
      <c r="F308" s="163"/>
      <c r="G308" s="163"/>
      <c r="H308" s="163"/>
      <c r="I308" s="163"/>
      <c r="J308" s="163"/>
      <c r="K308" s="163"/>
      <c r="L308" s="163"/>
      <c r="M308" s="163"/>
      <c r="N308" s="163"/>
    </row>
    <row r="309" spans="2:14" x14ac:dyDescent="0.25">
      <c r="B309" s="163"/>
      <c r="C309" s="163"/>
      <c r="D309" s="163"/>
      <c r="E309" s="163"/>
      <c r="F309" s="163"/>
      <c r="G309" s="163"/>
      <c r="H309" s="163"/>
      <c r="I309" s="163"/>
      <c r="J309" s="163"/>
      <c r="K309" s="163"/>
      <c r="L309" s="163"/>
      <c r="M309" s="163"/>
      <c r="N309" s="163"/>
    </row>
    <row r="310" spans="2:14" x14ac:dyDescent="0.25">
      <c r="B310" s="163"/>
      <c r="C310" s="163"/>
      <c r="D310" s="163"/>
      <c r="E310" s="163"/>
      <c r="F310" s="163"/>
      <c r="G310" s="163"/>
      <c r="H310" s="163"/>
      <c r="I310" s="163"/>
      <c r="J310" s="163"/>
      <c r="K310" s="163"/>
      <c r="L310" s="163"/>
      <c r="M310" s="163"/>
      <c r="N310" s="163"/>
    </row>
    <row r="311" spans="2:14" x14ac:dyDescent="0.25">
      <c r="B311" s="163"/>
      <c r="C311" s="163"/>
      <c r="D311" s="163"/>
      <c r="E311" s="163"/>
      <c r="F311" s="163"/>
      <c r="G311" s="163"/>
      <c r="H311" s="163"/>
      <c r="I311" s="163"/>
      <c r="J311" s="163"/>
      <c r="K311" s="163"/>
      <c r="L311" s="163"/>
      <c r="M311" s="163"/>
      <c r="N311" s="163"/>
    </row>
    <row r="312" spans="2:14" x14ac:dyDescent="0.25">
      <c r="B312" s="163"/>
      <c r="C312" s="163"/>
      <c r="D312" s="163"/>
      <c r="E312" s="163"/>
      <c r="F312" s="163"/>
      <c r="G312" s="163"/>
      <c r="H312" s="163"/>
      <c r="I312" s="163"/>
      <c r="J312" s="163"/>
      <c r="K312" s="163"/>
      <c r="L312" s="163"/>
      <c r="M312" s="163"/>
      <c r="N312" s="163"/>
    </row>
    <row r="313" spans="2:14" x14ac:dyDescent="0.25">
      <c r="B313" s="163"/>
      <c r="C313" s="163"/>
      <c r="D313" s="163"/>
      <c r="E313" s="163"/>
      <c r="F313" s="163"/>
      <c r="G313" s="163"/>
      <c r="H313" s="163"/>
      <c r="I313" s="163"/>
      <c r="J313" s="163"/>
      <c r="K313" s="163"/>
      <c r="L313" s="163"/>
      <c r="M313" s="163"/>
      <c r="N313" s="163"/>
    </row>
    <row r="314" spans="2:14" x14ac:dyDescent="0.25">
      <c r="B314" s="163"/>
      <c r="C314" s="163"/>
      <c r="D314" s="163"/>
      <c r="E314" s="163"/>
      <c r="F314" s="163"/>
      <c r="G314" s="163"/>
      <c r="H314" s="163"/>
      <c r="I314" s="163"/>
      <c r="J314" s="163"/>
      <c r="K314" s="163"/>
      <c r="L314" s="163"/>
      <c r="M314" s="163"/>
      <c r="N314" s="163"/>
    </row>
    <row r="315" spans="2:14" x14ac:dyDescent="0.25">
      <c r="B315" s="163"/>
      <c r="C315" s="163"/>
      <c r="D315" s="163"/>
      <c r="E315" s="163"/>
      <c r="F315" s="163"/>
      <c r="G315" s="163"/>
      <c r="H315" s="163"/>
      <c r="I315" s="163"/>
      <c r="J315" s="163"/>
      <c r="K315" s="163"/>
      <c r="L315" s="163"/>
      <c r="M315" s="163"/>
      <c r="N315" s="163"/>
    </row>
    <row r="316" spans="2:14" x14ac:dyDescent="0.25">
      <c r="B316" s="163"/>
      <c r="C316" s="163"/>
      <c r="D316" s="163"/>
      <c r="E316" s="163"/>
      <c r="F316" s="163"/>
      <c r="G316" s="163"/>
      <c r="H316" s="163"/>
      <c r="I316" s="163"/>
      <c r="J316" s="163"/>
      <c r="K316" s="163"/>
      <c r="L316" s="163"/>
      <c r="M316" s="163"/>
      <c r="N316" s="163"/>
    </row>
    <row r="317" spans="2:14" x14ac:dyDescent="0.25">
      <c r="B317" s="163"/>
      <c r="C317" s="163"/>
      <c r="D317" s="163"/>
      <c r="E317" s="163"/>
      <c r="F317" s="163"/>
      <c r="G317" s="163"/>
      <c r="H317" s="163"/>
      <c r="I317" s="163"/>
      <c r="J317" s="163"/>
      <c r="K317" s="163"/>
      <c r="L317" s="163"/>
      <c r="M317" s="163"/>
      <c r="N317" s="163"/>
    </row>
    <row r="318" spans="2:14" x14ac:dyDescent="0.25">
      <c r="B318" s="163"/>
      <c r="C318" s="163"/>
      <c r="D318" s="163"/>
      <c r="E318" s="163"/>
      <c r="F318" s="163"/>
      <c r="G318" s="163"/>
      <c r="H318" s="163"/>
      <c r="I318" s="163"/>
      <c r="J318" s="163"/>
      <c r="K318" s="163"/>
      <c r="L318" s="163"/>
      <c r="M318" s="163"/>
      <c r="N318" s="163"/>
    </row>
    <row r="319" spans="2:14" x14ac:dyDescent="0.25">
      <c r="B319" s="163"/>
      <c r="C319" s="163"/>
      <c r="D319" s="163"/>
      <c r="E319" s="163"/>
      <c r="F319" s="163"/>
      <c r="G319" s="163"/>
      <c r="H319" s="163"/>
      <c r="I319" s="163"/>
      <c r="J319" s="163"/>
      <c r="K319" s="163"/>
      <c r="L319" s="163"/>
      <c r="M319" s="163"/>
      <c r="N319" s="163"/>
    </row>
    <row r="320" spans="2:14" x14ac:dyDescent="0.25">
      <c r="B320" s="163"/>
      <c r="C320" s="163"/>
      <c r="D320" s="163"/>
      <c r="E320" s="163"/>
      <c r="F320" s="163"/>
      <c r="G320" s="163"/>
      <c r="H320" s="163"/>
      <c r="I320" s="163"/>
      <c r="J320" s="163"/>
      <c r="K320" s="163"/>
      <c r="L320" s="163"/>
      <c r="M320" s="163"/>
      <c r="N320" s="163"/>
    </row>
    <row r="321" spans="2:14" x14ac:dyDescent="0.25">
      <c r="B321" s="163"/>
      <c r="C321" s="163"/>
      <c r="D321" s="163"/>
      <c r="E321" s="163"/>
      <c r="F321" s="163"/>
      <c r="G321" s="163"/>
      <c r="H321" s="163"/>
      <c r="I321" s="163"/>
      <c r="J321" s="163"/>
      <c r="K321" s="163"/>
      <c r="L321" s="163"/>
      <c r="M321" s="163"/>
      <c r="N321" s="163"/>
    </row>
    <row r="322" spans="2:14" x14ac:dyDescent="0.25">
      <c r="B322" s="163"/>
      <c r="C322" s="163"/>
      <c r="D322" s="163"/>
      <c r="E322" s="163"/>
      <c r="F322" s="163"/>
      <c r="G322" s="163"/>
      <c r="H322" s="163"/>
      <c r="I322" s="163"/>
      <c r="J322" s="163"/>
      <c r="K322" s="163"/>
      <c r="L322" s="163"/>
      <c r="M322" s="163"/>
      <c r="N322" s="163"/>
    </row>
    <row r="323" spans="2:14" x14ac:dyDescent="0.25">
      <c r="B323" s="163"/>
      <c r="C323" s="163"/>
      <c r="D323" s="163"/>
      <c r="E323" s="163"/>
      <c r="F323" s="163"/>
      <c r="G323" s="163"/>
      <c r="H323" s="163"/>
      <c r="I323" s="163"/>
      <c r="J323" s="163"/>
      <c r="K323" s="163"/>
      <c r="L323" s="163"/>
      <c r="M323" s="163"/>
      <c r="N323" s="163"/>
    </row>
    <row r="324" spans="2:14" x14ac:dyDescent="0.25">
      <c r="B324" s="163"/>
      <c r="C324" s="163"/>
      <c r="D324" s="163"/>
      <c r="E324" s="163"/>
      <c r="F324" s="163"/>
      <c r="G324" s="163"/>
      <c r="H324" s="163"/>
      <c r="I324" s="163"/>
      <c r="J324" s="163"/>
      <c r="K324" s="163"/>
      <c r="L324" s="163"/>
      <c r="M324" s="163"/>
      <c r="N324" s="163"/>
    </row>
    <row r="325" spans="2:14" x14ac:dyDescent="0.25">
      <c r="B325" s="163"/>
      <c r="C325" s="163"/>
      <c r="D325" s="163"/>
      <c r="E325" s="163"/>
      <c r="F325" s="163"/>
      <c r="G325" s="163"/>
      <c r="H325" s="163"/>
      <c r="I325" s="163"/>
      <c r="J325" s="163"/>
      <c r="K325" s="163"/>
      <c r="L325" s="163"/>
      <c r="M325" s="163"/>
      <c r="N325" s="163"/>
    </row>
    <row r="326" spans="2:14" x14ac:dyDescent="0.25">
      <c r="B326" s="163"/>
      <c r="C326" s="163"/>
      <c r="D326" s="163"/>
      <c r="E326" s="163"/>
      <c r="F326" s="163"/>
      <c r="G326" s="163"/>
      <c r="H326" s="163"/>
      <c r="I326" s="163"/>
      <c r="J326" s="163"/>
      <c r="K326" s="163"/>
      <c r="L326" s="163"/>
      <c r="M326" s="163"/>
      <c r="N326" s="163"/>
    </row>
    <row r="327" spans="2:14" x14ac:dyDescent="0.25">
      <c r="B327" s="163"/>
      <c r="C327" s="163"/>
      <c r="D327" s="163"/>
      <c r="E327" s="163"/>
      <c r="F327" s="163"/>
      <c r="G327" s="163"/>
      <c r="H327" s="163"/>
      <c r="I327" s="163"/>
      <c r="J327" s="163"/>
      <c r="K327" s="163"/>
      <c r="L327" s="163"/>
      <c r="M327" s="163"/>
      <c r="N327" s="163"/>
    </row>
    <row r="328" spans="2:14" x14ac:dyDescent="0.25">
      <c r="B328" s="163"/>
      <c r="C328" s="163"/>
      <c r="D328" s="163"/>
      <c r="E328" s="163"/>
      <c r="F328" s="163"/>
      <c r="G328" s="163"/>
      <c r="H328" s="163"/>
      <c r="I328" s="163"/>
      <c r="J328" s="163"/>
      <c r="K328" s="163"/>
      <c r="L328" s="163"/>
      <c r="M328" s="163"/>
      <c r="N328" s="163"/>
    </row>
    <row r="329" spans="2:14" x14ac:dyDescent="0.25">
      <c r="B329" s="163"/>
      <c r="C329" s="163"/>
      <c r="D329" s="163"/>
      <c r="E329" s="163"/>
      <c r="F329" s="163"/>
      <c r="G329" s="163"/>
      <c r="H329" s="163"/>
      <c r="I329" s="163"/>
      <c r="J329" s="163"/>
      <c r="K329" s="163"/>
      <c r="L329" s="163"/>
      <c r="M329" s="163"/>
      <c r="N329" s="163"/>
    </row>
    <row r="330" spans="2:14" x14ac:dyDescent="0.25">
      <c r="B330" s="163"/>
      <c r="C330" s="163"/>
      <c r="D330" s="163"/>
      <c r="E330" s="163"/>
      <c r="F330" s="163"/>
      <c r="G330" s="163"/>
      <c r="H330" s="163"/>
      <c r="I330" s="163"/>
      <c r="J330" s="163"/>
      <c r="K330" s="163"/>
      <c r="L330" s="163"/>
      <c r="M330" s="163"/>
      <c r="N330" s="163"/>
    </row>
    <row r="331" spans="2:14" x14ac:dyDescent="0.25">
      <c r="B331" s="163"/>
      <c r="C331" s="163"/>
      <c r="D331" s="163"/>
      <c r="E331" s="163"/>
      <c r="F331" s="163"/>
      <c r="G331" s="163"/>
      <c r="H331" s="163"/>
      <c r="I331" s="163"/>
      <c r="J331" s="163"/>
      <c r="K331" s="163"/>
      <c r="L331" s="163"/>
      <c r="M331" s="163"/>
      <c r="N331" s="163"/>
    </row>
    <row r="332" spans="2:14" x14ac:dyDescent="0.25">
      <c r="B332" s="163"/>
      <c r="C332" s="163"/>
      <c r="D332" s="163"/>
      <c r="E332" s="163"/>
      <c r="F332" s="163"/>
      <c r="G332" s="163"/>
      <c r="H332" s="163"/>
      <c r="I332" s="163"/>
      <c r="J332" s="163"/>
      <c r="K332" s="163"/>
      <c r="L332" s="163"/>
      <c r="M332" s="163"/>
      <c r="N332" s="163"/>
    </row>
    <row r="333" spans="2:14" x14ac:dyDescent="0.25">
      <c r="B333" s="163"/>
      <c r="C333" s="163"/>
      <c r="D333" s="163"/>
      <c r="E333" s="163"/>
      <c r="F333" s="163"/>
      <c r="G333" s="163"/>
      <c r="H333" s="163"/>
      <c r="I333" s="163"/>
      <c r="J333" s="163"/>
      <c r="K333" s="163"/>
      <c r="L333" s="163"/>
      <c r="M333" s="163"/>
      <c r="N333" s="163"/>
    </row>
    <row r="334" spans="2:14" x14ac:dyDescent="0.25">
      <c r="B334" s="163"/>
      <c r="C334" s="163"/>
      <c r="D334" s="163"/>
      <c r="E334" s="163"/>
      <c r="F334" s="163"/>
      <c r="G334" s="163"/>
      <c r="H334" s="163"/>
      <c r="I334" s="163"/>
      <c r="J334" s="163"/>
      <c r="K334" s="163"/>
      <c r="L334" s="163"/>
      <c r="M334" s="163"/>
      <c r="N334" s="163"/>
    </row>
    <row r="335" spans="2:14" x14ac:dyDescent="0.25">
      <c r="B335" s="163"/>
      <c r="C335" s="163"/>
      <c r="D335" s="163"/>
      <c r="E335" s="163"/>
      <c r="F335" s="163"/>
      <c r="G335" s="163"/>
      <c r="H335" s="163"/>
      <c r="I335" s="163"/>
      <c r="J335" s="163"/>
      <c r="K335" s="163"/>
      <c r="L335" s="163"/>
      <c r="M335" s="163"/>
      <c r="N335" s="163"/>
    </row>
    <row r="336" spans="2:14" x14ac:dyDescent="0.25">
      <c r="B336" s="163"/>
      <c r="C336" s="163"/>
      <c r="D336" s="163"/>
      <c r="E336" s="163"/>
      <c r="F336" s="163"/>
      <c r="G336" s="163"/>
      <c r="H336" s="163"/>
      <c r="I336" s="163"/>
      <c r="J336" s="163"/>
      <c r="K336" s="163"/>
      <c r="L336" s="163"/>
      <c r="M336" s="163"/>
      <c r="N336" s="163"/>
    </row>
    <row r="337" spans="2:14" x14ac:dyDescent="0.25">
      <c r="B337" s="163"/>
      <c r="C337" s="163"/>
      <c r="D337" s="163"/>
      <c r="E337" s="163"/>
      <c r="F337" s="163"/>
      <c r="G337" s="163"/>
      <c r="H337" s="163"/>
      <c r="I337" s="163"/>
      <c r="J337" s="163"/>
      <c r="K337" s="163"/>
      <c r="L337" s="163"/>
      <c r="M337" s="163"/>
      <c r="N337" s="163"/>
    </row>
    <row r="338" spans="2:14" x14ac:dyDescent="0.25">
      <c r="B338" s="163"/>
      <c r="C338" s="163"/>
      <c r="D338" s="163"/>
      <c r="E338" s="163"/>
      <c r="F338" s="163"/>
      <c r="G338" s="163"/>
      <c r="H338" s="163"/>
      <c r="I338" s="163"/>
      <c r="J338" s="163"/>
      <c r="K338" s="163"/>
      <c r="L338" s="163"/>
      <c r="M338" s="163"/>
      <c r="N338" s="163"/>
    </row>
    <row r="339" spans="2:14" x14ac:dyDescent="0.25">
      <c r="B339" s="163"/>
      <c r="C339" s="163"/>
      <c r="D339" s="163"/>
      <c r="E339" s="163"/>
      <c r="F339" s="163"/>
      <c r="G339" s="163"/>
      <c r="H339" s="163"/>
      <c r="I339" s="163"/>
      <c r="J339" s="163"/>
      <c r="K339" s="163"/>
      <c r="L339" s="163"/>
      <c r="M339" s="163"/>
      <c r="N339" s="163"/>
    </row>
    <row r="340" spans="2:14" x14ac:dyDescent="0.25">
      <c r="B340" s="163"/>
      <c r="C340" s="163"/>
      <c r="D340" s="163"/>
      <c r="E340" s="163"/>
      <c r="F340" s="163"/>
      <c r="G340" s="163"/>
      <c r="H340" s="163"/>
      <c r="I340" s="163"/>
      <c r="J340" s="163"/>
      <c r="K340" s="163"/>
      <c r="L340" s="163"/>
      <c r="M340" s="163"/>
      <c r="N340" s="163"/>
    </row>
    <row r="341" spans="2:14" x14ac:dyDescent="0.25">
      <c r="B341" s="163"/>
      <c r="C341" s="163"/>
      <c r="D341" s="163"/>
      <c r="E341" s="163"/>
      <c r="F341" s="163"/>
      <c r="G341" s="163"/>
      <c r="H341" s="163"/>
      <c r="I341" s="163"/>
      <c r="J341" s="163"/>
      <c r="K341" s="163"/>
      <c r="L341" s="163"/>
      <c r="M341" s="163"/>
      <c r="N341" s="163"/>
    </row>
    <row r="342" spans="2:14" x14ac:dyDescent="0.25">
      <c r="B342" s="163"/>
      <c r="C342" s="163"/>
      <c r="D342" s="163"/>
      <c r="E342" s="163"/>
      <c r="F342" s="163"/>
      <c r="G342" s="163"/>
      <c r="H342" s="163"/>
      <c r="I342" s="163"/>
      <c r="J342" s="163"/>
      <c r="K342" s="163"/>
      <c r="L342" s="163"/>
      <c r="M342" s="163"/>
      <c r="N342" s="163"/>
    </row>
    <row r="343" spans="2:14" x14ac:dyDescent="0.25">
      <c r="B343" s="163"/>
      <c r="C343" s="163"/>
      <c r="D343" s="163"/>
      <c r="E343" s="163"/>
      <c r="F343" s="163"/>
      <c r="G343" s="163"/>
      <c r="H343" s="163"/>
      <c r="I343" s="163"/>
      <c r="J343" s="163"/>
      <c r="K343" s="163"/>
      <c r="L343" s="163"/>
      <c r="M343" s="163"/>
      <c r="N343" s="163"/>
    </row>
    <row r="344" spans="2:14" x14ac:dyDescent="0.25">
      <c r="B344" s="163"/>
      <c r="C344" s="163"/>
      <c r="D344" s="163"/>
      <c r="E344" s="163"/>
      <c r="F344" s="163"/>
      <c r="G344" s="163"/>
      <c r="H344" s="163"/>
      <c r="I344" s="163"/>
      <c r="J344" s="163"/>
      <c r="K344" s="163"/>
      <c r="L344" s="163"/>
      <c r="M344" s="163"/>
      <c r="N344" s="163"/>
    </row>
    <row r="345" spans="2:14" x14ac:dyDescent="0.25">
      <c r="B345" s="163"/>
      <c r="C345" s="163"/>
      <c r="D345" s="163"/>
      <c r="E345" s="163"/>
      <c r="F345" s="163"/>
      <c r="G345" s="163"/>
      <c r="H345" s="163"/>
      <c r="I345" s="163"/>
      <c r="J345" s="163"/>
      <c r="K345" s="163"/>
      <c r="L345" s="163"/>
      <c r="M345" s="163"/>
      <c r="N345" s="163"/>
    </row>
    <row r="346" spans="2:14" x14ac:dyDescent="0.25">
      <c r="B346" s="163"/>
      <c r="C346" s="163"/>
      <c r="D346" s="163"/>
      <c r="E346" s="163"/>
      <c r="F346" s="163"/>
      <c r="G346" s="163"/>
      <c r="H346" s="163"/>
      <c r="I346" s="163"/>
      <c r="J346" s="163"/>
      <c r="K346" s="163"/>
      <c r="L346" s="163"/>
      <c r="M346" s="163"/>
      <c r="N346" s="163"/>
    </row>
    <row r="347" spans="2:14" x14ac:dyDescent="0.25">
      <c r="B347" s="163"/>
      <c r="C347" s="163"/>
      <c r="D347" s="163"/>
      <c r="E347" s="163"/>
      <c r="F347" s="163"/>
      <c r="G347" s="163"/>
      <c r="H347" s="163"/>
      <c r="I347" s="163"/>
      <c r="J347" s="163"/>
      <c r="K347" s="163"/>
      <c r="L347" s="163"/>
      <c r="M347" s="163"/>
      <c r="N347" s="163"/>
    </row>
    <row r="348" spans="2:14" x14ac:dyDescent="0.25">
      <c r="B348" s="163"/>
      <c r="C348" s="163"/>
      <c r="D348" s="163"/>
      <c r="E348" s="163"/>
      <c r="F348" s="163"/>
      <c r="G348" s="163"/>
      <c r="H348" s="163"/>
      <c r="I348" s="163"/>
      <c r="J348" s="163"/>
      <c r="K348" s="163"/>
      <c r="L348" s="163"/>
      <c r="M348" s="163"/>
      <c r="N348" s="163"/>
    </row>
    <row r="349" spans="2:14" x14ac:dyDescent="0.25">
      <c r="B349" s="163"/>
      <c r="C349" s="163"/>
      <c r="D349" s="163"/>
      <c r="E349" s="163"/>
      <c r="F349" s="163"/>
      <c r="G349" s="163"/>
      <c r="H349" s="163"/>
      <c r="I349" s="163"/>
      <c r="J349" s="163"/>
      <c r="K349" s="163"/>
      <c r="L349" s="163"/>
      <c r="M349" s="163"/>
      <c r="N349" s="163"/>
    </row>
    <row r="350" spans="2:14" x14ac:dyDescent="0.25">
      <c r="B350" s="163"/>
      <c r="C350" s="163"/>
      <c r="D350" s="163"/>
      <c r="E350" s="163"/>
      <c r="F350" s="163"/>
      <c r="G350" s="163"/>
      <c r="H350" s="163"/>
      <c r="I350" s="163"/>
      <c r="J350" s="163"/>
      <c r="K350" s="163"/>
      <c r="L350" s="163"/>
      <c r="M350" s="163"/>
      <c r="N350" s="163"/>
    </row>
    <row r="351" spans="2:14" x14ac:dyDescent="0.25">
      <c r="B351" s="163"/>
      <c r="C351" s="163"/>
      <c r="D351" s="163"/>
      <c r="E351" s="163"/>
      <c r="F351" s="163"/>
      <c r="G351" s="163"/>
      <c r="H351" s="163"/>
      <c r="I351" s="163"/>
      <c r="J351" s="163"/>
      <c r="K351" s="163"/>
      <c r="L351" s="163"/>
      <c r="M351" s="163"/>
      <c r="N351" s="163"/>
    </row>
    <row r="352" spans="2:14" x14ac:dyDescent="0.25">
      <c r="B352" s="163"/>
      <c r="C352" s="163"/>
      <c r="D352" s="163"/>
      <c r="E352" s="163"/>
      <c r="F352" s="163"/>
      <c r="G352" s="163"/>
      <c r="H352" s="163"/>
      <c r="I352" s="163"/>
      <c r="J352" s="163"/>
      <c r="K352" s="163"/>
      <c r="L352" s="163"/>
      <c r="M352" s="163"/>
      <c r="N352" s="163"/>
    </row>
    <row r="353" spans="2:14" x14ac:dyDescent="0.25">
      <c r="B353" s="163"/>
      <c r="C353" s="163"/>
      <c r="D353" s="163"/>
      <c r="E353" s="163"/>
      <c r="F353" s="163"/>
      <c r="G353" s="163"/>
      <c r="H353" s="163"/>
      <c r="I353" s="163"/>
      <c r="J353" s="163"/>
      <c r="K353" s="163"/>
      <c r="L353" s="163"/>
      <c r="M353" s="163"/>
      <c r="N353" s="163"/>
    </row>
    <row r="354" spans="2:14" x14ac:dyDescent="0.25">
      <c r="B354" s="163"/>
      <c r="C354" s="163"/>
      <c r="D354" s="163"/>
      <c r="E354" s="163"/>
      <c r="F354" s="163"/>
      <c r="G354" s="163"/>
      <c r="H354" s="163"/>
      <c r="I354" s="163"/>
      <c r="J354" s="163"/>
      <c r="K354" s="163"/>
      <c r="L354" s="163"/>
      <c r="M354" s="163"/>
      <c r="N354" s="163"/>
    </row>
    <row r="355" spans="2:14" x14ac:dyDescent="0.25">
      <c r="B355" s="163"/>
      <c r="C355" s="163"/>
      <c r="D355" s="163"/>
      <c r="E355" s="163"/>
      <c r="F355" s="163"/>
      <c r="G355" s="163"/>
      <c r="H355" s="163"/>
      <c r="I355" s="163"/>
      <c r="J355" s="163"/>
      <c r="K355" s="163"/>
      <c r="L355" s="163"/>
      <c r="M355" s="163"/>
      <c r="N355" s="163"/>
    </row>
    <row r="356" spans="2:14" x14ac:dyDescent="0.25">
      <c r="B356" s="163"/>
      <c r="C356" s="163"/>
      <c r="D356" s="163"/>
      <c r="E356" s="163"/>
      <c r="F356" s="163"/>
      <c r="G356" s="163"/>
      <c r="H356" s="163"/>
      <c r="I356" s="163"/>
      <c r="J356" s="163"/>
      <c r="K356" s="163"/>
      <c r="L356" s="163"/>
      <c r="M356" s="163"/>
      <c r="N356" s="163"/>
    </row>
    <row r="357" spans="2:14" x14ac:dyDescent="0.25">
      <c r="B357" s="163"/>
      <c r="C357" s="163"/>
      <c r="D357" s="163"/>
      <c r="E357" s="163"/>
      <c r="F357" s="163"/>
      <c r="G357" s="163"/>
      <c r="H357" s="163"/>
      <c r="I357" s="163"/>
      <c r="J357" s="163"/>
      <c r="K357" s="163"/>
      <c r="L357" s="163"/>
      <c r="M357" s="163"/>
      <c r="N357" s="163"/>
    </row>
    <row r="358" spans="2:14" x14ac:dyDescent="0.25">
      <c r="B358" s="163"/>
      <c r="C358" s="163"/>
      <c r="D358" s="163"/>
      <c r="E358" s="163"/>
      <c r="F358" s="163"/>
      <c r="G358" s="163"/>
      <c r="H358" s="163"/>
      <c r="I358" s="163"/>
      <c r="J358" s="163"/>
      <c r="K358" s="163"/>
      <c r="L358" s="163"/>
      <c r="M358" s="163"/>
      <c r="N358" s="163"/>
    </row>
    <row r="359" spans="2:14" x14ac:dyDescent="0.25">
      <c r="B359" s="163"/>
      <c r="C359" s="163"/>
      <c r="D359" s="163"/>
      <c r="E359" s="163"/>
      <c r="F359" s="163"/>
      <c r="G359" s="163"/>
      <c r="H359" s="163"/>
      <c r="I359" s="163"/>
      <c r="J359" s="163"/>
      <c r="K359" s="163"/>
      <c r="L359" s="163"/>
      <c r="M359" s="163"/>
      <c r="N359" s="163"/>
    </row>
    <row r="360" spans="2:14" x14ac:dyDescent="0.25">
      <c r="B360" s="163"/>
      <c r="C360" s="163"/>
      <c r="D360" s="163"/>
      <c r="E360" s="163"/>
      <c r="F360" s="163"/>
      <c r="G360" s="163"/>
      <c r="H360" s="163"/>
      <c r="I360" s="163"/>
      <c r="J360" s="163"/>
      <c r="K360" s="163"/>
      <c r="L360" s="163"/>
      <c r="M360" s="163"/>
      <c r="N360" s="163"/>
    </row>
    <row r="361" spans="2:14" x14ac:dyDescent="0.25">
      <c r="B361" s="163"/>
      <c r="C361" s="163"/>
      <c r="D361" s="163"/>
      <c r="E361" s="163"/>
      <c r="F361" s="163"/>
      <c r="G361" s="163"/>
      <c r="H361" s="163"/>
      <c r="I361" s="163"/>
      <c r="J361" s="163"/>
      <c r="K361" s="163"/>
      <c r="L361" s="163"/>
      <c r="M361" s="163"/>
      <c r="N361" s="163"/>
    </row>
    <row r="362" spans="2:14" x14ac:dyDescent="0.25">
      <c r="B362" s="163"/>
      <c r="C362" s="163"/>
      <c r="D362" s="163"/>
      <c r="E362" s="163"/>
      <c r="F362" s="163"/>
      <c r="G362" s="163"/>
      <c r="H362" s="163"/>
      <c r="I362" s="163"/>
      <c r="J362" s="163"/>
      <c r="K362" s="163"/>
      <c r="L362" s="163"/>
      <c r="M362" s="163"/>
      <c r="N362" s="163"/>
    </row>
    <row r="363" spans="2:14" x14ac:dyDescent="0.25">
      <c r="B363" s="163"/>
      <c r="C363" s="163"/>
      <c r="D363" s="163"/>
      <c r="E363" s="163"/>
      <c r="F363" s="163"/>
      <c r="G363" s="163"/>
      <c r="H363" s="163"/>
      <c r="I363" s="163"/>
      <c r="J363" s="163"/>
      <c r="K363" s="163"/>
      <c r="L363" s="163"/>
      <c r="M363" s="163"/>
      <c r="N363" s="163"/>
    </row>
    <row r="364" spans="2:14" x14ac:dyDescent="0.25">
      <c r="B364" s="163"/>
      <c r="C364" s="163"/>
      <c r="D364" s="163"/>
      <c r="E364" s="163"/>
      <c r="F364" s="163"/>
      <c r="G364" s="163"/>
      <c r="H364" s="163"/>
      <c r="I364" s="163"/>
      <c r="J364" s="163"/>
      <c r="K364" s="163"/>
      <c r="L364" s="163"/>
      <c r="M364" s="163"/>
      <c r="N364" s="163"/>
    </row>
    <row r="365" spans="2:14" x14ac:dyDescent="0.25">
      <c r="B365" s="163"/>
      <c r="C365" s="163"/>
      <c r="D365" s="163"/>
      <c r="E365" s="163"/>
      <c r="F365" s="163"/>
      <c r="G365" s="163"/>
      <c r="H365" s="163"/>
      <c r="I365" s="163"/>
      <c r="J365" s="163"/>
      <c r="K365" s="163"/>
      <c r="L365" s="163"/>
      <c r="M365" s="163"/>
      <c r="N365" s="163"/>
    </row>
    <row r="366" spans="2:14" x14ac:dyDescent="0.25">
      <c r="B366" s="163"/>
      <c r="C366" s="163"/>
      <c r="D366" s="163"/>
      <c r="E366" s="163"/>
      <c r="F366" s="163"/>
      <c r="G366" s="163"/>
      <c r="H366" s="163"/>
      <c r="I366" s="163"/>
      <c r="J366" s="163"/>
      <c r="K366" s="163"/>
      <c r="L366" s="163"/>
      <c r="M366" s="163"/>
      <c r="N366" s="163"/>
    </row>
    <row r="367" spans="2:14" x14ac:dyDescent="0.25">
      <c r="B367" s="163"/>
      <c r="C367" s="163"/>
      <c r="D367" s="163"/>
      <c r="E367" s="163"/>
      <c r="F367" s="163"/>
      <c r="G367" s="163"/>
      <c r="H367" s="163"/>
      <c r="I367" s="163"/>
      <c r="J367" s="163"/>
      <c r="K367" s="163"/>
      <c r="L367" s="163"/>
      <c r="M367" s="163"/>
      <c r="N367" s="163"/>
    </row>
    <row r="368" spans="2:14" x14ac:dyDescent="0.25">
      <c r="B368" s="163"/>
      <c r="C368" s="163"/>
      <c r="D368" s="163"/>
      <c r="E368" s="163"/>
      <c r="F368" s="163"/>
      <c r="G368" s="163"/>
      <c r="H368" s="163"/>
      <c r="I368" s="163"/>
      <c r="J368" s="163"/>
      <c r="K368" s="163"/>
      <c r="L368" s="163"/>
      <c r="M368" s="163"/>
      <c r="N368" s="163"/>
    </row>
    <row r="369" spans="2:14" x14ac:dyDescent="0.25">
      <c r="B369" s="163"/>
      <c r="C369" s="163"/>
      <c r="D369" s="163"/>
      <c r="E369" s="163"/>
      <c r="F369" s="163"/>
      <c r="G369" s="163"/>
      <c r="H369" s="163"/>
      <c r="I369" s="163"/>
      <c r="J369" s="163"/>
      <c r="K369" s="163"/>
      <c r="L369" s="163"/>
      <c r="M369" s="163"/>
      <c r="N369" s="163"/>
    </row>
    <row r="370" spans="2:14" x14ac:dyDescent="0.25">
      <c r="B370" s="163"/>
      <c r="C370" s="163"/>
      <c r="D370" s="163"/>
      <c r="E370" s="163"/>
      <c r="F370" s="163"/>
      <c r="G370" s="163"/>
      <c r="H370" s="163"/>
      <c r="I370" s="163"/>
      <c r="J370" s="163"/>
      <c r="K370" s="163"/>
      <c r="L370" s="163"/>
      <c r="M370" s="163"/>
      <c r="N370" s="163"/>
    </row>
    <row r="371" spans="2:14" x14ac:dyDescent="0.25">
      <c r="B371" s="163"/>
      <c r="C371" s="163"/>
      <c r="D371" s="163"/>
      <c r="E371" s="163"/>
      <c r="F371" s="163"/>
      <c r="G371" s="163"/>
      <c r="H371" s="163"/>
      <c r="I371" s="163"/>
      <c r="J371" s="163"/>
      <c r="K371" s="163"/>
      <c r="L371" s="163"/>
      <c r="M371" s="163"/>
      <c r="N371" s="163"/>
    </row>
    <row r="372" spans="2:14" x14ac:dyDescent="0.25">
      <c r="B372" s="163"/>
      <c r="C372" s="163"/>
      <c r="D372" s="163"/>
      <c r="E372" s="163"/>
      <c r="F372" s="163"/>
      <c r="G372" s="163"/>
      <c r="H372" s="163"/>
      <c r="I372" s="163"/>
      <c r="J372" s="163"/>
      <c r="K372" s="163"/>
      <c r="L372" s="163"/>
      <c r="M372" s="163"/>
      <c r="N372" s="163"/>
    </row>
    <row r="373" spans="2:14" x14ac:dyDescent="0.25">
      <c r="B373" s="163"/>
      <c r="C373" s="163"/>
      <c r="D373" s="163"/>
      <c r="E373" s="163"/>
      <c r="F373" s="163"/>
      <c r="G373" s="163"/>
      <c r="H373" s="163"/>
      <c r="I373" s="163"/>
      <c r="J373" s="163"/>
      <c r="K373" s="163"/>
      <c r="L373" s="163"/>
      <c r="M373" s="163"/>
      <c r="N373" s="163"/>
    </row>
    <row r="374" spans="2:14" x14ac:dyDescent="0.25">
      <c r="B374" s="163"/>
      <c r="C374" s="163"/>
      <c r="D374" s="163"/>
      <c r="E374" s="163"/>
      <c r="F374" s="163"/>
      <c r="G374" s="163"/>
      <c r="H374" s="163"/>
      <c r="I374" s="163"/>
      <c r="J374" s="163"/>
      <c r="K374" s="163"/>
      <c r="L374" s="163"/>
      <c r="M374" s="163"/>
      <c r="N374" s="163"/>
    </row>
    <row r="375" spans="2:14" x14ac:dyDescent="0.25">
      <c r="B375" s="163"/>
      <c r="C375" s="163"/>
      <c r="D375" s="163"/>
      <c r="E375" s="163"/>
      <c r="F375" s="163"/>
      <c r="G375" s="163"/>
      <c r="H375" s="163"/>
      <c r="I375" s="163"/>
      <c r="J375" s="163"/>
      <c r="K375" s="163"/>
      <c r="L375" s="163"/>
      <c r="M375" s="163"/>
      <c r="N375" s="163"/>
    </row>
    <row r="376" spans="2:14" x14ac:dyDescent="0.25">
      <c r="B376" s="163"/>
      <c r="C376" s="163"/>
      <c r="D376" s="163"/>
      <c r="E376" s="163"/>
      <c r="F376" s="163"/>
      <c r="G376" s="163"/>
      <c r="H376" s="163"/>
      <c r="I376" s="163"/>
      <c r="J376" s="163"/>
      <c r="K376" s="163"/>
      <c r="L376" s="163"/>
      <c r="M376" s="163"/>
      <c r="N376" s="163"/>
    </row>
    <row r="377" spans="2:14" x14ac:dyDescent="0.25">
      <c r="B377" s="163"/>
      <c r="C377" s="163"/>
      <c r="D377" s="163"/>
      <c r="E377" s="163"/>
      <c r="F377" s="163"/>
      <c r="G377" s="163"/>
      <c r="H377" s="163"/>
      <c r="I377" s="163"/>
      <c r="J377" s="163"/>
      <c r="K377" s="163"/>
      <c r="L377" s="163"/>
      <c r="M377" s="163"/>
      <c r="N377" s="163"/>
    </row>
    <row r="378" spans="2:14" x14ac:dyDescent="0.25">
      <c r="B378" s="163"/>
      <c r="C378" s="163"/>
      <c r="D378" s="163"/>
      <c r="E378" s="163"/>
      <c r="F378" s="163"/>
      <c r="G378" s="163"/>
      <c r="H378" s="163"/>
      <c r="I378" s="163"/>
      <c r="J378" s="163"/>
      <c r="K378" s="163"/>
      <c r="L378" s="163"/>
      <c r="M378" s="163"/>
      <c r="N378" s="163"/>
    </row>
    <row r="379" spans="2:14" x14ac:dyDescent="0.25">
      <c r="B379" s="163"/>
      <c r="C379" s="163"/>
      <c r="D379" s="163"/>
      <c r="E379" s="163"/>
      <c r="F379" s="163"/>
      <c r="G379" s="163"/>
      <c r="H379" s="163"/>
      <c r="I379" s="163"/>
      <c r="J379" s="163"/>
      <c r="K379" s="163"/>
      <c r="L379" s="163"/>
      <c r="M379" s="163"/>
      <c r="N379" s="163"/>
    </row>
    <row r="380" spans="2:14" x14ac:dyDescent="0.25">
      <c r="B380" s="163"/>
      <c r="C380" s="163"/>
      <c r="D380" s="163"/>
      <c r="E380" s="163"/>
      <c r="F380" s="163"/>
      <c r="G380" s="163"/>
      <c r="H380" s="163"/>
      <c r="I380" s="163"/>
      <c r="J380" s="163"/>
      <c r="K380" s="163"/>
      <c r="L380" s="163"/>
      <c r="M380" s="163"/>
      <c r="N380" s="163"/>
    </row>
    <row r="381" spans="2:14" x14ac:dyDescent="0.25">
      <c r="B381" s="163"/>
      <c r="C381" s="163"/>
      <c r="D381" s="163"/>
      <c r="E381" s="163"/>
      <c r="F381" s="163"/>
      <c r="G381" s="163"/>
      <c r="H381" s="163"/>
      <c r="I381" s="163"/>
      <c r="J381" s="163"/>
      <c r="K381" s="163"/>
      <c r="L381" s="163"/>
      <c r="M381" s="163"/>
      <c r="N381" s="163"/>
    </row>
    <row r="382" spans="2:14" x14ac:dyDescent="0.25">
      <c r="B382" s="163"/>
      <c r="C382" s="163"/>
      <c r="D382" s="163"/>
      <c r="E382" s="163"/>
      <c r="F382" s="163"/>
      <c r="G382" s="163"/>
      <c r="H382" s="163"/>
      <c r="I382" s="163"/>
      <c r="J382" s="163"/>
      <c r="K382" s="163"/>
      <c r="L382" s="163"/>
      <c r="M382" s="163"/>
      <c r="N382" s="163"/>
    </row>
    <row r="383" spans="2:14" x14ac:dyDescent="0.25">
      <c r="B383" s="163"/>
      <c r="C383" s="163"/>
      <c r="D383" s="163"/>
      <c r="E383" s="163"/>
      <c r="F383" s="163"/>
      <c r="G383" s="163"/>
      <c r="H383" s="163"/>
      <c r="I383" s="163"/>
      <c r="J383" s="163"/>
      <c r="K383" s="163"/>
      <c r="L383" s="163"/>
      <c r="M383" s="163"/>
      <c r="N383" s="163"/>
    </row>
    <row r="384" spans="2:14" x14ac:dyDescent="0.25">
      <c r="B384" s="163"/>
      <c r="C384" s="163"/>
      <c r="D384" s="163"/>
      <c r="E384" s="163"/>
      <c r="F384" s="163"/>
      <c r="G384" s="163"/>
      <c r="H384" s="163"/>
      <c r="I384" s="163"/>
      <c r="J384" s="163"/>
      <c r="K384" s="163"/>
      <c r="L384" s="163"/>
      <c r="M384" s="163"/>
      <c r="N384" s="163"/>
    </row>
    <row r="385" spans="2:14" x14ac:dyDescent="0.25">
      <c r="B385" s="163"/>
      <c r="C385" s="163"/>
      <c r="D385" s="163"/>
      <c r="E385" s="163"/>
      <c r="F385" s="163"/>
      <c r="G385" s="163"/>
      <c r="H385" s="163"/>
      <c r="I385" s="163"/>
      <c r="J385" s="163"/>
      <c r="K385" s="163"/>
      <c r="L385" s="163"/>
      <c r="M385" s="163"/>
      <c r="N385" s="163"/>
    </row>
    <row r="386" spans="2:14" x14ac:dyDescent="0.25">
      <c r="B386" s="163"/>
      <c r="C386" s="163"/>
      <c r="D386" s="163"/>
      <c r="E386" s="163"/>
      <c r="F386" s="163"/>
      <c r="G386" s="163"/>
      <c r="H386" s="163"/>
      <c r="I386" s="163"/>
      <c r="J386" s="163"/>
      <c r="K386" s="163"/>
      <c r="L386" s="163"/>
      <c r="M386" s="163"/>
      <c r="N386" s="163"/>
    </row>
    <row r="387" spans="2:14" x14ac:dyDescent="0.25">
      <c r="B387" s="163"/>
      <c r="C387" s="163"/>
      <c r="D387" s="163"/>
      <c r="E387" s="163"/>
      <c r="F387" s="163"/>
      <c r="G387" s="163"/>
      <c r="H387" s="163"/>
      <c r="I387" s="163"/>
      <c r="J387" s="163"/>
      <c r="K387" s="163"/>
      <c r="L387" s="163"/>
      <c r="M387" s="163"/>
      <c r="N387" s="163"/>
    </row>
    <row r="388" spans="2:14" x14ac:dyDescent="0.25">
      <c r="B388" s="163"/>
      <c r="C388" s="163"/>
      <c r="D388" s="163"/>
      <c r="E388" s="163"/>
      <c r="F388" s="163"/>
      <c r="G388" s="163"/>
      <c r="H388" s="163"/>
      <c r="I388" s="163"/>
      <c r="J388" s="163"/>
      <c r="K388" s="163"/>
      <c r="L388" s="163"/>
      <c r="M388" s="163"/>
      <c r="N388" s="163"/>
    </row>
    <row r="389" spans="2:14" x14ac:dyDescent="0.25">
      <c r="B389" s="163"/>
      <c r="C389" s="163"/>
      <c r="D389" s="163"/>
      <c r="E389" s="163"/>
      <c r="F389" s="163"/>
      <c r="G389" s="163"/>
      <c r="H389" s="163"/>
      <c r="I389" s="163"/>
      <c r="J389" s="163"/>
      <c r="K389" s="163"/>
      <c r="L389" s="163"/>
      <c r="M389" s="163"/>
      <c r="N389" s="163"/>
    </row>
    <row r="390" spans="2:14" x14ac:dyDescent="0.25">
      <c r="B390" s="163"/>
      <c r="C390" s="163"/>
      <c r="D390" s="163"/>
      <c r="E390" s="163"/>
      <c r="F390" s="163"/>
      <c r="G390" s="163"/>
      <c r="H390" s="163"/>
      <c r="I390" s="163"/>
      <c r="J390" s="163"/>
      <c r="K390" s="163"/>
      <c r="L390" s="163"/>
      <c r="M390" s="163"/>
      <c r="N390" s="163"/>
    </row>
    <row r="391" spans="2:14" x14ac:dyDescent="0.25">
      <c r="B391" s="163"/>
      <c r="C391" s="163"/>
      <c r="D391" s="163"/>
      <c r="E391" s="163"/>
      <c r="F391" s="163"/>
      <c r="G391" s="163"/>
      <c r="H391" s="163"/>
      <c r="I391" s="163"/>
      <c r="J391" s="163"/>
      <c r="K391" s="163"/>
      <c r="L391" s="163"/>
      <c r="M391" s="163"/>
      <c r="N391" s="163"/>
    </row>
    <row r="392" spans="2:14" x14ac:dyDescent="0.25">
      <c r="B392" s="163"/>
      <c r="C392" s="163"/>
      <c r="D392" s="163"/>
      <c r="E392" s="163"/>
      <c r="F392" s="163"/>
      <c r="G392" s="163"/>
      <c r="H392" s="163"/>
      <c r="I392" s="163"/>
      <c r="J392" s="163"/>
      <c r="K392" s="163"/>
      <c r="L392" s="163"/>
      <c r="M392" s="163"/>
      <c r="N392" s="163"/>
    </row>
    <row r="393" spans="2:14" x14ac:dyDescent="0.25">
      <c r="B393" s="163"/>
      <c r="C393" s="163"/>
      <c r="D393" s="163"/>
      <c r="E393" s="163"/>
      <c r="F393" s="163"/>
      <c r="G393" s="163"/>
      <c r="H393" s="163"/>
      <c r="I393" s="163"/>
      <c r="J393" s="163"/>
      <c r="K393" s="163"/>
      <c r="L393" s="163"/>
      <c r="M393" s="163"/>
      <c r="N393" s="163"/>
    </row>
    <row r="394" spans="2:14" x14ac:dyDescent="0.25">
      <c r="B394" s="163"/>
      <c r="C394" s="163"/>
      <c r="D394" s="163"/>
      <c r="E394" s="163"/>
      <c r="F394" s="163"/>
      <c r="G394" s="163"/>
      <c r="H394" s="163"/>
      <c r="I394" s="163"/>
      <c r="J394" s="163"/>
      <c r="K394" s="163"/>
      <c r="L394" s="163"/>
      <c r="M394" s="163"/>
      <c r="N394" s="163"/>
    </row>
    <row r="395" spans="2:14" x14ac:dyDescent="0.25">
      <c r="B395" s="163"/>
      <c r="C395" s="163"/>
      <c r="D395" s="163"/>
      <c r="E395" s="163"/>
      <c r="F395" s="163"/>
      <c r="G395" s="163"/>
      <c r="H395" s="163"/>
      <c r="I395" s="163"/>
      <c r="J395" s="163"/>
      <c r="K395" s="163"/>
      <c r="L395" s="163"/>
      <c r="M395" s="163"/>
      <c r="N395" s="163"/>
    </row>
    <row r="396" spans="2:14" x14ac:dyDescent="0.25">
      <c r="B396" s="163"/>
      <c r="C396" s="163"/>
      <c r="D396" s="163"/>
      <c r="E396" s="163"/>
      <c r="F396" s="163"/>
      <c r="G396" s="163"/>
      <c r="H396" s="163"/>
      <c r="I396" s="163"/>
      <c r="J396" s="163"/>
      <c r="K396" s="163"/>
      <c r="L396" s="163"/>
      <c r="M396" s="163"/>
      <c r="N396" s="163"/>
    </row>
    <row r="397" spans="2:14" x14ac:dyDescent="0.25">
      <c r="B397" s="163"/>
      <c r="C397" s="163"/>
      <c r="D397" s="163"/>
      <c r="E397" s="163"/>
      <c r="F397" s="163"/>
      <c r="G397" s="163"/>
      <c r="H397" s="163"/>
      <c r="I397" s="163"/>
      <c r="J397" s="163"/>
      <c r="K397" s="163"/>
      <c r="L397" s="163"/>
      <c r="M397" s="163"/>
      <c r="N397" s="163"/>
    </row>
    <row r="398" spans="2:14" x14ac:dyDescent="0.25">
      <c r="B398" s="163"/>
      <c r="C398" s="163"/>
      <c r="D398" s="163"/>
      <c r="E398" s="163"/>
      <c r="F398" s="163"/>
      <c r="G398" s="163"/>
      <c r="H398" s="163"/>
      <c r="I398" s="163"/>
      <c r="J398" s="163"/>
      <c r="K398" s="163"/>
      <c r="L398" s="163"/>
      <c r="M398" s="163"/>
      <c r="N398" s="163"/>
    </row>
    <row r="399" spans="2:14" x14ac:dyDescent="0.25">
      <c r="B399" s="163"/>
      <c r="C399" s="163"/>
      <c r="D399" s="163"/>
      <c r="E399" s="163"/>
      <c r="F399" s="163"/>
      <c r="G399" s="163"/>
      <c r="H399" s="163"/>
      <c r="I399" s="163"/>
      <c r="J399" s="163"/>
      <c r="K399" s="163"/>
      <c r="L399" s="163"/>
      <c r="M399" s="163"/>
      <c r="N399" s="163"/>
    </row>
    <row r="400" spans="2:14" x14ac:dyDescent="0.25">
      <c r="B400" s="163"/>
      <c r="C400" s="163"/>
      <c r="D400" s="163"/>
      <c r="E400" s="163"/>
      <c r="F400" s="163"/>
      <c r="G400" s="163"/>
      <c r="H400" s="163"/>
      <c r="I400" s="163"/>
      <c r="J400" s="163"/>
      <c r="K400" s="163"/>
      <c r="L400" s="163"/>
      <c r="M400" s="163"/>
      <c r="N400" s="163"/>
    </row>
    <row r="401" spans="2:14" x14ac:dyDescent="0.25">
      <c r="B401" s="163"/>
      <c r="C401" s="163"/>
      <c r="D401" s="163"/>
      <c r="E401" s="163"/>
      <c r="F401" s="163"/>
      <c r="G401" s="163"/>
      <c r="H401" s="163"/>
      <c r="I401" s="163"/>
      <c r="J401" s="163"/>
      <c r="K401" s="163"/>
      <c r="L401" s="163"/>
      <c r="M401" s="163"/>
      <c r="N401" s="163"/>
    </row>
    <row r="402" spans="2:14" x14ac:dyDescent="0.25">
      <c r="B402" s="163"/>
      <c r="C402" s="163"/>
      <c r="D402" s="163"/>
      <c r="E402" s="163"/>
      <c r="F402" s="163"/>
      <c r="G402" s="163"/>
      <c r="H402" s="163"/>
      <c r="I402" s="163"/>
      <c r="J402" s="163"/>
      <c r="K402" s="163"/>
      <c r="L402" s="163"/>
      <c r="M402" s="163"/>
      <c r="N402" s="163"/>
    </row>
    <row r="403" spans="2:14" x14ac:dyDescent="0.25">
      <c r="B403" s="163"/>
      <c r="C403" s="163"/>
      <c r="D403" s="163"/>
      <c r="E403" s="163"/>
      <c r="F403" s="163"/>
      <c r="G403" s="163"/>
      <c r="H403" s="163"/>
      <c r="I403" s="163"/>
      <c r="J403" s="163"/>
      <c r="K403" s="163"/>
      <c r="L403" s="163"/>
      <c r="M403" s="163"/>
      <c r="N403" s="163"/>
    </row>
    <row r="404" spans="2:14" x14ac:dyDescent="0.25">
      <c r="B404" s="163"/>
      <c r="C404" s="163"/>
      <c r="D404" s="163"/>
      <c r="E404" s="163"/>
      <c r="F404" s="163"/>
      <c r="G404" s="163"/>
      <c r="H404" s="163"/>
      <c r="I404" s="163"/>
      <c r="J404" s="163"/>
      <c r="K404" s="163"/>
      <c r="L404" s="163"/>
      <c r="M404" s="163"/>
      <c r="N404" s="163"/>
    </row>
    <row r="405" spans="2:14" x14ac:dyDescent="0.25">
      <c r="B405" s="163"/>
      <c r="C405" s="163"/>
      <c r="D405" s="163"/>
      <c r="E405" s="163"/>
      <c r="F405" s="163"/>
      <c r="G405" s="163"/>
      <c r="H405" s="163"/>
      <c r="I405" s="163"/>
      <c r="J405" s="163"/>
      <c r="K405" s="163"/>
      <c r="L405" s="163"/>
      <c r="M405" s="163"/>
      <c r="N405" s="163"/>
    </row>
    <row r="406" spans="2:14" x14ac:dyDescent="0.25">
      <c r="B406" s="163"/>
      <c r="C406" s="163"/>
      <c r="D406" s="163"/>
      <c r="E406" s="163"/>
      <c r="F406" s="163"/>
      <c r="G406" s="163"/>
      <c r="H406" s="163"/>
      <c r="I406" s="163"/>
      <c r="J406" s="163"/>
      <c r="K406" s="163"/>
      <c r="L406" s="163"/>
      <c r="M406" s="163"/>
      <c r="N406" s="163"/>
    </row>
    <row r="407" spans="2:14" x14ac:dyDescent="0.25">
      <c r="B407" s="163"/>
      <c r="C407" s="163"/>
      <c r="D407" s="163"/>
      <c r="E407" s="163"/>
      <c r="F407" s="163"/>
      <c r="G407" s="163"/>
      <c r="H407" s="163"/>
      <c r="I407" s="163"/>
      <c r="J407" s="163"/>
      <c r="K407" s="163"/>
      <c r="L407" s="163"/>
      <c r="M407" s="163"/>
      <c r="N407" s="163"/>
    </row>
    <row r="408" spans="2:14" x14ac:dyDescent="0.25">
      <c r="B408" s="163"/>
      <c r="C408" s="163"/>
      <c r="D408" s="163"/>
      <c r="E408" s="163"/>
      <c r="F408" s="163"/>
      <c r="G408" s="163"/>
      <c r="H408" s="163"/>
      <c r="I408" s="163"/>
      <c r="J408" s="163"/>
      <c r="K408" s="163"/>
      <c r="L408" s="163"/>
      <c r="M408" s="163"/>
      <c r="N408" s="163"/>
    </row>
    <row r="409" spans="2:14" x14ac:dyDescent="0.25">
      <c r="B409" s="163"/>
      <c r="C409" s="163"/>
      <c r="D409" s="163"/>
      <c r="E409" s="163"/>
      <c r="F409" s="163"/>
      <c r="G409" s="163"/>
      <c r="H409" s="163"/>
      <c r="I409" s="163"/>
      <c r="J409" s="163"/>
      <c r="K409" s="163"/>
      <c r="L409" s="163"/>
      <c r="M409" s="163"/>
      <c r="N409" s="163"/>
    </row>
    <row r="410" spans="2:14" x14ac:dyDescent="0.25">
      <c r="B410" s="163"/>
      <c r="C410" s="163"/>
      <c r="D410" s="163"/>
      <c r="E410" s="163"/>
      <c r="F410" s="163"/>
      <c r="G410" s="163"/>
      <c r="H410" s="163"/>
      <c r="I410" s="163"/>
      <c r="J410" s="163"/>
      <c r="K410" s="163"/>
      <c r="L410" s="163"/>
      <c r="M410" s="163"/>
      <c r="N410" s="163"/>
    </row>
    <row r="411" spans="2:14" x14ac:dyDescent="0.25">
      <c r="B411" s="163"/>
      <c r="C411" s="163"/>
      <c r="D411" s="163"/>
      <c r="E411" s="163"/>
      <c r="F411" s="163"/>
      <c r="G411" s="163"/>
      <c r="H411" s="163"/>
      <c r="I411" s="163"/>
      <c r="J411" s="163"/>
      <c r="K411" s="163"/>
      <c r="L411" s="163"/>
      <c r="M411" s="163"/>
      <c r="N411" s="163"/>
    </row>
    <row r="412" spans="2:14" x14ac:dyDescent="0.25">
      <c r="B412" s="163"/>
      <c r="C412" s="163"/>
      <c r="D412" s="163"/>
      <c r="E412" s="163"/>
      <c r="F412" s="163"/>
      <c r="G412" s="163"/>
      <c r="H412" s="163"/>
      <c r="I412" s="163"/>
      <c r="J412" s="163"/>
      <c r="K412" s="163"/>
      <c r="L412" s="163"/>
      <c r="M412" s="163"/>
      <c r="N412" s="163"/>
    </row>
    <row r="413" spans="2:14" x14ac:dyDescent="0.25">
      <c r="B413" s="163"/>
      <c r="C413" s="163"/>
      <c r="D413" s="163"/>
      <c r="E413" s="163"/>
      <c r="F413" s="163"/>
      <c r="G413" s="163"/>
      <c r="H413" s="163"/>
      <c r="I413" s="163"/>
      <c r="J413" s="163"/>
      <c r="K413" s="163"/>
      <c r="L413" s="163"/>
      <c r="M413" s="163"/>
      <c r="N413" s="163"/>
    </row>
    <row r="414" spans="2:14" x14ac:dyDescent="0.25">
      <c r="B414" s="163"/>
      <c r="C414" s="163"/>
      <c r="D414" s="163"/>
      <c r="E414" s="163"/>
      <c r="F414" s="163"/>
      <c r="G414" s="163"/>
      <c r="H414" s="163"/>
      <c r="I414" s="163"/>
      <c r="J414" s="163"/>
      <c r="K414" s="163"/>
      <c r="L414" s="163"/>
      <c r="M414" s="163"/>
      <c r="N414" s="163"/>
    </row>
    <row r="415" spans="2:14" x14ac:dyDescent="0.25">
      <c r="B415" s="163"/>
      <c r="C415" s="163"/>
      <c r="D415" s="163"/>
      <c r="E415" s="163"/>
      <c r="F415" s="163"/>
      <c r="G415" s="163"/>
      <c r="H415" s="163"/>
      <c r="I415" s="163"/>
      <c r="J415" s="163"/>
      <c r="K415" s="163"/>
      <c r="L415" s="163"/>
      <c r="M415" s="163"/>
      <c r="N415" s="163"/>
    </row>
    <row r="416" spans="2:14" x14ac:dyDescent="0.25">
      <c r="B416" s="163"/>
      <c r="C416" s="163"/>
      <c r="D416" s="163"/>
      <c r="E416" s="163"/>
      <c r="F416" s="163"/>
      <c r="G416" s="163"/>
      <c r="H416" s="163"/>
      <c r="I416" s="163"/>
      <c r="J416" s="163"/>
      <c r="K416" s="163"/>
      <c r="L416" s="163"/>
      <c r="M416" s="163"/>
      <c r="N416" s="163"/>
    </row>
    <row r="417" spans="2:14" x14ac:dyDescent="0.25">
      <c r="B417" s="163"/>
      <c r="C417" s="163"/>
      <c r="D417" s="163"/>
      <c r="E417" s="163"/>
      <c r="F417" s="163"/>
      <c r="G417" s="163"/>
      <c r="H417" s="163"/>
      <c r="I417" s="163"/>
      <c r="J417" s="163"/>
      <c r="K417" s="163"/>
      <c r="L417" s="163"/>
      <c r="M417" s="163"/>
      <c r="N417" s="163"/>
    </row>
    <row r="418" spans="2:14" x14ac:dyDescent="0.25">
      <c r="B418" s="163"/>
      <c r="C418" s="163"/>
      <c r="D418" s="163"/>
      <c r="E418" s="163"/>
      <c r="F418" s="163"/>
      <c r="G418" s="163"/>
      <c r="H418" s="163"/>
      <c r="I418" s="163"/>
      <c r="J418" s="163"/>
      <c r="K418" s="163"/>
      <c r="L418" s="163"/>
      <c r="M418" s="163"/>
      <c r="N418" s="163"/>
    </row>
    <row r="419" spans="2:14" x14ac:dyDescent="0.25">
      <c r="B419" s="163"/>
      <c r="C419" s="163"/>
      <c r="D419" s="163"/>
      <c r="E419" s="163"/>
      <c r="F419" s="163"/>
      <c r="G419" s="163"/>
      <c r="H419" s="163"/>
      <c r="I419" s="163"/>
      <c r="J419" s="163"/>
      <c r="K419" s="163"/>
      <c r="L419" s="163"/>
      <c r="M419" s="163"/>
      <c r="N419" s="163"/>
    </row>
    <row r="420" spans="2:14" x14ac:dyDescent="0.25">
      <c r="B420" s="163"/>
      <c r="C420" s="163"/>
      <c r="D420" s="163"/>
      <c r="E420" s="163"/>
      <c r="F420" s="163"/>
      <c r="G420" s="163"/>
      <c r="H420" s="163"/>
      <c r="I420" s="163"/>
      <c r="J420" s="163"/>
      <c r="K420" s="163"/>
      <c r="L420" s="163"/>
      <c r="M420" s="163"/>
      <c r="N420" s="163"/>
    </row>
    <row r="421" spans="2:14" x14ac:dyDescent="0.25">
      <c r="B421" s="163"/>
      <c r="C421" s="163"/>
      <c r="D421" s="163"/>
      <c r="E421" s="163"/>
      <c r="F421" s="163"/>
      <c r="G421" s="163"/>
      <c r="H421" s="163"/>
      <c r="I421" s="163"/>
      <c r="J421" s="163"/>
      <c r="K421" s="163"/>
      <c r="L421" s="163"/>
      <c r="M421" s="163"/>
      <c r="N421" s="163"/>
    </row>
    <row r="422" spans="2:14" x14ac:dyDescent="0.25">
      <c r="B422" s="163"/>
      <c r="C422" s="163"/>
      <c r="D422" s="163"/>
      <c r="E422" s="163"/>
      <c r="F422" s="163"/>
      <c r="G422" s="163"/>
      <c r="H422" s="163"/>
      <c r="I422" s="163"/>
      <c r="J422" s="163"/>
      <c r="K422" s="163"/>
      <c r="L422" s="163"/>
      <c r="M422" s="163"/>
      <c r="N422" s="163"/>
    </row>
    <row r="423" spans="2:14" x14ac:dyDescent="0.25">
      <c r="B423" s="163"/>
      <c r="C423" s="163"/>
      <c r="D423" s="163"/>
      <c r="E423" s="163"/>
      <c r="F423" s="163"/>
      <c r="G423" s="163"/>
      <c r="H423" s="163"/>
      <c r="I423" s="163"/>
      <c r="J423" s="163"/>
      <c r="K423" s="163"/>
      <c r="L423" s="163"/>
      <c r="M423" s="163"/>
      <c r="N423" s="163"/>
    </row>
    <row r="424" spans="2:14" x14ac:dyDescent="0.25">
      <c r="B424" s="163"/>
      <c r="C424" s="163"/>
      <c r="D424" s="163"/>
      <c r="E424" s="163"/>
      <c r="F424" s="163"/>
      <c r="G424" s="163"/>
      <c r="H424" s="163"/>
      <c r="I424" s="163"/>
      <c r="J424" s="163"/>
      <c r="K424" s="163"/>
      <c r="L424" s="163"/>
      <c r="M424" s="163"/>
      <c r="N424" s="163"/>
    </row>
    <row r="425" spans="2:14" x14ac:dyDescent="0.25">
      <c r="B425" s="163"/>
      <c r="C425" s="163"/>
      <c r="D425" s="163"/>
      <c r="E425" s="163"/>
      <c r="F425" s="163"/>
      <c r="G425" s="163"/>
      <c r="H425" s="163"/>
      <c r="I425" s="163"/>
      <c r="J425" s="163"/>
      <c r="K425" s="163"/>
      <c r="L425" s="163"/>
      <c r="M425" s="163"/>
      <c r="N425" s="163"/>
    </row>
    <row r="426" spans="2:14" x14ac:dyDescent="0.25">
      <c r="B426" s="163"/>
      <c r="C426" s="163"/>
      <c r="D426" s="163"/>
      <c r="E426" s="163"/>
      <c r="F426" s="163"/>
      <c r="G426" s="163"/>
      <c r="H426" s="163"/>
      <c r="I426" s="163"/>
      <c r="J426" s="163"/>
      <c r="K426" s="163"/>
      <c r="L426" s="163"/>
      <c r="M426" s="163"/>
      <c r="N426" s="163"/>
    </row>
    <row r="427" spans="2:14" x14ac:dyDescent="0.25">
      <c r="B427" s="163"/>
      <c r="C427" s="163"/>
      <c r="D427" s="163"/>
      <c r="E427" s="163"/>
      <c r="F427" s="163"/>
      <c r="G427" s="163"/>
      <c r="H427" s="163"/>
      <c r="I427" s="163"/>
      <c r="J427" s="163"/>
      <c r="K427" s="163"/>
      <c r="L427" s="163"/>
      <c r="M427" s="163"/>
      <c r="N427" s="163"/>
    </row>
    <row r="428" spans="2:14" x14ac:dyDescent="0.25">
      <c r="B428" s="163"/>
      <c r="C428" s="163"/>
      <c r="D428" s="163"/>
      <c r="E428" s="163"/>
      <c r="F428" s="163"/>
      <c r="G428" s="163"/>
      <c r="H428" s="163"/>
      <c r="I428" s="163"/>
      <c r="J428" s="163"/>
      <c r="K428" s="163"/>
      <c r="L428" s="163"/>
      <c r="M428" s="163"/>
      <c r="N428" s="163"/>
    </row>
    <row r="429" spans="2:14" x14ac:dyDescent="0.25">
      <c r="B429" s="163"/>
      <c r="C429" s="163"/>
      <c r="D429" s="163"/>
      <c r="E429" s="163"/>
      <c r="F429" s="163"/>
      <c r="G429" s="163"/>
      <c r="H429" s="163"/>
      <c r="I429" s="163"/>
      <c r="J429" s="163"/>
      <c r="K429" s="163"/>
      <c r="L429" s="163"/>
      <c r="M429" s="163"/>
      <c r="N429" s="163"/>
    </row>
    <row r="430" spans="2:14" x14ac:dyDescent="0.25">
      <c r="B430" s="163"/>
      <c r="C430" s="163"/>
      <c r="D430" s="163"/>
      <c r="E430" s="163"/>
      <c r="F430" s="163"/>
      <c r="G430" s="163"/>
      <c r="H430" s="163"/>
      <c r="I430" s="163"/>
      <c r="J430" s="163"/>
      <c r="K430" s="163"/>
      <c r="L430" s="163"/>
      <c r="M430" s="163"/>
      <c r="N430" s="163"/>
    </row>
    <row r="431" spans="2:14" x14ac:dyDescent="0.25">
      <c r="B431" s="163"/>
      <c r="C431" s="163"/>
      <c r="D431" s="163"/>
      <c r="E431" s="163"/>
      <c r="F431" s="163"/>
      <c r="G431" s="163"/>
      <c r="H431" s="163"/>
      <c r="I431" s="163"/>
      <c r="J431" s="163"/>
      <c r="K431" s="163"/>
      <c r="L431" s="163"/>
      <c r="M431" s="163"/>
      <c r="N431" s="163"/>
    </row>
    <row r="432" spans="2:14" x14ac:dyDescent="0.25">
      <c r="B432" s="163"/>
      <c r="C432" s="163"/>
      <c r="D432" s="163"/>
      <c r="E432" s="163"/>
      <c r="F432" s="163"/>
      <c r="G432" s="163"/>
      <c r="H432" s="163"/>
      <c r="I432" s="163"/>
      <c r="J432" s="163"/>
      <c r="K432" s="163"/>
      <c r="L432" s="163"/>
      <c r="M432" s="163"/>
      <c r="N432" s="163"/>
    </row>
    <row r="433" spans="2:14" x14ac:dyDescent="0.25">
      <c r="B433" s="163"/>
      <c r="C433" s="163"/>
      <c r="D433" s="163"/>
      <c r="E433" s="163"/>
      <c r="F433" s="163"/>
      <c r="G433" s="163"/>
      <c r="H433" s="163"/>
      <c r="I433" s="163"/>
      <c r="J433" s="163"/>
      <c r="K433" s="163"/>
      <c r="L433" s="163"/>
      <c r="M433" s="163"/>
      <c r="N433" s="163"/>
    </row>
    <row r="434" spans="2:14" x14ac:dyDescent="0.25">
      <c r="B434" s="163"/>
      <c r="C434" s="163"/>
      <c r="D434" s="163"/>
      <c r="E434" s="163"/>
      <c r="F434" s="163"/>
      <c r="G434" s="163"/>
      <c r="H434" s="163"/>
      <c r="I434" s="163"/>
      <c r="J434" s="163"/>
      <c r="K434" s="163"/>
      <c r="L434" s="163"/>
      <c r="M434" s="163"/>
      <c r="N434" s="163"/>
    </row>
    <row r="435" spans="2:14" x14ac:dyDescent="0.25">
      <c r="B435" s="163"/>
      <c r="C435" s="163"/>
      <c r="D435" s="163"/>
      <c r="E435" s="163"/>
      <c r="F435" s="163"/>
      <c r="G435" s="163"/>
      <c r="H435" s="163"/>
      <c r="I435" s="163"/>
      <c r="J435" s="163"/>
      <c r="K435" s="163"/>
      <c r="L435" s="163"/>
      <c r="M435" s="163"/>
      <c r="N435" s="163"/>
    </row>
    <row r="436" spans="2:14" x14ac:dyDescent="0.25">
      <c r="B436" s="163"/>
      <c r="C436" s="163"/>
      <c r="D436" s="163"/>
      <c r="E436" s="163"/>
      <c r="F436" s="163"/>
      <c r="G436" s="163"/>
      <c r="H436" s="163"/>
      <c r="I436" s="163"/>
      <c r="J436" s="163"/>
      <c r="K436" s="163"/>
      <c r="L436" s="163"/>
      <c r="M436" s="163"/>
      <c r="N436" s="163"/>
    </row>
    <row r="437" spans="2:14" x14ac:dyDescent="0.25">
      <c r="B437" s="163"/>
      <c r="C437" s="163"/>
      <c r="D437" s="163"/>
      <c r="E437" s="163"/>
      <c r="F437" s="163"/>
      <c r="G437" s="163"/>
      <c r="H437" s="163"/>
      <c r="I437" s="163"/>
      <c r="J437" s="163"/>
      <c r="K437" s="163"/>
      <c r="L437" s="163"/>
      <c r="M437" s="163"/>
      <c r="N437" s="163"/>
    </row>
    <row r="438" spans="2:14" x14ac:dyDescent="0.25">
      <c r="B438" s="163"/>
      <c r="C438" s="163"/>
      <c r="D438" s="163"/>
      <c r="E438" s="163"/>
      <c r="F438" s="163"/>
      <c r="G438" s="163"/>
      <c r="H438" s="163"/>
      <c r="I438" s="163"/>
      <c r="J438" s="163"/>
      <c r="K438" s="163"/>
      <c r="L438" s="163"/>
      <c r="M438" s="163"/>
      <c r="N438" s="163"/>
    </row>
    <row r="439" spans="2:14" x14ac:dyDescent="0.25">
      <c r="B439" s="163"/>
      <c r="C439" s="163"/>
      <c r="D439" s="163"/>
      <c r="E439" s="163"/>
      <c r="F439" s="163"/>
      <c r="G439" s="163"/>
      <c r="H439" s="163"/>
      <c r="I439" s="163"/>
      <c r="J439" s="163"/>
      <c r="K439" s="163"/>
      <c r="L439" s="163"/>
      <c r="M439" s="163"/>
      <c r="N439" s="163"/>
    </row>
    <row r="440" spans="2:14" x14ac:dyDescent="0.25">
      <c r="B440" s="163"/>
      <c r="C440" s="163"/>
      <c r="D440" s="163"/>
      <c r="E440" s="163"/>
      <c r="F440" s="163"/>
      <c r="G440" s="163"/>
      <c r="H440" s="163"/>
      <c r="I440" s="163"/>
      <c r="J440" s="163"/>
      <c r="K440" s="163"/>
      <c r="L440" s="163"/>
      <c r="M440" s="163"/>
      <c r="N440" s="163"/>
    </row>
    <row r="441" spans="2:14" x14ac:dyDescent="0.25">
      <c r="B441" s="163"/>
      <c r="C441" s="163"/>
      <c r="D441" s="163"/>
      <c r="E441" s="163"/>
      <c r="F441" s="163"/>
      <c r="G441" s="163"/>
      <c r="H441" s="163"/>
      <c r="I441" s="163"/>
      <c r="J441" s="163"/>
      <c r="K441" s="163"/>
      <c r="L441" s="163"/>
      <c r="M441" s="163"/>
      <c r="N441" s="163"/>
    </row>
    <row r="442" spans="2:14" x14ac:dyDescent="0.25">
      <c r="B442" s="163"/>
      <c r="C442" s="163"/>
      <c r="D442" s="163"/>
      <c r="E442" s="163"/>
      <c r="F442" s="163"/>
      <c r="G442" s="163"/>
      <c r="H442" s="163"/>
      <c r="I442" s="163"/>
      <c r="J442" s="163"/>
      <c r="K442" s="163"/>
      <c r="L442" s="163"/>
      <c r="M442" s="163"/>
      <c r="N442" s="163"/>
    </row>
    <row r="443" spans="2:14" x14ac:dyDescent="0.25">
      <c r="B443" s="163"/>
      <c r="C443" s="163"/>
      <c r="D443" s="163"/>
      <c r="E443" s="163"/>
      <c r="F443" s="163"/>
      <c r="G443" s="163"/>
      <c r="H443" s="163"/>
      <c r="I443" s="163"/>
      <c r="J443" s="163"/>
      <c r="K443" s="163"/>
      <c r="L443" s="163"/>
      <c r="M443" s="163"/>
      <c r="N443" s="163"/>
    </row>
    <row r="444" spans="2:14" x14ac:dyDescent="0.25">
      <c r="B444" s="163"/>
      <c r="C444" s="163"/>
      <c r="D444" s="163"/>
      <c r="E444" s="163"/>
      <c r="F444" s="163"/>
      <c r="G444" s="163"/>
      <c r="H444" s="163"/>
      <c r="I444" s="163"/>
      <c r="J444" s="163"/>
      <c r="K444" s="163"/>
      <c r="L444" s="163"/>
      <c r="M444" s="163"/>
      <c r="N444" s="163"/>
    </row>
    <row r="445" spans="2:14" x14ac:dyDescent="0.25">
      <c r="B445" s="163"/>
      <c r="C445" s="163"/>
      <c r="D445" s="163"/>
      <c r="E445" s="163"/>
      <c r="F445" s="163"/>
      <c r="G445" s="163"/>
      <c r="H445" s="163"/>
      <c r="I445" s="163"/>
      <c r="J445" s="163"/>
      <c r="K445" s="163"/>
      <c r="L445" s="163"/>
      <c r="M445" s="163"/>
      <c r="N445" s="163"/>
    </row>
    <row r="446" spans="2:14" x14ac:dyDescent="0.25">
      <c r="B446" s="163"/>
      <c r="C446" s="163"/>
      <c r="D446" s="163"/>
      <c r="E446" s="163"/>
      <c r="F446" s="163"/>
      <c r="G446" s="163"/>
      <c r="H446" s="163"/>
      <c r="I446" s="163"/>
      <c r="J446" s="163"/>
      <c r="K446" s="163"/>
      <c r="L446" s="163"/>
      <c r="M446" s="163"/>
      <c r="N446" s="163"/>
    </row>
    <row r="447" spans="2:14" x14ac:dyDescent="0.25">
      <c r="B447" s="163"/>
      <c r="C447" s="163"/>
      <c r="D447" s="163"/>
      <c r="E447" s="163"/>
      <c r="F447" s="163"/>
      <c r="G447" s="163"/>
      <c r="H447" s="163"/>
      <c r="I447" s="163"/>
      <c r="J447" s="163"/>
      <c r="K447" s="163"/>
      <c r="L447" s="163"/>
      <c r="M447" s="163"/>
      <c r="N447" s="163"/>
    </row>
    <row r="448" spans="2:14" x14ac:dyDescent="0.25">
      <c r="B448" s="163"/>
      <c r="C448" s="163"/>
      <c r="D448" s="163"/>
      <c r="E448" s="163"/>
      <c r="F448" s="163"/>
      <c r="G448" s="163"/>
      <c r="H448" s="163"/>
      <c r="I448" s="163"/>
      <c r="J448" s="163"/>
      <c r="K448" s="163"/>
      <c r="L448" s="163"/>
      <c r="M448" s="163"/>
      <c r="N448" s="163"/>
    </row>
    <row r="449" spans="2:14" x14ac:dyDescent="0.25">
      <c r="B449" s="163"/>
      <c r="C449" s="163"/>
      <c r="D449" s="163"/>
      <c r="E449" s="163"/>
      <c r="F449" s="163"/>
      <c r="G449" s="163"/>
      <c r="H449" s="163"/>
      <c r="I449" s="163"/>
      <c r="J449" s="163"/>
      <c r="K449" s="163"/>
      <c r="L449" s="163"/>
      <c r="M449" s="163"/>
      <c r="N449" s="163"/>
    </row>
    <row r="450" spans="2:14" x14ac:dyDescent="0.25">
      <c r="B450" s="163"/>
      <c r="C450" s="163"/>
      <c r="D450" s="163"/>
      <c r="E450" s="163"/>
      <c r="F450" s="163"/>
      <c r="G450" s="163"/>
      <c r="H450" s="163"/>
      <c r="I450" s="163"/>
      <c r="J450" s="163"/>
      <c r="K450" s="163"/>
      <c r="L450" s="163"/>
      <c r="M450" s="163"/>
      <c r="N450" s="163"/>
    </row>
    <row r="451" spans="2:14" x14ac:dyDescent="0.25">
      <c r="B451" s="163"/>
      <c r="C451" s="163"/>
      <c r="D451" s="163"/>
      <c r="E451" s="163"/>
      <c r="F451" s="163"/>
      <c r="G451" s="163"/>
      <c r="H451" s="163"/>
      <c r="I451" s="163"/>
      <c r="J451" s="163"/>
      <c r="K451" s="163"/>
      <c r="L451" s="163"/>
      <c r="M451" s="163"/>
      <c r="N451" s="163"/>
    </row>
    <row r="452" spans="2:14" x14ac:dyDescent="0.25">
      <c r="B452" s="163"/>
      <c r="C452" s="163"/>
      <c r="D452" s="163"/>
      <c r="E452" s="163"/>
      <c r="F452" s="163"/>
      <c r="G452" s="163"/>
      <c r="H452" s="163"/>
      <c r="I452" s="163"/>
      <c r="J452" s="163"/>
      <c r="K452" s="163"/>
      <c r="L452" s="163"/>
      <c r="M452" s="163"/>
      <c r="N452" s="163"/>
    </row>
    <row r="453" spans="2:14" x14ac:dyDescent="0.25">
      <c r="B453" s="163"/>
      <c r="C453" s="163"/>
      <c r="D453" s="163"/>
      <c r="E453" s="163"/>
      <c r="F453" s="163"/>
      <c r="G453" s="163"/>
      <c r="H453" s="163"/>
      <c r="I453" s="163"/>
      <c r="J453" s="163"/>
      <c r="K453" s="163"/>
      <c r="L453" s="163"/>
      <c r="M453" s="163"/>
      <c r="N453" s="163"/>
    </row>
    <row r="454" spans="2:14" x14ac:dyDescent="0.25">
      <c r="B454" s="163"/>
      <c r="C454" s="163"/>
      <c r="D454" s="163"/>
      <c r="E454" s="163"/>
      <c r="F454" s="163"/>
      <c r="G454" s="163"/>
      <c r="H454" s="163"/>
      <c r="I454" s="163"/>
      <c r="J454" s="163"/>
      <c r="K454" s="163"/>
      <c r="L454" s="163"/>
      <c r="M454" s="163"/>
      <c r="N454" s="163"/>
    </row>
    <row r="455" spans="2:14" x14ac:dyDescent="0.25">
      <c r="B455" s="163"/>
      <c r="C455" s="163"/>
      <c r="D455" s="163"/>
      <c r="E455" s="163"/>
      <c r="F455" s="163"/>
      <c r="G455" s="163"/>
      <c r="H455" s="163"/>
      <c r="I455" s="163"/>
      <c r="J455" s="163"/>
      <c r="K455" s="163"/>
      <c r="L455" s="163"/>
      <c r="M455" s="163"/>
      <c r="N455" s="163"/>
    </row>
    <row r="456" spans="2:14" x14ac:dyDescent="0.25">
      <c r="B456" s="163"/>
      <c r="C456" s="163"/>
      <c r="D456" s="163"/>
      <c r="E456" s="163"/>
      <c r="F456" s="163"/>
      <c r="G456" s="163"/>
      <c r="H456" s="163"/>
      <c r="I456" s="163"/>
      <c r="J456" s="163"/>
      <c r="K456" s="163"/>
      <c r="L456" s="163"/>
      <c r="M456" s="163"/>
      <c r="N456" s="163"/>
    </row>
    <row r="457" spans="2:14" x14ac:dyDescent="0.25">
      <c r="B457" s="163"/>
      <c r="C457" s="163"/>
      <c r="D457" s="163"/>
      <c r="E457" s="163"/>
      <c r="F457" s="163"/>
      <c r="G457" s="163"/>
      <c r="H457" s="163"/>
      <c r="I457" s="163"/>
      <c r="J457" s="163"/>
      <c r="K457" s="163"/>
      <c r="L457" s="163"/>
      <c r="M457" s="163"/>
      <c r="N457" s="163"/>
    </row>
    <row r="458" spans="2:14" x14ac:dyDescent="0.25">
      <c r="B458" s="163"/>
      <c r="C458" s="163"/>
      <c r="D458" s="163"/>
      <c r="E458" s="163"/>
      <c r="F458" s="163"/>
      <c r="G458" s="163"/>
      <c r="H458" s="163"/>
      <c r="I458" s="163"/>
      <c r="J458" s="163"/>
      <c r="K458" s="163"/>
      <c r="L458" s="163"/>
      <c r="M458" s="163"/>
      <c r="N458" s="163"/>
    </row>
    <row r="459" spans="2:14" x14ac:dyDescent="0.25">
      <c r="B459" s="163"/>
      <c r="C459" s="163"/>
      <c r="D459" s="163"/>
      <c r="E459" s="163"/>
      <c r="F459" s="163"/>
      <c r="G459" s="163"/>
      <c r="H459" s="163"/>
      <c r="I459" s="163"/>
      <c r="J459" s="163"/>
      <c r="K459" s="163"/>
      <c r="L459" s="163"/>
      <c r="M459" s="163"/>
      <c r="N459" s="163"/>
    </row>
    <row r="460" spans="2:14" x14ac:dyDescent="0.25">
      <c r="B460" s="163"/>
      <c r="C460" s="163"/>
      <c r="D460" s="163"/>
      <c r="E460" s="163"/>
      <c r="F460" s="163"/>
      <c r="G460" s="163"/>
      <c r="H460" s="163"/>
      <c r="I460" s="163"/>
      <c r="J460" s="163"/>
      <c r="K460" s="163"/>
      <c r="L460" s="163"/>
      <c r="M460" s="163"/>
      <c r="N460" s="163"/>
    </row>
    <row r="461" spans="2:14" x14ac:dyDescent="0.25">
      <c r="B461" s="163"/>
      <c r="C461" s="163"/>
      <c r="D461" s="163"/>
      <c r="E461" s="163"/>
      <c r="F461" s="163"/>
      <c r="G461" s="163"/>
      <c r="H461" s="163"/>
      <c r="I461" s="163"/>
      <c r="J461" s="163"/>
      <c r="K461" s="163"/>
      <c r="L461" s="163"/>
      <c r="M461" s="163"/>
      <c r="N461" s="163"/>
    </row>
    <row r="462" spans="2:14" x14ac:dyDescent="0.25">
      <c r="B462" s="163"/>
      <c r="C462" s="163"/>
      <c r="D462" s="163"/>
      <c r="E462" s="163"/>
      <c r="F462" s="163"/>
      <c r="G462" s="163"/>
      <c r="H462" s="163"/>
      <c r="I462" s="163"/>
      <c r="J462" s="163"/>
      <c r="K462" s="163"/>
      <c r="L462" s="163"/>
      <c r="M462" s="163"/>
      <c r="N462" s="163"/>
    </row>
    <row r="463" spans="2:14" x14ac:dyDescent="0.25">
      <c r="B463" s="163"/>
      <c r="C463" s="163"/>
      <c r="D463" s="163"/>
      <c r="E463" s="163"/>
      <c r="F463" s="163"/>
      <c r="G463" s="163"/>
      <c r="H463" s="163"/>
      <c r="I463" s="163"/>
      <c r="J463" s="163"/>
      <c r="K463" s="163"/>
      <c r="L463" s="163"/>
      <c r="M463" s="163"/>
      <c r="N463" s="163"/>
    </row>
    <row r="464" spans="2:14" x14ac:dyDescent="0.25">
      <c r="B464" s="163"/>
      <c r="C464" s="163"/>
      <c r="D464" s="163"/>
      <c r="E464" s="163"/>
      <c r="F464" s="163"/>
      <c r="G464" s="163"/>
      <c r="H464" s="163"/>
      <c r="I464" s="163"/>
      <c r="J464" s="163"/>
      <c r="K464" s="163"/>
      <c r="L464" s="163"/>
      <c r="M464" s="163"/>
      <c r="N464" s="163"/>
    </row>
    <row r="465" spans="2:14" x14ac:dyDescent="0.25">
      <c r="B465" s="163"/>
      <c r="C465" s="163"/>
      <c r="D465" s="163"/>
      <c r="E465" s="163"/>
      <c r="F465" s="163"/>
      <c r="G465" s="163"/>
      <c r="H465" s="163"/>
      <c r="I465" s="163"/>
      <c r="J465" s="163"/>
      <c r="K465" s="163"/>
      <c r="L465" s="163"/>
      <c r="M465" s="163"/>
      <c r="N465" s="163"/>
    </row>
    <row r="466" spans="2:14" x14ac:dyDescent="0.25">
      <c r="B466" s="163"/>
      <c r="C466" s="163"/>
      <c r="D466" s="163"/>
      <c r="E466" s="163"/>
      <c r="F466" s="163"/>
      <c r="G466" s="163"/>
      <c r="H466" s="163"/>
      <c r="I466" s="163"/>
      <c r="J466" s="163"/>
      <c r="K466" s="163"/>
      <c r="L466" s="163"/>
      <c r="M466" s="163"/>
      <c r="N466" s="163"/>
    </row>
    <row r="467" spans="2:14" x14ac:dyDescent="0.25">
      <c r="B467" s="163"/>
      <c r="C467" s="163"/>
      <c r="D467" s="163"/>
      <c r="E467" s="163"/>
      <c r="F467" s="163"/>
      <c r="G467" s="163"/>
      <c r="H467" s="163"/>
      <c r="I467" s="163"/>
      <c r="J467" s="163"/>
      <c r="K467" s="163"/>
      <c r="L467" s="163"/>
      <c r="M467" s="163"/>
      <c r="N467" s="163"/>
    </row>
    <row r="468" spans="2:14" x14ac:dyDescent="0.25">
      <c r="B468" s="163"/>
      <c r="C468" s="163"/>
      <c r="D468" s="163"/>
      <c r="E468" s="163"/>
      <c r="F468" s="163"/>
      <c r="G468" s="163"/>
      <c r="H468" s="163"/>
      <c r="I468" s="163"/>
      <c r="J468" s="163"/>
      <c r="K468" s="163"/>
      <c r="L468" s="163"/>
      <c r="M468" s="163"/>
      <c r="N468" s="163"/>
    </row>
    <row r="469" spans="2:14" x14ac:dyDescent="0.25">
      <c r="B469" s="163"/>
      <c r="C469" s="163"/>
      <c r="D469" s="163"/>
      <c r="E469" s="163"/>
      <c r="F469" s="163"/>
      <c r="G469" s="163"/>
      <c r="H469" s="163"/>
      <c r="I469" s="163"/>
      <c r="J469" s="163"/>
      <c r="K469" s="163"/>
      <c r="L469" s="163"/>
      <c r="M469" s="163"/>
      <c r="N469" s="163"/>
    </row>
    <row r="470" spans="2:14" x14ac:dyDescent="0.25">
      <c r="B470" s="163"/>
      <c r="C470" s="163"/>
      <c r="D470" s="163"/>
      <c r="E470" s="163"/>
      <c r="F470" s="163"/>
      <c r="G470" s="163"/>
      <c r="H470" s="163"/>
      <c r="I470" s="163"/>
      <c r="J470" s="163"/>
      <c r="K470" s="163"/>
      <c r="L470" s="163"/>
      <c r="M470" s="163"/>
      <c r="N470" s="163"/>
    </row>
    <row r="471" spans="2:14" x14ac:dyDescent="0.25">
      <c r="B471" s="163"/>
      <c r="C471" s="163"/>
      <c r="D471" s="163"/>
      <c r="E471" s="163"/>
      <c r="F471" s="163"/>
      <c r="G471" s="163"/>
      <c r="H471" s="163"/>
      <c r="I471" s="163"/>
      <c r="J471" s="163"/>
      <c r="K471" s="163"/>
      <c r="L471" s="163"/>
      <c r="M471" s="163"/>
      <c r="N471" s="163"/>
    </row>
    <row r="472" spans="2:14" x14ac:dyDescent="0.25">
      <c r="B472" s="163"/>
      <c r="C472" s="163"/>
      <c r="D472" s="163"/>
      <c r="E472" s="163"/>
      <c r="F472" s="163"/>
      <c r="G472" s="163"/>
      <c r="H472" s="163"/>
      <c r="I472" s="163"/>
      <c r="J472" s="163"/>
      <c r="K472" s="163"/>
      <c r="L472" s="163"/>
      <c r="M472" s="163"/>
      <c r="N472" s="163"/>
    </row>
    <row r="473" spans="2:14" x14ac:dyDescent="0.25">
      <c r="B473" s="163"/>
      <c r="C473" s="163"/>
      <c r="D473" s="163"/>
      <c r="E473" s="163"/>
      <c r="F473" s="163"/>
      <c r="G473" s="163"/>
      <c r="H473" s="163"/>
      <c r="I473" s="163"/>
      <c r="J473" s="163"/>
      <c r="K473" s="163"/>
      <c r="L473" s="163"/>
      <c r="M473" s="163"/>
      <c r="N473" s="163"/>
    </row>
    <row r="474" spans="2:14" x14ac:dyDescent="0.25">
      <c r="B474" s="163"/>
      <c r="C474" s="163"/>
      <c r="D474" s="163"/>
      <c r="E474" s="163"/>
      <c r="F474" s="163"/>
      <c r="G474" s="163"/>
      <c r="H474" s="163"/>
      <c r="I474" s="163"/>
      <c r="J474" s="163"/>
      <c r="K474" s="163"/>
      <c r="L474" s="163"/>
      <c r="M474" s="163"/>
      <c r="N474" s="163"/>
    </row>
    <row r="475" spans="2:14" x14ac:dyDescent="0.25">
      <c r="B475" s="163"/>
      <c r="C475" s="163"/>
      <c r="D475" s="163"/>
      <c r="E475" s="163"/>
      <c r="F475" s="163"/>
      <c r="G475" s="163"/>
      <c r="H475" s="163"/>
      <c r="I475" s="163"/>
      <c r="J475" s="163"/>
      <c r="K475" s="163"/>
      <c r="L475" s="163"/>
      <c r="M475" s="163"/>
      <c r="N475" s="163"/>
    </row>
    <row r="476" spans="2:14" x14ac:dyDescent="0.25">
      <c r="B476" s="163"/>
      <c r="C476" s="163"/>
      <c r="D476" s="163"/>
      <c r="E476" s="163"/>
      <c r="F476" s="163"/>
      <c r="G476" s="163"/>
      <c r="H476" s="163"/>
      <c r="I476" s="163"/>
      <c r="J476" s="163"/>
      <c r="K476" s="163"/>
      <c r="L476" s="163"/>
      <c r="M476" s="163"/>
      <c r="N476" s="163"/>
    </row>
    <row r="477" spans="2:14" x14ac:dyDescent="0.25">
      <c r="B477" s="163"/>
      <c r="C477" s="163"/>
      <c r="D477" s="163"/>
      <c r="E477" s="163"/>
      <c r="F477" s="163"/>
      <c r="G477" s="163"/>
      <c r="H477" s="163"/>
      <c r="I477" s="163"/>
      <c r="J477" s="163"/>
      <c r="K477" s="163"/>
      <c r="L477" s="163"/>
      <c r="M477" s="163"/>
      <c r="N477" s="163"/>
    </row>
    <row r="478" spans="2:14" x14ac:dyDescent="0.25">
      <c r="B478" s="163"/>
      <c r="C478" s="163"/>
      <c r="D478" s="163"/>
      <c r="E478" s="163"/>
      <c r="F478" s="163"/>
      <c r="G478" s="163"/>
      <c r="H478" s="163"/>
      <c r="I478" s="163"/>
      <c r="J478" s="163"/>
      <c r="K478" s="163"/>
      <c r="L478" s="163"/>
      <c r="M478" s="163"/>
      <c r="N478" s="163"/>
    </row>
    <row r="479" spans="2:14" x14ac:dyDescent="0.25">
      <c r="B479" s="163"/>
      <c r="C479" s="163"/>
      <c r="D479" s="163"/>
      <c r="E479" s="163"/>
      <c r="F479" s="163"/>
      <c r="G479" s="163"/>
      <c r="H479" s="163"/>
      <c r="I479" s="163"/>
      <c r="J479" s="163"/>
      <c r="K479" s="163"/>
      <c r="L479" s="163"/>
      <c r="M479" s="163"/>
      <c r="N479" s="163"/>
    </row>
    <row r="480" spans="2:14" x14ac:dyDescent="0.25">
      <c r="B480" s="163"/>
      <c r="C480" s="163"/>
      <c r="D480" s="163"/>
      <c r="E480" s="163"/>
      <c r="F480" s="163"/>
      <c r="G480" s="163"/>
      <c r="H480" s="163"/>
      <c r="I480" s="163"/>
      <c r="J480" s="163"/>
      <c r="K480" s="163"/>
      <c r="L480" s="163"/>
      <c r="M480" s="163"/>
      <c r="N480" s="163"/>
    </row>
    <row r="481" spans="2:14" x14ac:dyDescent="0.25">
      <c r="B481" s="163"/>
      <c r="C481" s="163"/>
      <c r="D481" s="163"/>
      <c r="E481" s="163"/>
      <c r="F481" s="163"/>
      <c r="G481" s="163"/>
      <c r="H481" s="163"/>
      <c r="I481" s="163"/>
      <c r="J481" s="163"/>
      <c r="K481" s="163"/>
      <c r="L481" s="163"/>
      <c r="M481" s="163"/>
      <c r="N481" s="163"/>
    </row>
    <row r="482" spans="2:14" x14ac:dyDescent="0.25">
      <c r="B482" s="163"/>
      <c r="C482" s="163"/>
      <c r="D482" s="163"/>
      <c r="E482" s="163"/>
      <c r="F482" s="163"/>
      <c r="G482" s="163"/>
      <c r="H482" s="163"/>
      <c r="I482" s="163"/>
      <c r="J482" s="163"/>
      <c r="K482" s="163"/>
      <c r="L482" s="163"/>
      <c r="M482" s="163"/>
      <c r="N482" s="163"/>
    </row>
    <row r="483" spans="2:14" x14ac:dyDescent="0.25">
      <c r="B483" s="163"/>
      <c r="C483" s="163"/>
      <c r="D483" s="163"/>
      <c r="E483" s="163"/>
      <c r="F483" s="163"/>
      <c r="G483" s="163"/>
      <c r="H483" s="163"/>
      <c r="I483" s="163"/>
      <c r="J483" s="163"/>
      <c r="K483" s="163"/>
      <c r="L483" s="163"/>
      <c r="M483" s="163"/>
      <c r="N483" s="163"/>
    </row>
    <row r="484" spans="2:14" x14ac:dyDescent="0.25">
      <c r="B484" s="163"/>
      <c r="C484" s="163"/>
      <c r="D484" s="163"/>
      <c r="E484" s="163"/>
      <c r="F484" s="163"/>
      <c r="G484" s="163"/>
      <c r="H484" s="163"/>
      <c r="I484" s="163"/>
      <c r="J484" s="163"/>
      <c r="K484" s="163"/>
      <c r="L484" s="163"/>
      <c r="M484" s="163"/>
      <c r="N484" s="163"/>
    </row>
    <row r="485" spans="2:14" x14ac:dyDescent="0.25">
      <c r="B485" s="163"/>
      <c r="C485" s="163"/>
      <c r="D485" s="163"/>
      <c r="E485" s="163"/>
      <c r="F485" s="163"/>
      <c r="G485" s="163"/>
      <c r="H485" s="163"/>
      <c r="I485" s="163"/>
      <c r="J485" s="163"/>
      <c r="K485" s="163"/>
      <c r="L485" s="163"/>
      <c r="M485" s="163"/>
      <c r="N485" s="163"/>
    </row>
    <row r="486" spans="2:14" x14ac:dyDescent="0.25">
      <c r="B486" s="163"/>
      <c r="C486" s="163"/>
      <c r="D486" s="163"/>
      <c r="E486" s="163"/>
      <c r="F486" s="163"/>
      <c r="G486" s="163"/>
      <c r="H486" s="163"/>
      <c r="I486" s="163"/>
      <c r="J486" s="163"/>
      <c r="K486" s="163"/>
      <c r="L486" s="163"/>
      <c r="M486" s="163"/>
      <c r="N486" s="163"/>
    </row>
    <row r="487" spans="2:14" x14ac:dyDescent="0.25">
      <c r="B487" s="163"/>
      <c r="C487" s="163"/>
      <c r="D487" s="163"/>
      <c r="E487" s="163"/>
      <c r="F487" s="163"/>
      <c r="G487" s="163"/>
      <c r="H487" s="163"/>
      <c r="I487" s="163"/>
      <c r="J487" s="163"/>
      <c r="K487" s="163"/>
      <c r="L487" s="163"/>
      <c r="M487" s="163"/>
      <c r="N487" s="163"/>
    </row>
    <row r="488" spans="2:14" x14ac:dyDescent="0.25">
      <c r="B488" s="163"/>
      <c r="C488" s="163"/>
      <c r="D488" s="163"/>
      <c r="E488" s="163"/>
      <c r="F488" s="163"/>
      <c r="G488" s="163"/>
      <c r="H488" s="163"/>
      <c r="I488" s="163"/>
      <c r="J488" s="163"/>
      <c r="K488" s="163"/>
      <c r="L488" s="163"/>
      <c r="M488" s="163"/>
      <c r="N488" s="163"/>
    </row>
    <row r="489" spans="2:14" x14ac:dyDescent="0.25">
      <c r="B489" s="163"/>
      <c r="C489" s="163"/>
      <c r="D489" s="163"/>
      <c r="E489" s="163"/>
      <c r="F489" s="163"/>
      <c r="G489" s="163"/>
      <c r="H489" s="163"/>
      <c r="I489" s="163"/>
      <c r="J489" s="163"/>
      <c r="K489" s="163"/>
      <c r="L489" s="163"/>
      <c r="M489" s="163"/>
      <c r="N489" s="163"/>
    </row>
    <row r="490" spans="2:14" x14ac:dyDescent="0.25">
      <c r="B490" s="163"/>
      <c r="C490" s="163"/>
      <c r="D490" s="163"/>
      <c r="E490" s="163"/>
      <c r="F490" s="163"/>
      <c r="G490" s="163"/>
      <c r="H490" s="163"/>
      <c r="I490" s="163"/>
      <c r="J490" s="163"/>
      <c r="K490" s="163"/>
      <c r="L490" s="163"/>
      <c r="M490" s="163"/>
      <c r="N490" s="163"/>
    </row>
    <row r="491" spans="2:14" x14ac:dyDescent="0.25">
      <c r="B491" s="163"/>
      <c r="C491" s="163"/>
      <c r="D491" s="163"/>
      <c r="E491" s="163"/>
      <c r="F491" s="163"/>
      <c r="G491" s="163"/>
      <c r="H491" s="163"/>
      <c r="I491" s="163"/>
      <c r="J491" s="163"/>
      <c r="K491" s="163"/>
      <c r="L491" s="163"/>
      <c r="M491" s="163"/>
      <c r="N491" s="163"/>
    </row>
    <row r="492" spans="2:14" x14ac:dyDescent="0.25">
      <c r="B492" s="163"/>
      <c r="C492" s="163"/>
      <c r="D492" s="163"/>
      <c r="E492" s="163"/>
      <c r="F492" s="163"/>
      <c r="G492" s="163"/>
      <c r="H492" s="163"/>
      <c r="I492" s="163"/>
      <c r="J492" s="163"/>
      <c r="K492" s="163"/>
      <c r="L492" s="163"/>
      <c r="M492" s="163"/>
      <c r="N492" s="163"/>
    </row>
    <row r="493" spans="2:14" x14ac:dyDescent="0.25">
      <c r="B493" s="163"/>
      <c r="C493" s="163"/>
      <c r="D493" s="163"/>
      <c r="E493" s="163"/>
      <c r="F493" s="163"/>
      <c r="G493" s="163"/>
      <c r="H493" s="163"/>
      <c r="I493" s="163"/>
      <c r="J493" s="163"/>
      <c r="K493" s="163"/>
      <c r="L493" s="163"/>
      <c r="M493" s="163"/>
      <c r="N493" s="163"/>
    </row>
    <row r="494" spans="2:14" x14ac:dyDescent="0.25">
      <c r="B494" s="163"/>
      <c r="C494" s="163"/>
      <c r="D494" s="163"/>
      <c r="E494" s="163"/>
      <c r="F494" s="163"/>
      <c r="G494" s="163"/>
      <c r="H494" s="163"/>
      <c r="I494" s="163"/>
      <c r="J494" s="163"/>
      <c r="K494" s="163"/>
      <c r="L494" s="163"/>
      <c r="M494" s="163"/>
      <c r="N494" s="163"/>
    </row>
    <row r="495" spans="2:14" x14ac:dyDescent="0.25">
      <c r="B495" s="163"/>
      <c r="C495" s="163"/>
      <c r="D495" s="163"/>
      <c r="E495" s="163"/>
      <c r="F495" s="163"/>
      <c r="G495" s="163"/>
      <c r="H495" s="163"/>
      <c r="I495" s="163"/>
      <c r="J495" s="163"/>
      <c r="K495" s="163"/>
      <c r="L495" s="163"/>
      <c r="M495" s="163"/>
      <c r="N495" s="163"/>
    </row>
    <row r="496" spans="2:14" x14ac:dyDescent="0.25">
      <c r="B496" s="163"/>
      <c r="C496" s="163"/>
      <c r="D496" s="163"/>
      <c r="E496" s="163"/>
      <c r="F496" s="163"/>
      <c r="G496" s="163"/>
      <c r="H496" s="163"/>
      <c r="I496" s="163"/>
      <c r="J496" s="163"/>
      <c r="K496" s="163"/>
      <c r="L496" s="163"/>
      <c r="M496" s="163"/>
      <c r="N496" s="163"/>
    </row>
    <row r="497" spans="2:14" x14ac:dyDescent="0.25">
      <c r="B497" s="163"/>
      <c r="C497" s="163"/>
      <c r="D497" s="163"/>
      <c r="E497" s="163"/>
      <c r="F497" s="163"/>
      <c r="G497" s="163"/>
      <c r="H497" s="163"/>
      <c r="I497" s="163"/>
      <c r="J497" s="163"/>
      <c r="K497" s="163"/>
      <c r="L497" s="163"/>
      <c r="M497" s="163"/>
      <c r="N497" s="163"/>
    </row>
    <row r="498" spans="2:14" x14ac:dyDescent="0.25">
      <c r="B498" s="163"/>
      <c r="C498" s="163"/>
      <c r="D498" s="163"/>
      <c r="E498" s="163"/>
      <c r="F498" s="163"/>
      <c r="G498" s="163"/>
      <c r="H498" s="163"/>
      <c r="I498" s="163"/>
      <c r="J498" s="163"/>
      <c r="K498" s="163"/>
      <c r="L498" s="163"/>
      <c r="M498" s="163"/>
      <c r="N498" s="163"/>
    </row>
    <row r="499" spans="2:14" x14ac:dyDescent="0.25">
      <c r="B499" s="163"/>
      <c r="C499" s="163"/>
      <c r="D499" s="163"/>
      <c r="E499" s="163"/>
      <c r="F499" s="163"/>
      <c r="G499" s="163"/>
      <c r="H499" s="163"/>
      <c r="I499" s="163"/>
      <c r="J499" s="163"/>
      <c r="K499" s="163"/>
      <c r="L499" s="163"/>
      <c r="M499" s="163"/>
      <c r="N499" s="163"/>
    </row>
    <row r="500" spans="2:14" x14ac:dyDescent="0.25">
      <c r="B500" s="163"/>
      <c r="C500" s="163"/>
      <c r="D500" s="163"/>
      <c r="E500" s="163"/>
      <c r="F500" s="163"/>
      <c r="G500" s="163"/>
      <c r="H500" s="163"/>
      <c r="I500" s="163"/>
      <c r="J500" s="163"/>
      <c r="K500" s="163"/>
      <c r="L500" s="163"/>
      <c r="M500" s="163"/>
      <c r="N500" s="163"/>
    </row>
    <row r="501" spans="2:14" x14ac:dyDescent="0.25">
      <c r="B501" s="163"/>
      <c r="C501" s="163"/>
      <c r="D501" s="163"/>
      <c r="E501" s="163"/>
      <c r="F501" s="163"/>
      <c r="G501" s="163"/>
      <c r="H501" s="163"/>
      <c r="I501" s="163"/>
      <c r="J501" s="163"/>
      <c r="K501" s="163"/>
      <c r="L501" s="163"/>
      <c r="M501" s="163"/>
      <c r="N501" s="163"/>
    </row>
    <row r="502" spans="2:14" x14ac:dyDescent="0.25">
      <c r="B502" s="163"/>
      <c r="C502" s="163"/>
      <c r="D502" s="163"/>
      <c r="E502" s="163"/>
      <c r="F502" s="163"/>
      <c r="G502" s="163"/>
      <c r="H502" s="163"/>
      <c r="I502" s="163"/>
      <c r="J502" s="163"/>
      <c r="K502" s="163"/>
      <c r="L502" s="163"/>
      <c r="M502" s="163"/>
      <c r="N502" s="163"/>
    </row>
    <row r="503" spans="2:14" x14ac:dyDescent="0.25">
      <c r="B503" s="163"/>
      <c r="C503" s="163"/>
      <c r="D503" s="163"/>
      <c r="E503" s="163"/>
      <c r="F503" s="163"/>
      <c r="G503" s="163"/>
      <c r="H503" s="163"/>
      <c r="I503" s="163"/>
      <c r="J503" s="163"/>
      <c r="K503" s="163"/>
      <c r="L503" s="163"/>
      <c r="M503" s="163"/>
      <c r="N503" s="163"/>
    </row>
    <row r="504" spans="2:14" x14ac:dyDescent="0.25">
      <c r="B504" s="163"/>
      <c r="C504" s="163"/>
      <c r="D504" s="163"/>
      <c r="E504" s="163"/>
      <c r="F504" s="163"/>
      <c r="G504" s="163"/>
      <c r="H504" s="163"/>
      <c r="I504" s="163"/>
      <c r="J504" s="163"/>
      <c r="K504" s="163"/>
      <c r="L504" s="163"/>
      <c r="M504" s="163"/>
      <c r="N504" s="163"/>
    </row>
    <row r="505" spans="2:14" x14ac:dyDescent="0.25">
      <c r="B505" s="163"/>
      <c r="C505" s="163"/>
      <c r="D505" s="163"/>
      <c r="E505" s="163"/>
      <c r="F505" s="163"/>
      <c r="G505" s="163"/>
      <c r="H505" s="163"/>
      <c r="I505" s="163"/>
      <c r="J505" s="163"/>
      <c r="K505" s="163"/>
      <c r="L505" s="163"/>
      <c r="M505" s="163"/>
      <c r="N505" s="163"/>
    </row>
    <row r="506" spans="2:14" x14ac:dyDescent="0.25">
      <c r="B506" s="163"/>
      <c r="C506" s="163"/>
      <c r="D506" s="163"/>
      <c r="E506" s="163"/>
      <c r="F506" s="163"/>
      <c r="G506" s="163"/>
      <c r="H506" s="163"/>
      <c r="I506" s="163"/>
      <c r="J506" s="163"/>
      <c r="K506" s="163"/>
      <c r="L506" s="163"/>
      <c r="M506" s="163"/>
      <c r="N506" s="163"/>
    </row>
    <row r="507" spans="2:14" x14ac:dyDescent="0.25">
      <c r="B507" s="163"/>
      <c r="C507" s="163"/>
      <c r="D507" s="163"/>
      <c r="E507" s="163"/>
      <c r="F507" s="163"/>
      <c r="G507" s="163"/>
      <c r="H507" s="163"/>
      <c r="I507" s="163"/>
      <c r="J507" s="163"/>
      <c r="K507" s="163"/>
      <c r="L507" s="163"/>
      <c r="M507" s="163"/>
      <c r="N507" s="163"/>
    </row>
    <row r="508" spans="2:14" x14ac:dyDescent="0.25">
      <c r="B508" s="163"/>
      <c r="C508" s="163"/>
      <c r="D508" s="163"/>
      <c r="E508" s="163"/>
      <c r="F508" s="163"/>
      <c r="G508" s="163"/>
      <c r="H508" s="163"/>
      <c r="I508" s="163"/>
      <c r="J508" s="163"/>
      <c r="K508" s="163"/>
      <c r="L508" s="163"/>
      <c r="M508" s="163"/>
      <c r="N508" s="163"/>
    </row>
    <row r="509" spans="2:14" x14ac:dyDescent="0.25">
      <c r="B509" s="163"/>
      <c r="C509" s="163"/>
      <c r="D509" s="163"/>
      <c r="E509" s="163"/>
      <c r="F509" s="163"/>
      <c r="G509" s="163"/>
      <c r="H509" s="163"/>
      <c r="I509" s="163"/>
      <c r="J509" s="163"/>
      <c r="K509" s="163"/>
      <c r="L509" s="163"/>
      <c r="M509" s="163"/>
      <c r="N509" s="163"/>
    </row>
    <row r="510" spans="2:14" x14ac:dyDescent="0.25">
      <c r="B510" s="163"/>
      <c r="C510" s="163"/>
      <c r="D510" s="163"/>
      <c r="E510" s="163"/>
      <c r="F510" s="163"/>
      <c r="G510" s="163"/>
      <c r="H510" s="163"/>
      <c r="I510" s="163"/>
      <c r="J510" s="163"/>
      <c r="K510" s="163"/>
      <c r="L510" s="163"/>
      <c r="M510" s="163"/>
      <c r="N510" s="163"/>
    </row>
    <row r="511" spans="2:14" x14ac:dyDescent="0.25">
      <c r="B511" s="163"/>
      <c r="C511" s="163"/>
      <c r="D511" s="163"/>
      <c r="E511" s="163"/>
      <c r="F511" s="163"/>
      <c r="G511" s="163"/>
      <c r="H511" s="163"/>
      <c r="I511" s="163"/>
      <c r="J511" s="163"/>
      <c r="K511" s="163"/>
      <c r="L511" s="163"/>
      <c r="M511" s="163"/>
      <c r="N511" s="163"/>
    </row>
    <row r="512" spans="2:14" x14ac:dyDescent="0.25">
      <c r="B512" s="163"/>
      <c r="C512" s="163"/>
      <c r="D512" s="163"/>
      <c r="E512" s="163"/>
      <c r="F512" s="163"/>
      <c r="G512" s="163"/>
      <c r="H512" s="163"/>
      <c r="I512" s="163"/>
      <c r="J512" s="163"/>
      <c r="K512" s="163"/>
      <c r="L512" s="163"/>
      <c r="M512" s="163"/>
      <c r="N512" s="163"/>
    </row>
    <row r="513" spans="2:14" x14ac:dyDescent="0.25">
      <c r="B513" s="163"/>
      <c r="C513" s="163"/>
      <c r="D513" s="163"/>
      <c r="E513" s="163"/>
      <c r="F513" s="163"/>
      <c r="G513" s="163"/>
      <c r="H513" s="163"/>
      <c r="I513" s="163"/>
      <c r="J513" s="163"/>
      <c r="K513" s="163"/>
      <c r="L513" s="163"/>
      <c r="M513" s="163"/>
      <c r="N513" s="163"/>
    </row>
    <row r="514" spans="2:14" x14ac:dyDescent="0.25">
      <c r="B514" s="163"/>
      <c r="C514" s="163"/>
      <c r="D514" s="163"/>
      <c r="E514" s="163"/>
      <c r="F514" s="163"/>
      <c r="G514" s="163"/>
      <c r="H514" s="163"/>
      <c r="I514" s="163"/>
      <c r="J514" s="163"/>
      <c r="K514" s="163"/>
      <c r="L514" s="163"/>
      <c r="M514" s="163"/>
      <c r="N514" s="163"/>
    </row>
    <row r="515" spans="2:14" x14ac:dyDescent="0.25">
      <c r="B515" s="163"/>
      <c r="C515" s="163"/>
      <c r="D515" s="163"/>
      <c r="E515" s="163"/>
      <c r="F515" s="163"/>
      <c r="G515" s="163"/>
      <c r="H515" s="163"/>
      <c r="I515" s="163"/>
      <c r="J515" s="163"/>
      <c r="K515" s="163"/>
      <c r="L515" s="163"/>
      <c r="M515" s="163"/>
      <c r="N515" s="163"/>
    </row>
    <row r="516" spans="2:14" x14ac:dyDescent="0.25">
      <c r="B516" s="163"/>
      <c r="C516" s="163"/>
      <c r="D516" s="163"/>
      <c r="E516" s="163"/>
      <c r="F516" s="163"/>
      <c r="G516" s="163"/>
      <c r="H516" s="163"/>
      <c r="I516" s="163"/>
      <c r="J516" s="163"/>
      <c r="K516" s="163"/>
      <c r="L516" s="163"/>
      <c r="M516" s="163"/>
      <c r="N516" s="163"/>
    </row>
    <row r="517" spans="2:14" x14ac:dyDescent="0.25">
      <c r="B517" s="163"/>
      <c r="C517" s="163"/>
      <c r="D517" s="163"/>
      <c r="E517" s="163"/>
      <c r="F517" s="163"/>
      <c r="G517" s="163"/>
      <c r="H517" s="163"/>
      <c r="I517" s="163"/>
      <c r="J517" s="163"/>
      <c r="K517" s="163"/>
      <c r="L517" s="163"/>
      <c r="M517" s="163"/>
      <c r="N517" s="163"/>
    </row>
    <row r="518" spans="2:14" x14ac:dyDescent="0.25">
      <c r="B518" s="163"/>
      <c r="C518" s="163"/>
      <c r="D518" s="163"/>
      <c r="E518" s="163"/>
      <c r="F518" s="163"/>
      <c r="G518" s="163"/>
      <c r="H518" s="163"/>
      <c r="I518" s="163"/>
      <c r="J518" s="163"/>
      <c r="K518" s="163"/>
      <c r="L518" s="163"/>
      <c r="M518" s="163"/>
      <c r="N518" s="163"/>
    </row>
    <row r="519" spans="2:14" x14ac:dyDescent="0.25">
      <c r="B519" s="163"/>
      <c r="C519" s="163"/>
      <c r="D519" s="163"/>
      <c r="E519" s="163"/>
      <c r="F519" s="163"/>
      <c r="G519" s="163"/>
      <c r="H519" s="163"/>
      <c r="I519" s="163"/>
      <c r="J519" s="163"/>
      <c r="K519" s="163"/>
      <c r="L519" s="163"/>
      <c r="M519" s="163"/>
      <c r="N519" s="163"/>
    </row>
    <row r="520" spans="2:14" x14ac:dyDescent="0.25">
      <c r="B520" s="163"/>
      <c r="C520" s="163"/>
      <c r="D520" s="163"/>
      <c r="E520" s="163"/>
      <c r="F520" s="163"/>
      <c r="G520" s="163"/>
      <c r="H520" s="163"/>
      <c r="I520" s="163"/>
      <c r="J520" s="163"/>
      <c r="K520" s="163"/>
      <c r="L520" s="163"/>
      <c r="M520" s="163"/>
      <c r="N520" s="163"/>
    </row>
    <row r="521" spans="2:14" x14ac:dyDescent="0.25">
      <c r="B521" s="163"/>
      <c r="C521" s="163"/>
      <c r="D521" s="163"/>
      <c r="E521" s="163"/>
      <c r="F521" s="163"/>
      <c r="G521" s="163"/>
      <c r="H521" s="163"/>
      <c r="I521" s="163"/>
      <c r="J521" s="163"/>
      <c r="K521" s="163"/>
      <c r="L521" s="163"/>
      <c r="M521" s="163"/>
      <c r="N521" s="163"/>
    </row>
    <row r="522" spans="2:14" x14ac:dyDescent="0.25">
      <c r="B522" s="163"/>
      <c r="C522" s="163"/>
      <c r="D522" s="163"/>
      <c r="E522" s="163"/>
      <c r="F522" s="163"/>
      <c r="G522" s="163"/>
      <c r="H522" s="163"/>
      <c r="I522" s="163"/>
      <c r="J522" s="163"/>
      <c r="K522" s="163"/>
      <c r="L522" s="163"/>
      <c r="M522" s="163"/>
      <c r="N522" s="163"/>
    </row>
    <row r="523" spans="2:14" x14ac:dyDescent="0.25">
      <c r="B523" s="163"/>
      <c r="C523" s="163"/>
      <c r="D523" s="163"/>
      <c r="E523" s="163"/>
      <c r="F523" s="163"/>
      <c r="G523" s="163"/>
      <c r="H523" s="163"/>
      <c r="I523" s="163"/>
      <c r="J523" s="163"/>
      <c r="K523" s="163"/>
      <c r="L523" s="163"/>
      <c r="M523" s="163"/>
      <c r="N523" s="163"/>
    </row>
    <row r="524" spans="2:14" x14ac:dyDescent="0.25">
      <c r="B524" s="163"/>
      <c r="C524" s="163"/>
      <c r="D524" s="163"/>
      <c r="E524" s="163"/>
      <c r="F524" s="163"/>
      <c r="G524" s="163"/>
      <c r="H524" s="163"/>
      <c r="I524" s="163"/>
      <c r="J524" s="163"/>
      <c r="K524" s="163"/>
      <c r="L524" s="163"/>
      <c r="M524" s="163"/>
      <c r="N524" s="163"/>
    </row>
    <row r="525" spans="2:14" x14ac:dyDescent="0.25">
      <c r="B525" s="163"/>
      <c r="C525" s="163"/>
      <c r="D525" s="163"/>
      <c r="E525" s="163"/>
      <c r="F525" s="163"/>
      <c r="G525" s="163"/>
      <c r="H525" s="163"/>
      <c r="I525" s="163"/>
      <c r="J525" s="163"/>
      <c r="K525" s="163"/>
      <c r="L525" s="163"/>
      <c r="M525" s="163"/>
      <c r="N525" s="163"/>
    </row>
    <row r="526" spans="2:14" x14ac:dyDescent="0.25">
      <c r="B526" s="163"/>
      <c r="C526" s="163"/>
      <c r="D526" s="163"/>
      <c r="E526" s="163"/>
      <c r="F526" s="163"/>
      <c r="G526" s="163"/>
      <c r="H526" s="163"/>
      <c r="I526" s="163"/>
      <c r="J526" s="163"/>
      <c r="K526" s="163"/>
      <c r="L526" s="163"/>
      <c r="M526" s="163"/>
      <c r="N526" s="163"/>
    </row>
    <row r="527" spans="2:14" x14ac:dyDescent="0.25">
      <c r="B527" s="163"/>
      <c r="C527" s="163"/>
      <c r="D527" s="163"/>
      <c r="E527" s="163"/>
      <c r="F527" s="163"/>
      <c r="G527" s="163"/>
      <c r="H527" s="163"/>
      <c r="I527" s="163"/>
      <c r="J527" s="163"/>
      <c r="K527" s="163"/>
      <c r="L527" s="163"/>
      <c r="M527" s="163"/>
      <c r="N527" s="163"/>
    </row>
    <row r="528" spans="2:14" x14ac:dyDescent="0.25">
      <c r="B528" s="163"/>
      <c r="C528" s="163"/>
      <c r="D528" s="163"/>
      <c r="E528" s="163"/>
      <c r="F528" s="163"/>
      <c r="G528" s="163"/>
      <c r="H528" s="163"/>
      <c r="I528" s="163"/>
      <c r="J528" s="163"/>
      <c r="K528" s="163"/>
      <c r="L528" s="163"/>
      <c r="M528" s="163"/>
      <c r="N528" s="163"/>
    </row>
    <row r="529" spans="2:14" x14ac:dyDescent="0.25">
      <c r="B529" s="163"/>
      <c r="C529" s="163"/>
      <c r="D529" s="163"/>
      <c r="E529" s="163"/>
      <c r="F529" s="163"/>
      <c r="G529" s="163"/>
      <c r="H529" s="163"/>
      <c r="I529" s="163"/>
      <c r="J529" s="163"/>
      <c r="K529" s="163"/>
      <c r="L529" s="163"/>
      <c r="M529" s="163"/>
      <c r="N529" s="163"/>
    </row>
    <row r="530" spans="2:14" x14ac:dyDescent="0.25">
      <c r="B530" s="163"/>
      <c r="C530" s="163"/>
      <c r="D530" s="163"/>
      <c r="E530" s="163"/>
      <c r="F530" s="163"/>
      <c r="G530" s="163"/>
      <c r="H530" s="163"/>
      <c r="I530" s="163"/>
      <c r="J530" s="163"/>
      <c r="K530" s="163"/>
      <c r="L530" s="163"/>
      <c r="M530" s="163"/>
      <c r="N530" s="163"/>
    </row>
    <row r="531" spans="2:14" x14ac:dyDescent="0.25">
      <c r="B531" s="163"/>
      <c r="C531" s="163"/>
      <c r="D531" s="163"/>
      <c r="E531" s="163"/>
      <c r="F531" s="163"/>
      <c r="G531" s="163"/>
      <c r="H531" s="163"/>
      <c r="I531" s="163"/>
      <c r="J531" s="163"/>
      <c r="K531" s="163"/>
      <c r="L531" s="163"/>
      <c r="M531" s="163"/>
      <c r="N531" s="163"/>
    </row>
    <row r="532" spans="2:14" x14ac:dyDescent="0.25">
      <c r="B532" s="163"/>
      <c r="C532" s="163"/>
      <c r="D532" s="163"/>
      <c r="E532" s="163"/>
      <c r="F532" s="163"/>
      <c r="G532" s="163"/>
      <c r="H532" s="163"/>
      <c r="I532" s="163"/>
      <c r="J532" s="163"/>
      <c r="K532" s="163"/>
      <c r="L532" s="163"/>
      <c r="M532" s="163"/>
      <c r="N532" s="163"/>
    </row>
    <row r="533" spans="2:14" x14ac:dyDescent="0.25">
      <c r="B533" s="163"/>
      <c r="C533" s="163"/>
      <c r="D533" s="163"/>
      <c r="E533" s="163"/>
      <c r="F533" s="163"/>
      <c r="G533" s="163"/>
      <c r="H533" s="163"/>
      <c r="I533" s="163"/>
      <c r="J533" s="163"/>
      <c r="K533" s="163"/>
      <c r="L533" s="163"/>
      <c r="M533" s="163"/>
      <c r="N533" s="163"/>
    </row>
    <row r="534" spans="2:14" x14ac:dyDescent="0.25">
      <c r="B534" s="163"/>
      <c r="C534" s="163"/>
      <c r="D534" s="163"/>
      <c r="E534" s="163"/>
      <c r="F534" s="163"/>
      <c r="G534" s="163"/>
      <c r="H534" s="163"/>
      <c r="I534" s="163"/>
      <c r="J534" s="163"/>
      <c r="K534" s="163"/>
      <c r="L534" s="163"/>
      <c r="M534" s="163"/>
      <c r="N534" s="163"/>
    </row>
    <row r="535" spans="2:14" x14ac:dyDescent="0.25">
      <c r="B535" s="163"/>
      <c r="C535" s="163"/>
      <c r="D535" s="163"/>
      <c r="E535" s="163"/>
      <c r="F535" s="163"/>
      <c r="G535" s="163"/>
      <c r="H535" s="163"/>
      <c r="I535" s="163"/>
      <c r="J535" s="163"/>
      <c r="K535" s="163"/>
      <c r="L535" s="163"/>
      <c r="M535" s="163"/>
      <c r="N535" s="163"/>
    </row>
    <row r="536" spans="2:14" x14ac:dyDescent="0.25">
      <c r="B536" s="163"/>
      <c r="C536" s="163"/>
      <c r="D536" s="163"/>
      <c r="E536" s="163"/>
      <c r="F536" s="163"/>
      <c r="G536" s="163"/>
      <c r="H536" s="163"/>
      <c r="I536" s="163"/>
      <c r="J536" s="163"/>
      <c r="K536" s="163"/>
      <c r="L536" s="163"/>
      <c r="M536" s="163"/>
      <c r="N536" s="163"/>
    </row>
    <row r="537" spans="2:14" x14ac:dyDescent="0.25">
      <c r="B537" s="163"/>
      <c r="C537" s="163"/>
      <c r="D537" s="163"/>
      <c r="E537" s="163"/>
      <c r="F537" s="163"/>
      <c r="G537" s="163"/>
      <c r="H537" s="163"/>
      <c r="I537" s="163"/>
      <c r="J537" s="163"/>
      <c r="K537" s="163"/>
      <c r="L537" s="163"/>
      <c r="M537" s="163"/>
      <c r="N537" s="163"/>
    </row>
    <row r="538" spans="2:14" x14ac:dyDescent="0.25">
      <c r="B538" s="163"/>
      <c r="C538" s="163"/>
      <c r="D538" s="163"/>
      <c r="E538" s="163"/>
      <c r="F538" s="163"/>
      <c r="G538" s="163"/>
      <c r="H538" s="163"/>
      <c r="I538" s="163"/>
      <c r="J538" s="163"/>
      <c r="K538" s="163"/>
      <c r="L538" s="163"/>
      <c r="M538" s="163"/>
      <c r="N538" s="163"/>
    </row>
    <row r="539" spans="2:14" x14ac:dyDescent="0.25">
      <c r="B539" s="163"/>
      <c r="C539" s="163"/>
      <c r="D539" s="163"/>
      <c r="E539" s="163"/>
      <c r="F539" s="163"/>
      <c r="G539" s="163"/>
      <c r="H539" s="163"/>
      <c r="I539" s="163"/>
      <c r="J539" s="163"/>
      <c r="K539" s="163"/>
      <c r="L539" s="163"/>
      <c r="M539" s="163"/>
      <c r="N539" s="163"/>
    </row>
    <row r="540" spans="2:14" x14ac:dyDescent="0.25">
      <c r="B540" s="163"/>
      <c r="C540" s="163"/>
      <c r="D540" s="163"/>
      <c r="E540" s="163"/>
      <c r="F540" s="163"/>
      <c r="G540" s="163"/>
      <c r="H540" s="163"/>
      <c r="I540" s="163"/>
      <c r="J540" s="163"/>
      <c r="K540" s="163"/>
      <c r="L540" s="163"/>
      <c r="M540" s="163"/>
      <c r="N540" s="163"/>
    </row>
    <row r="541" spans="2:14" x14ac:dyDescent="0.25">
      <c r="B541" s="163"/>
      <c r="C541" s="163"/>
      <c r="D541" s="163"/>
      <c r="E541" s="163"/>
      <c r="F541" s="163"/>
      <c r="G541" s="163"/>
      <c r="H541" s="163"/>
      <c r="I541" s="163"/>
      <c r="J541" s="163"/>
      <c r="K541" s="163"/>
      <c r="L541" s="163"/>
      <c r="M541" s="163"/>
      <c r="N541" s="163"/>
    </row>
    <row r="542" spans="2:14" x14ac:dyDescent="0.25">
      <c r="B542" s="163"/>
      <c r="C542" s="163"/>
      <c r="D542" s="163"/>
      <c r="E542" s="163"/>
      <c r="F542" s="163"/>
      <c r="G542" s="163"/>
      <c r="H542" s="163"/>
      <c r="I542" s="163"/>
      <c r="J542" s="163"/>
      <c r="K542" s="163"/>
      <c r="L542" s="163"/>
      <c r="M542" s="163"/>
      <c r="N542" s="163"/>
    </row>
    <row r="543" spans="2:14" x14ac:dyDescent="0.25">
      <c r="B543" s="163"/>
      <c r="C543" s="163"/>
      <c r="D543" s="163"/>
      <c r="E543" s="163"/>
      <c r="F543" s="163"/>
      <c r="G543" s="163"/>
      <c r="H543" s="163"/>
      <c r="I543" s="163"/>
      <c r="J543" s="163"/>
      <c r="K543" s="163"/>
      <c r="L543" s="163"/>
      <c r="M543" s="163"/>
      <c r="N543" s="163"/>
    </row>
    <row r="544" spans="2:14" x14ac:dyDescent="0.25">
      <c r="B544" s="163"/>
      <c r="C544" s="163"/>
      <c r="D544" s="163"/>
      <c r="E544" s="163"/>
      <c r="F544" s="163"/>
      <c r="G544" s="163"/>
      <c r="H544" s="163"/>
      <c r="I544" s="163"/>
      <c r="J544" s="163"/>
      <c r="K544" s="163"/>
      <c r="L544" s="163"/>
      <c r="M544" s="163"/>
      <c r="N544" s="163"/>
    </row>
    <row r="545" spans="2:14" x14ac:dyDescent="0.25">
      <c r="B545" s="163"/>
      <c r="C545" s="163"/>
      <c r="D545" s="163"/>
      <c r="E545" s="163"/>
      <c r="F545" s="163"/>
      <c r="G545" s="163"/>
      <c r="H545" s="163"/>
      <c r="I545" s="163"/>
      <c r="J545" s="163"/>
      <c r="K545" s="163"/>
      <c r="L545" s="163"/>
      <c r="M545" s="163"/>
      <c r="N545" s="163"/>
    </row>
    <row r="546" spans="2:14" x14ac:dyDescent="0.25">
      <c r="B546" s="163"/>
      <c r="C546" s="163"/>
      <c r="D546" s="163"/>
      <c r="E546" s="163"/>
      <c r="F546" s="163"/>
      <c r="G546" s="163"/>
      <c r="H546" s="163"/>
      <c r="I546" s="163"/>
      <c r="J546" s="163"/>
      <c r="K546" s="163"/>
      <c r="L546" s="163"/>
      <c r="M546" s="163"/>
      <c r="N546" s="163"/>
    </row>
    <row r="547" spans="2:14" x14ac:dyDescent="0.25">
      <c r="B547" s="163"/>
      <c r="C547" s="163"/>
      <c r="D547" s="163"/>
      <c r="E547" s="163"/>
      <c r="F547" s="163"/>
      <c r="G547" s="163"/>
      <c r="H547" s="163"/>
      <c r="I547" s="163"/>
      <c r="J547" s="163"/>
      <c r="K547" s="163"/>
      <c r="L547" s="163"/>
      <c r="M547" s="163"/>
      <c r="N547" s="163"/>
    </row>
    <row r="548" spans="2:14" x14ac:dyDescent="0.25">
      <c r="B548" s="163"/>
      <c r="C548" s="163"/>
      <c r="D548" s="163"/>
      <c r="E548" s="163"/>
      <c r="F548" s="163"/>
      <c r="G548" s="163"/>
      <c r="H548" s="163"/>
      <c r="I548" s="163"/>
      <c r="J548" s="163"/>
      <c r="K548" s="163"/>
      <c r="L548" s="163"/>
      <c r="M548" s="163"/>
      <c r="N548" s="163"/>
    </row>
    <row r="549" spans="2:14" x14ac:dyDescent="0.25">
      <c r="B549" s="163"/>
      <c r="C549" s="163"/>
      <c r="D549" s="163"/>
      <c r="E549" s="163"/>
      <c r="F549" s="163"/>
      <c r="G549" s="163"/>
      <c r="H549" s="163"/>
      <c r="I549" s="163"/>
      <c r="J549" s="163"/>
      <c r="K549" s="163"/>
      <c r="L549" s="163"/>
      <c r="M549" s="163"/>
      <c r="N549" s="163"/>
    </row>
    <row r="550" spans="2:14" x14ac:dyDescent="0.25">
      <c r="B550" s="163"/>
      <c r="C550" s="163"/>
      <c r="D550" s="163"/>
      <c r="E550" s="163"/>
      <c r="F550" s="163"/>
      <c r="G550" s="163"/>
      <c r="H550" s="163"/>
      <c r="I550" s="163"/>
      <c r="J550" s="163"/>
      <c r="K550" s="163"/>
      <c r="L550" s="163"/>
      <c r="M550" s="163"/>
      <c r="N550" s="163"/>
    </row>
    <row r="551" spans="2:14" x14ac:dyDescent="0.25">
      <c r="B551" s="163"/>
      <c r="C551" s="163"/>
      <c r="D551" s="163"/>
      <c r="E551" s="163"/>
      <c r="F551" s="163"/>
      <c r="G551" s="163"/>
      <c r="H551" s="163"/>
      <c r="I551" s="163"/>
      <c r="J551" s="163"/>
      <c r="K551" s="163"/>
      <c r="L551" s="163"/>
      <c r="M551" s="163"/>
      <c r="N551" s="163"/>
    </row>
    <row r="552" spans="2:14" x14ac:dyDescent="0.25">
      <c r="B552" s="163"/>
      <c r="C552" s="163"/>
      <c r="D552" s="163"/>
      <c r="E552" s="163"/>
      <c r="F552" s="163"/>
      <c r="G552" s="163"/>
      <c r="H552" s="163"/>
      <c r="I552" s="163"/>
      <c r="J552" s="163"/>
      <c r="K552" s="163"/>
      <c r="L552" s="163"/>
      <c r="M552" s="163"/>
      <c r="N552" s="163"/>
    </row>
    <row r="553" spans="2:14" x14ac:dyDescent="0.25">
      <c r="B553" s="163"/>
      <c r="C553" s="163"/>
      <c r="D553" s="163"/>
      <c r="E553" s="163"/>
      <c r="F553" s="163"/>
      <c r="G553" s="163"/>
      <c r="H553" s="163"/>
      <c r="I553" s="163"/>
      <c r="J553" s="163"/>
      <c r="K553" s="163"/>
      <c r="L553" s="163"/>
      <c r="M553" s="163"/>
      <c r="N553" s="163"/>
    </row>
    <row r="554" spans="2:14" x14ac:dyDescent="0.25">
      <c r="B554" s="163"/>
      <c r="C554" s="163"/>
      <c r="D554" s="163"/>
      <c r="E554" s="163"/>
      <c r="F554" s="163"/>
      <c r="G554" s="163"/>
      <c r="H554" s="163"/>
      <c r="I554" s="163"/>
      <c r="J554" s="163"/>
      <c r="K554" s="163"/>
      <c r="L554" s="163"/>
      <c r="M554" s="163"/>
      <c r="N554" s="163"/>
    </row>
    <row r="555" spans="2:14" x14ac:dyDescent="0.25">
      <c r="B555" s="163"/>
      <c r="C555" s="163"/>
      <c r="D555" s="163"/>
      <c r="E555" s="163"/>
      <c r="F555" s="163"/>
      <c r="G555" s="163"/>
      <c r="H555" s="163"/>
      <c r="I555" s="163"/>
      <c r="J555" s="163"/>
      <c r="K555" s="163"/>
      <c r="L555" s="163"/>
      <c r="M555" s="163"/>
      <c r="N555" s="163"/>
    </row>
    <row r="556" spans="2:14" x14ac:dyDescent="0.25">
      <c r="B556" s="163"/>
      <c r="C556" s="163"/>
      <c r="D556" s="163"/>
      <c r="E556" s="163"/>
      <c r="F556" s="163"/>
      <c r="G556" s="163"/>
      <c r="H556" s="163"/>
      <c r="I556" s="163"/>
      <c r="J556" s="163"/>
      <c r="K556" s="163"/>
      <c r="L556" s="163"/>
      <c r="M556" s="163"/>
      <c r="N556" s="163"/>
    </row>
    <row r="557" spans="2:14" x14ac:dyDescent="0.25">
      <c r="B557" s="163"/>
      <c r="C557" s="163"/>
      <c r="D557" s="163"/>
      <c r="E557" s="163"/>
      <c r="F557" s="163"/>
      <c r="G557" s="163"/>
      <c r="H557" s="163"/>
      <c r="I557" s="163"/>
      <c r="J557" s="163"/>
      <c r="K557" s="163"/>
      <c r="L557" s="163"/>
      <c r="M557" s="163"/>
      <c r="N557" s="163"/>
    </row>
    <row r="558" spans="2:14" x14ac:dyDescent="0.25">
      <c r="B558" s="163"/>
      <c r="C558" s="163"/>
      <c r="D558" s="163"/>
      <c r="E558" s="163"/>
      <c r="F558" s="163"/>
      <c r="G558" s="163"/>
      <c r="H558" s="163"/>
      <c r="I558" s="163"/>
      <c r="J558" s="163"/>
      <c r="K558" s="163"/>
      <c r="L558" s="163"/>
      <c r="M558" s="163"/>
      <c r="N558" s="163"/>
    </row>
    <row r="559" spans="2:14" x14ac:dyDescent="0.25">
      <c r="B559" s="163"/>
      <c r="C559" s="163"/>
      <c r="D559" s="163"/>
      <c r="E559" s="163"/>
      <c r="F559" s="163"/>
      <c r="G559" s="163"/>
      <c r="H559" s="163"/>
      <c r="I559" s="163"/>
      <c r="J559" s="163"/>
      <c r="K559" s="163"/>
      <c r="L559" s="163"/>
      <c r="M559" s="163"/>
      <c r="N559" s="163"/>
    </row>
    <row r="560" spans="2:14" x14ac:dyDescent="0.25">
      <c r="B560" s="163"/>
      <c r="C560" s="163"/>
      <c r="D560" s="163"/>
      <c r="E560" s="163"/>
      <c r="F560" s="163"/>
      <c r="G560" s="163"/>
      <c r="H560" s="163"/>
      <c r="I560" s="163"/>
      <c r="J560" s="163"/>
      <c r="K560" s="163"/>
      <c r="L560" s="163"/>
      <c r="M560" s="163"/>
      <c r="N560" s="163"/>
    </row>
    <row r="561" spans="2:14" x14ac:dyDescent="0.25">
      <c r="B561" s="163"/>
      <c r="C561" s="163"/>
      <c r="D561" s="163"/>
      <c r="E561" s="163"/>
      <c r="F561" s="163"/>
      <c r="G561" s="163"/>
      <c r="H561" s="163"/>
      <c r="I561" s="163"/>
      <c r="J561" s="163"/>
      <c r="K561" s="163"/>
      <c r="L561" s="163"/>
      <c r="M561" s="163"/>
      <c r="N561" s="163"/>
    </row>
    <row r="562" spans="2:14" x14ac:dyDescent="0.25">
      <c r="B562" s="163"/>
      <c r="C562" s="163"/>
      <c r="D562" s="163"/>
      <c r="E562" s="163"/>
      <c r="F562" s="163"/>
      <c r="G562" s="163"/>
      <c r="H562" s="163"/>
      <c r="I562" s="163"/>
      <c r="J562" s="163"/>
      <c r="K562" s="163"/>
      <c r="L562" s="163"/>
      <c r="M562" s="163"/>
      <c r="N562" s="163"/>
    </row>
    <row r="563" spans="2:14" x14ac:dyDescent="0.25">
      <c r="B563" s="163"/>
      <c r="C563" s="163"/>
      <c r="D563" s="163"/>
      <c r="E563" s="163"/>
      <c r="F563" s="163"/>
      <c r="G563" s="163"/>
      <c r="H563" s="163"/>
      <c r="I563" s="163"/>
      <c r="J563" s="163"/>
      <c r="K563" s="163"/>
      <c r="L563" s="163"/>
      <c r="M563" s="163"/>
      <c r="N563" s="163"/>
    </row>
    <row r="564" spans="2:14" x14ac:dyDescent="0.25">
      <c r="B564" s="163"/>
      <c r="C564" s="163"/>
      <c r="D564" s="163"/>
      <c r="E564" s="163"/>
      <c r="F564" s="163"/>
      <c r="G564" s="163"/>
      <c r="H564" s="163"/>
      <c r="I564" s="163"/>
      <c r="J564" s="163"/>
      <c r="K564" s="163"/>
      <c r="L564" s="163"/>
      <c r="M564" s="163"/>
      <c r="N564" s="163"/>
    </row>
    <row r="565" spans="2:14" x14ac:dyDescent="0.25">
      <c r="B565" s="163"/>
      <c r="C565" s="163"/>
      <c r="D565" s="163"/>
      <c r="E565" s="163"/>
      <c r="F565" s="163"/>
      <c r="G565" s="163"/>
      <c r="H565" s="163"/>
      <c r="I565" s="163"/>
      <c r="J565" s="163"/>
      <c r="K565" s="163"/>
      <c r="L565" s="163"/>
      <c r="M565" s="163"/>
      <c r="N565" s="163"/>
    </row>
    <row r="566" spans="2:14" x14ac:dyDescent="0.25">
      <c r="B566" s="163"/>
      <c r="C566" s="163"/>
      <c r="D566" s="163"/>
      <c r="E566" s="163"/>
      <c r="F566" s="163"/>
      <c r="G566" s="163"/>
      <c r="H566" s="163"/>
      <c r="I566" s="163"/>
      <c r="J566" s="163"/>
      <c r="K566" s="163"/>
      <c r="L566" s="163"/>
      <c r="M566" s="163"/>
      <c r="N566" s="163"/>
    </row>
    <row r="567" spans="2:14" x14ac:dyDescent="0.25">
      <c r="B567" s="163"/>
      <c r="C567" s="163"/>
      <c r="D567" s="163"/>
      <c r="E567" s="163"/>
      <c r="F567" s="163"/>
      <c r="G567" s="163"/>
      <c r="H567" s="163"/>
      <c r="I567" s="163"/>
      <c r="J567" s="163"/>
      <c r="K567" s="163"/>
      <c r="L567" s="163"/>
      <c r="M567" s="163"/>
      <c r="N567" s="163"/>
    </row>
    <row r="568" spans="2:14" x14ac:dyDescent="0.25">
      <c r="B568" s="163"/>
      <c r="C568" s="163"/>
      <c r="D568" s="163"/>
      <c r="E568" s="163"/>
      <c r="F568" s="163"/>
      <c r="G568" s="163"/>
      <c r="H568" s="163"/>
      <c r="I568" s="163"/>
      <c r="J568" s="163"/>
      <c r="K568" s="163"/>
      <c r="L568" s="163"/>
      <c r="M568" s="163"/>
      <c r="N568" s="163"/>
    </row>
    <row r="569" spans="2:14" x14ac:dyDescent="0.25">
      <c r="B569" s="163"/>
      <c r="C569" s="163"/>
      <c r="D569" s="163"/>
      <c r="E569" s="163"/>
      <c r="F569" s="163"/>
      <c r="G569" s="163"/>
      <c r="H569" s="163"/>
      <c r="I569" s="163"/>
      <c r="J569" s="163"/>
      <c r="K569" s="163"/>
      <c r="L569" s="163"/>
      <c r="M569" s="163"/>
      <c r="N569" s="163"/>
    </row>
    <row r="570" spans="2:14" x14ac:dyDescent="0.25">
      <c r="B570" s="163"/>
      <c r="C570" s="163"/>
      <c r="D570" s="163"/>
      <c r="E570" s="163"/>
      <c r="F570" s="163"/>
      <c r="G570" s="163"/>
      <c r="H570" s="163"/>
      <c r="I570" s="163"/>
      <c r="J570" s="163"/>
      <c r="K570" s="163"/>
      <c r="L570" s="163"/>
      <c r="M570" s="163"/>
      <c r="N570" s="163"/>
    </row>
    <row r="571" spans="2:14" x14ac:dyDescent="0.25">
      <c r="B571" s="163"/>
      <c r="C571" s="163"/>
      <c r="D571" s="163"/>
      <c r="E571" s="163"/>
      <c r="F571" s="163"/>
      <c r="G571" s="163"/>
      <c r="H571" s="163"/>
      <c r="I571" s="163"/>
      <c r="J571" s="163"/>
      <c r="K571" s="163"/>
      <c r="L571" s="163"/>
      <c r="M571" s="163"/>
      <c r="N571" s="163"/>
    </row>
    <row r="572" spans="2:14" x14ac:dyDescent="0.25">
      <c r="B572" s="163"/>
      <c r="C572" s="163"/>
      <c r="D572" s="163"/>
      <c r="E572" s="163"/>
      <c r="F572" s="163"/>
      <c r="G572" s="163"/>
      <c r="H572" s="163"/>
      <c r="I572" s="163"/>
      <c r="J572" s="163"/>
      <c r="K572" s="163"/>
      <c r="L572" s="163"/>
      <c r="M572" s="163"/>
      <c r="N572" s="163"/>
    </row>
    <row r="573" spans="2:14" x14ac:dyDescent="0.25">
      <c r="B573" s="163"/>
      <c r="C573" s="163"/>
      <c r="D573" s="163"/>
      <c r="E573" s="163"/>
      <c r="F573" s="163"/>
      <c r="G573" s="163"/>
      <c r="H573" s="163"/>
      <c r="I573" s="163"/>
      <c r="J573" s="163"/>
      <c r="K573" s="163"/>
      <c r="L573" s="163"/>
      <c r="M573" s="163"/>
      <c r="N573" s="163"/>
    </row>
    <row r="574" spans="2:14" x14ac:dyDescent="0.25">
      <c r="B574" s="163"/>
      <c r="C574" s="163"/>
      <c r="D574" s="163"/>
      <c r="E574" s="163"/>
      <c r="F574" s="163"/>
      <c r="G574" s="163"/>
      <c r="H574" s="163"/>
      <c r="I574" s="163"/>
      <c r="J574" s="163"/>
      <c r="K574" s="163"/>
      <c r="L574" s="163"/>
      <c r="M574" s="163"/>
      <c r="N574" s="163"/>
    </row>
    <row r="575" spans="2:14" x14ac:dyDescent="0.25">
      <c r="B575" s="163"/>
      <c r="C575" s="163"/>
      <c r="D575" s="163"/>
      <c r="E575" s="163"/>
      <c r="F575" s="163"/>
      <c r="G575" s="163"/>
      <c r="H575" s="163"/>
      <c r="I575" s="163"/>
      <c r="J575" s="163"/>
      <c r="K575" s="163"/>
      <c r="L575" s="163"/>
      <c r="M575" s="163"/>
      <c r="N575" s="163"/>
    </row>
    <row r="576" spans="2:14" x14ac:dyDescent="0.25">
      <c r="B576" s="163"/>
      <c r="C576" s="163"/>
      <c r="D576" s="163"/>
      <c r="E576" s="163"/>
      <c r="F576" s="163"/>
      <c r="G576" s="163"/>
      <c r="H576" s="163"/>
      <c r="I576" s="163"/>
      <c r="J576" s="163"/>
      <c r="K576" s="163"/>
      <c r="L576" s="163"/>
      <c r="M576" s="163"/>
      <c r="N576" s="163"/>
    </row>
    <row r="577" spans="2:14" x14ac:dyDescent="0.25">
      <c r="B577" s="163"/>
      <c r="C577" s="163"/>
      <c r="D577" s="163"/>
      <c r="E577" s="163"/>
      <c r="F577" s="163"/>
      <c r="G577" s="163"/>
      <c r="H577" s="163"/>
      <c r="I577" s="163"/>
      <c r="J577" s="163"/>
      <c r="K577" s="163"/>
      <c r="L577" s="163"/>
      <c r="M577" s="163"/>
      <c r="N577" s="163"/>
    </row>
    <row r="578" spans="2:14" x14ac:dyDescent="0.25">
      <c r="B578" s="163"/>
      <c r="C578" s="163"/>
      <c r="D578" s="163"/>
      <c r="E578" s="163"/>
      <c r="F578" s="163"/>
      <c r="G578" s="163"/>
      <c r="H578" s="163"/>
      <c r="I578" s="163"/>
      <c r="J578" s="163"/>
      <c r="K578" s="163"/>
      <c r="L578" s="163"/>
      <c r="M578" s="163"/>
      <c r="N578" s="163"/>
    </row>
    <row r="579" spans="2:14" x14ac:dyDescent="0.25">
      <c r="B579" s="163"/>
      <c r="C579" s="163"/>
      <c r="D579" s="163"/>
      <c r="E579" s="163"/>
      <c r="F579" s="163"/>
      <c r="G579" s="163"/>
      <c r="H579" s="163"/>
      <c r="I579" s="163"/>
      <c r="J579" s="163"/>
      <c r="K579" s="163"/>
      <c r="L579" s="163"/>
      <c r="M579" s="163"/>
      <c r="N579" s="163"/>
    </row>
    <row r="580" spans="2:14" x14ac:dyDescent="0.25">
      <c r="B580" s="163"/>
      <c r="C580" s="163"/>
      <c r="D580" s="163"/>
      <c r="E580" s="163"/>
      <c r="F580" s="163"/>
      <c r="G580" s="163"/>
      <c r="H580" s="163"/>
      <c r="I580" s="163"/>
      <c r="J580" s="163"/>
      <c r="K580" s="163"/>
      <c r="L580" s="163"/>
      <c r="M580" s="163"/>
      <c r="N580" s="163"/>
    </row>
    <row r="581" spans="2:14" x14ac:dyDescent="0.25">
      <c r="B581" s="163"/>
      <c r="C581" s="163"/>
      <c r="D581" s="163"/>
      <c r="E581" s="163"/>
      <c r="F581" s="163"/>
      <c r="G581" s="163"/>
      <c r="H581" s="163"/>
      <c r="I581" s="163"/>
      <c r="J581" s="163"/>
      <c r="K581" s="163"/>
      <c r="L581" s="163"/>
      <c r="M581" s="163"/>
      <c r="N581" s="163"/>
    </row>
    <row r="582" spans="2:14" x14ac:dyDescent="0.25">
      <c r="B582" s="163"/>
      <c r="C582" s="163"/>
      <c r="D582" s="163"/>
      <c r="E582" s="163"/>
      <c r="F582" s="163"/>
      <c r="G582" s="163"/>
      <c r="H582" s="163"/>
      <c r="I582" s="163"/>
      <c r="J582" s="163"/>
      <c r="K582" s="163"/>
      <c r="L582" s="163"/>
      <c r="M582" s="163"/>
      <c r="N582" s="163"/>
    </row>
    <row r="583" spans="2:14" x14ac:dyDescent="0.25">
      <c r="B583" s="163"/>
      <c r="C583" s="163"/>
      <c r="D583" s="163"/>
      <c r="E583" s="163"/>
      <c r="F583" s="163"/>
      <c r="G583" s="163"/>
      <c r="H583" s="163"/>
      <c r="I583" s="163"/>
      <c r="J583" s="163"/>
      <c r="K583" s="163"/>
      <c r="L583" s="163"/>
      <c r="M583" s="163"/>
      <c r="N583" s="163"/>
    </row>
    <row r="584" spans="2:14" x14ac:dyDescent="0.25">
      <c r="B584" s="163"/>
      <c r="C584" s="163"/>
      <c r="D584" s="163"/>
      <c r="E584" s="163"/>
      <c r="F584" s="163"/>
      <c r="G584" s="163"/>
      <c r="H584" s="163"/>
      <c r="I584" s="163"/>
      <c r="J584" s="163"/>
      <c r="K584" s="163"/>
      <c r="L584" s="163"/>
      <c r="M584" s="163"/>
      <c r="N584" s="163"/>
    </row>
    <row r="585" spans="2:14" x14ac:dyDescent="0.25">
      <c r="B585" s="163"/>
      <c r="C585" s="163"/>
      <c r="D585" s="163"/>
      <c r="E585" s="163"/>
      <c r="F585" s="163"/>
      <c r="G585" s="163"/>
      <c r="H585" s="163"/>
      <c r="I585" s="163"/>
      <c r="J585" s="163"/>
      <c r="K585" s="163"/>
      <c r="L585" s="163"/>
      <c r="M585" s="163"/>
      <c r="N585" s="163"/>
    </row>
    <row r="586" spans="2:14" x14ac:dyDescent="0.25">
      <c r="B586" s="163"/>
      <c r="C586" s="163"/>
      <c r="D586" s="163"/>
      <c r="E586" s="163"/>
      <c r="F586" s="163"/>
      <c r="G586" s="163"/>
      <c r="H586" s="163"/>
      <c r="I586" s="163"/>
      <c r="J586" s="163"/>
      <c r="K586" s="163"/>
      <c r="L586" s="163"/>
      <c r="M586" s="163"/>
      <c r="N586" s="163"/>
    </row>
    <row r="587" spans="2:14" x14ac:dyDescent="0.25">
      <c r="B587" s="163"/>
      <c r="C587" s="163"/>
      <c r="D587" s="163"/>
      <c r="E587" s="163"/>
      <c r="F587" s="163"/>
      <c r="G587" s="163"/>
      <c r="H587" s="163"/>
      <c r="I587" s="163"/>
      <c r="J587" s="163"/>
      <c r="K587" s="163"/>
      <c r="L587" s="163"/>
      <c r="M587" s="163"/>
      <c r="N587" s="163"/>
    </row>
    <row r="588" spans="2:14" x14ac:dyDescent="0.25">
      <c r="B588" s="163"/>
      <c r="C588" s="163"/>
      <c r="D588" s="163"/>
      <c r="E588" s="163"/>
      <c r="F588" s="163"/>
      <c r="G588" s="163"/>
      <c r="H588" s="163"/>
      <c r="I588" s="163"/>
      <c r="J588" s="163"/>
      <c r="K588" s="163"/>
      <c r="L588" s="163"/>
      <c r="M588" s="163"/>
      <c r="N588" s="163"/>
    </row>
    <row r="589" spans="2:14" x14ac:dyDescent="0.25">
      <c r="B589" s="163"/>
      <c r="C589" s="163"/>
      <c r="D589" s="163"/>
      <c r="E589" s="163"/>
      <c r="F589" s="163"/>
      <c r="G589" s="163"/>
      <c r="H589" s="163"/>
      <c r="I589" s="163"/>
      <c r="J589" s="163"/>
      <c r="K589" s="163"/>
      <c r="L589" s="163"/>
      <c r="M589" s="163"/>
      <c r="N589" s="163"/>
    </row>
    <row r="590" spans="2:14" x14ac:dyDescent="0.25">
      <c r="B590" s="163"/>
      <c r="C590" s="163"/>
      <c r="D590" s="163"/>
      <c r="E590" s="163"/>
      <c r="F590" s="163"/>
      <c r="G590" s="163"/>
      <c r="H590" s="163"/>
      <c r="I590" s="163"/>
      <c r="J590" s="163"/>
      <c r="K590" s="163"/>
      <c r="L590" s="163"/>
      <c r="M590" s="163"/>
      <c r="N590" s="163"/>
    </row>
    <row r="591" spans="2:14" x14ac:dyDescent="0.25">
      <c r="B591" s="163"/>
      <c r="C591" s="163"/>
      <c r="D591" s="163"/>
      <c r="E591" s="163"/>
      <c r="F591" s="163"/>
      <c r="G591" s="163"/>
      <c r="H591" s="163"/>
      <c r="I591" s="163"/>
      <c r="J591" s="163"/>
      <c r="K591" s="163"/>
      <c r="L591" s="163"/>
      <c r="M591" s="163"/>
      <c r="N591" s="163"/>
    </row>
    <row r="592" spans="2:14" x14ac:dyDescent="0.25">
      <c r="B592" s="163"/>
      <c r="C592" s="163"/>
      <c r="D592" s="163"/>
      <c r="E592" s="163"/>
      <c r="F592" s="163"/>
      <c r="G592" s="163"/>
      <c r="H592" s="163"/>
      <c r="I592" s="163"/>
      <c r="J592" s="163"/>
      <c r="K592" s="163"/>
      <c r="L592" s="163"/>
      <c r="M592" s="163"/>
      <c r="N592" s="163"/>
    </row>
    <row r="593" spans="2:14" x14ac:dyDescent="0.25">
      <c r="B593" s="163"/>
      <c r="C593" s="163"/>
      <c r="D593" s="163"/>
      <c r="E593" s="163"/>
      <c r="F593" s="163"/>
      <c r="G593" s="163"/>
      <c r="H593" s="163"/>
      <c r="I593" s="163"/>
      <c r="J593" s="163"/>
      <c r="K593" s="163"/>
      <c r="L593" s="163"/>
      <c r="M593" s="163"/>
      <c r="N593" s="163"/>
    </row>
    <row r="594" spans="2:14" x14ac:dyDescent="0.25">
      <c r="B594" s="163"/>
      <c r="C594" s="163"/>
      <c r="D594" s="163"/>
      <c r="E594" s="163"/>
      <c r="F594" s="163"/>
      <c r="G594" s="163"/>
      <c r="H594" s="163"/>
      <c r="I594" s="163"/>
      <c r="J594" s="163"/>
      <c r="K594" s="163"/>
      <c r="L594" s="163"/>
      <c r="M594" s="163"/>
      <c r="N594" s="163"/>
    </row>
    <row r="595" spans="2:14" x14ac:dyDescent="0.25">
      <c r="B595" s="163"/>
      <c r="C595" s="163"/>
      <c r="D595" s="163"/>
      <c r="E595" s="163"/>
      <c r="F595" s="163"/>
      <c r="G595" s="163"/>
      <c r="H595" s="163"/>
      <c r="I595" s="163"/>
      <c r="J595" s="163"/>
      <c r="K595" s="163"/>
      <c r="L595" s="163"/>
      <c r="M595" s="163"/>
      <c r="N595" s="163"/>
    </row>
    <row r="596" spans="2:14" x14ac:dyDescent="0.25">
      <c r="B596" s="163"/>
      <c r="C596" s="163"/>
      <c r="D596" s="163"/>
      <c r="E596" s="163"/>
      <c r="F596" s="163"/>
      <c r="G596" s="163"/>
      <c r="H596" s="163"/>
      <c r="I596" s="163"/>
      <c r="J596" s="163"/>
      <c r="K596" s="163"/>
      <c r="L596" s="163"/>
      <c r="M596" s="163"/>
      <c r="N596" s="163"/>
    </row>
    <row r="597" spans="2:14" x14ac:dyDescent="0.25">
      <c r="B597" s="163"/>
      <c r="C597" s="163"/>
      <c r="D597" s="163"/>
      <c r="E597" s="163"/>
      <c r="F597" s="163"/>
      <c r="G597" s="163"/>
      <c r="H597" s="163"/>
      <c r="I597" s="163"/>
      <c r="J597" s="163"/>
      <c r="K597" s="163"/>
      <c r="L597" s="163"/>
      <c r="M597" s="163"/>
      <c r="N597" s="163"/>
    </row>
    <row r="598" spans="2:14" x14ac:dyDescent="0.25">
      <c r="B598" s="163"/>
      <c r="C598" s="163"/>
      <c r="D598" s="163"/>
      <c r="E598" s="163"/>
      <c r="F598" s="163"/>
      <c r="G598" s="163"/>
      <c r="H598" s="163"/>
      <c r="I598" s="163"/>
      <c r="J598" s="163"/>
      <c r="K598" s="163"/>
      <c r="L598" s="163"/>
      <c r="M598" s="163"/>
      <c r="N598" s="163"/>
    </row>
    <row r="599" spans="2:14" x14ac:dyDescent="0.25">
      <c r="B599" s="163"/>
      <c r="C599" s="163"/>
      <c r="D599" s="163"/>
      <c r="E599" s="163"/>
      <c r="F599" s="163"/>
      <c r="G599" s="163"/>
      <c r="H599" s="163"/>
      <c r="I599" s="163"/>
      <c r="J599" s="163"/>
      <c r="K599" s="163"/>
      <c r="L599" s="163"/>
      <c r="M599" s="163"/>
      <c r="N599" s="163"/>
    </row>
    <row r="600" spans="2:14" x14ac:dyDescent="0.25">
      <c r="B600" s="163"/>
      <c r="C600" s="163"/>
      <c r="D600" s="163"/>
      <c r="E600" s="163"/>
      <c r="F600" s="163"/>
      <c r="G600" s="163"/>
      <c r="H600" s="163"/>
      <c r="I600" s="163"/>
      <c r="J600" s="163"/>
      <c r="K600" s="163"/>
      <c r="L600" s="163"/>
      <c r="M600" s="163"/>
      <c r="N600" s="163"/>
    </row>
    <row r="601" spans="2:14" x14ac:dyDescent="0.25">
      <c r="B601" s="163"/>
      <c r="C601" s="163"/>
      <c r="D601" s="163"/>
      <c r="E601" s="163"/>
      <c r="F601" s="163"/>
      <c r="G601" s="163"/>
      <c r="H601" s="163"/>
      <c r="I601" s="163"/>
      <c r="J601" s="163"/>
      <c r="K601" s="163"/>
      <c r="L601" s="163"/>
      <c r="M601" s="163"/>
      <c r="N601" s="163"/>
    </row>
    <row r="602" spans="2:14" x14ac:dyDescent="0.25">
      <c r="B602" s="163"/>
      <c r="C602" s="163"/>
      <c r="D602" s="163"/>
      <c r="E602" s="163"/>
      <c r="F602" s="163"/>
      <c r="G602" s="163"/>
      <c r="H602" s="163"/>
      <c r="I602" s="163"/>
      <c r="J602" s="163"/>
      <c r="K602" s="163"/>
      <c r="L602" s="163"/>
      <c r="M602" s="163"/>
      <c r="N602" s="163"/>
    </row>
    <row r="603" spans="2:14" x14ac:dyDescent="0.25">
      <c r="B603" s="163"/>
      <c r="C603" s="163"/>
      <c r="D603" s="163"/>
      <c r="E603" s="163"/>
      <c r="F603" s="163"/>
      <c r="G603" s="163"/>
      <c r="H603" s="163"/>
      <c r="I603" s="163"/>
      <c r="J603" s="163"/>
      <c r="K603" s="163"/>
      <c r="L603" s="163"/>
      <c r="M603" s="163"/>
      <c r="N603" s="163"/>
    </row>
    <row r="604" spans="2:14" x14ac:dyDescent="0.25">
      <c r="B604" s="163"/>
      <c r="C604" s="163"/>
      <c r="D604" s="163"/>
      <c r="E604" s="163"/>
      <c r="F604" s="163"/>
      <c r="G604" s="163"/>
      <c r="H604" s="163"/>
      <c r="I604" s="163"/>
      <c r="J604" s="163"/>
      <c r="K604" s="163"/>
      <c r="L604" s="163"/>
      <c r="M604" s="163"/>
      <c r="N604" s="163"/>
    </row>
    <row r="605" spans="2:14" x14ac:dyDescent="0.25">
      <c r="B605" s="163"/>
      <c r="C605" s="163"/>
      <c r="D605" s="163"/>
      <c r="E605" s="163"/>
      <c r="F605" s="163"/>
      <c r="G605" s="163"/>
      <c r="H605" s="163"/>
      <c r="I605" s="163"/>
      <c r="J605" s="163"/>
      <c r="K605" s="163"/>
      <c r="L605" s="163"/>
      <c r="M605" s="163"/>
      <c r="N605" s="163"/>
    </row>
    <row r="606" spans="2:14" x14ac:dyDescent="0.25">
      <c r="B606" s="163"/>
      <c r="C606" s="163"/>
      <c r="D606" s="163"/>
      <c r="E606" s="163"/>
      <c r="F606" s="163"/>
      <c r="G606" s="163"/>
      <c r="H606" s="163"/>
      <c r="I606" s="163"/>
      <c r="J606" s="163"/>
      <c r="K606" s="163"/>
      <c r="L606" s="163"/>
      <c r="M606" s="163"/>
      <c r="N606" s="163"/>
    </row>
    <row r="607" spans="2:14" x14ac:dyDescent="0.25">
      <c r="B607" s="163"/>
      <c r="C607" s="163"/>
      <c r="D607" s="163"/>
      <c r="E607" s="163"/>
      <c r="F607" s="163"/>
      <c r="G607" s="163"/>
      <c r="H607" s="163"/>
      <c r="I607" s="163"/>
      <c r="J607" s="163"/>
      <c r="K607" s="163"/>
      <c r="L607" s="163"/>
      <c r="M607" s="163"/>
      <c r="N607" s="163"/>
    </row>
    <row r="608" spans="2:14" x14ac:dyDescent="0.25">
      <c r="B608" s="163"/>
      <c r="C608" s="163"/>
      <c r="D608" s="163"/>
      <c r="E608" s="163"/>
      <c r="F608" s="163"/>
      <c r="G608" s="163"/>
      <c r="H608" s="163"/>
      <c r="I608" s="163"/>
      <c r="J608" s="163"/>
      <c r="K608" s="163"/>
      <c r="L608" s="163"/>
      <c r="M608" s="163"/>
      <c r="N608" s="163"/>
    </row>
    <row r="609" spans="2:14" x14ac:dyDescent="0.25">
      <c r="B609" s="163"/>
      <c r="C609" s="163"/>
      <c r="D609" s="163"/>
      <c r="E609" s="163"/>
      <c r="F609" s="163"/>
      <c r="G609" s="163"/>
      <c r="H609" s="163"/>
      <c r="I609" s="163"/>
      <c r="J609" s="163"/>
      <c r="K609" s="163"/>
      <c r="L609" s="163"/>
      <c r="M609" s="163"/>
      <c r="N609" s="163"/>
    </row>
    <row r="610" spans="2:14" x14ac:dyDescent="0.25">
      <c r="B610" s="163"/>
      <c r="C610" s="163"/>
      <c r="D610" s="163"/>
      <c r="E610" s="163"/>
      <c r="F610" s="163"/>
      <c r="G610" s="163"/>
      <c r="H610" s="163"/>
      <c r="I610" s="163"/>
      <c r="J610" s="163"/>
      <c r="K610" s="163"/>
      <c r="L610" s="163"/>
      <c r="M610" s="163"/>
      <c r="N610" s="163"/>
    </row>
    <row r="611" spans="2:14" x14ac:dyDescent="0.25">
      <c r="B611" s="163"/>
      <c r="C611" s="163"/>
      <c r="D611" s="163"/>
      <c r="E611" s="163"/>
      <c r="F611" s="163"/>
      <c r="G611" s="163"/>
      <c r="H611" s="163"/>
      <c r="I611" s="163"/>
      <c r="J611" s="163"/>
      <c r="K611" s="163"/>
      <c r="L611" s="163"/>
      <c r="M611" s="163"/>
      <c r="N611" s="163"/>
    </row>
    <row r="612" spans="2:14" x14ac:dyDescent="0.25">
      <c r="B612" s="163"/>
      <c r="C612" s="163"/>
      <c r="D612" s="163"/>
      <c r="E612" s="163"/>
      <c r="F612" s="163"/>
      <c r="G612" s="163"/>
      <c r="H612" s="163"/>
      <c r="I612" s="163"/>
      <c r="J612" s="163"/>
      <c r="K612" s="163"/>
      <c r="L612" s="163"/>
      <c r="M612" s="163"/>
      <c r="N612" s="163"/>
    </row>
    <row r="613" spans="2:14" x14ac:dyDescent="0.25">
      <c r="B613" s="163"/>
      <c r="C613" s="163"/>
      <c r="D613" s="163"/>
      <c r="E613" s="163"/>
      <c r="F613" s="163"/>
      <c r="G613" s="163"/>
      <c r="H613" s="163"/>
      <c r="I613" s="163"/>
      <c r="J613" s="163"/>
      <c r="K613" s="163"/>
      <c r="L613" s="163"/>
      <c r="M613" s="163"/>
      <c r="N613" s="163"/>
    </row>
    <row r="614" spans="2:14" x14ac:dyDescent="0.25">
      <c r="B614" s="163"/>
      <c r="C614" s="163"/>
      <c r="D614" s="163"/>
      <c r="E614" s="163"/>
      <c r="F614" s="163"/>
      <c r="G614" s="163"/>
      <c r="H614" s="163"/>
      <c r="I614" s="163"/>
      <c r="J614" s="163"/>
      <c r="K614" s="163"/>
      <c r="L614" s="163"/>
      <c r="M614" s="163"/>
      <c r="N614" s="163"/>
    </row>
    <row r="615" spans="2:14" x14ac:dyDescent="0.25">
      <c r="B615" s="163"/>
      <c r="C615" s="163"/>
      <c r="D615" s="163"/>
      <c r="E615" s="163"/>
      <c r="F615" s="163"/>
      <c r="G615" s="163"/>
      <c r="H615" s="163"/>
      <c r="I615" s="163"/>
      <c r="J615" s="163"/>
      <c r="K615" s="163"/>
      <c r="L615" s="163"/>
      <c r="M615" s="163"/>
      <c r="N615" s="163"/>
    </row>
    <row r="616" spans="2:14" x14ac:dyDescent="0.25">
      <c r="B616" s="163"/>
      <c r="C616" s="163"/>
      <c r="D616" s="163"/>
      <c r="E616" s="163"/>
      <c r="F616" s="163"/>
      <c r="G616" s="163"/>
      <c r="H616" s="163"/>
      <c r="I616" s="163"/>
      <c r="J616" s="163"/>
      <c r="K616" s="163"/>
      <c r="L616" s="163"/>
      <c r="M616" s="163"/>
      <c r="N616" s="163"/>
    </row>
    <row r="617" spans="2:14" x14ac:dyDescent="0.25">
      <c r="B617" s="163"/>
      <c r="C617" s="163"/>
      <c r="D617" s="163"/>
      <c r="E617" s="163"/>
      <c r="F617" s="163"/>
      <c r="G617" s="163"/>
      <c r="H617" s="163"/>
      <c r="I617" s="163"/>
      <c r="J617" s="163"/>
      <c r="K617" s="163"/>
      <c r="L617" s="163"/>
      <c r="M617" s="163"/>
      <c r="N617" s="163"/>
    </row>
    <row r="618" spans="2:14" x14ac:dyDescent="0.25">
      <c r="B618" s="163"/>
      <c r="C618" s="163"/>
      <c r="D618" s="163"/>
      <c r="E618" s="163"/>
      <c r="F618" s="163"/>
      <c r="G618" s="163"/>
      <c r="H618" s="163"/>
      <c r="I618" s="163"/>
      <c r="J618" s="163"/>
      <c r="K618" s="163"/>
      <c r="L618" s="163"/>
      <c r="M618" s="163"/>
      <c r="N618" s="163"/>
    </row>
    <row r="619" spans="2:14" x14ac:dyDescent="0.25">
      <c r="B619" s="163"/>
      <c r="C619" s="163"/>
      <c r="D619" s="163"/>
      <c r="E619" s="163"/>
      <c r="F619" s="163"/>
      <c r="G619" s="163"/>
      <c r="H619" s="163"/>
      <c r="I619" s="163"/>
      <c r="J619" s="163"/>
      <c r="K619" s="163"/>
      <c r="L619" s="163"/>
      <c r="M619" s="163"/>
      <c r="N619" s="163"/>
    </row>
    <row r="620" spans="2:14" x14ac:dyDescent="0.25">
      <c r="B620" s="163"/>
      <c r="C620" s="163"/>
      <c r="D620" s="163"/>
      <c r="E620" s="163"/>
      <c r="F620" s="163"/>
      <c r="G620" s="163"/>
      <c r="H620" s="163"/>
      <c r="I620" s="163"/>
      <c r="J620" s="163"/>
      <c r="K620" s="163"/>
      <c r="L620" s="163"/>
      <c r="M620" s="163"/>
      <c r="N620" s="163"/>
    </row>
    <row r="621" spans="2:14" x14ac:dyDescent="0.25">
      <c r="B621" s="163"/>
      <c r="C621" s="163"/>
      <c r="D621" s="163"/>
      <c r="E621" s="163"/>
      <c r="F621" s="163"/>
      <c r="G621" s="163"/>
      <c r="H621" s="163"/>
      <c r="I621" s="163"/>
      <c r="J621" s="163"/>
      <c r="K621" s="163"/>
      <c r="L621" s="163"/>
      <c r="M621" s="163"/>
      <c r="N621" s="163"/>
    </row>
    <row r="622" spans="2:14" x14ac:dyDescent="0.25">
      <c r="B622" s="163"/>
      <c r="C622" s="163"/>
      <c r="D622" s="163"/>
      <c r="E622" s="163"/>
      <c r="F622" s="163"/>
      <c r="G622" s="163"/>
      <c r="H622" s="163"/>
      <c r="I622" s="163"/>
      <c r="J622" s="163"/>
      <c r="K622" s="163"/>
      <c r="L622" s="163"/>
      <c r="M622" s="163"/>
      <c r="N622" s="163"/>
    </row>
    <row r="623" spans="2:14" x14ac:dyDescent="0.25">
      <c r="B623" s="163"/>
      <c r="C623" s="163"/>
      <c r="D623" s="163"/>
      <c r="E623" s="163"/>
      <c r="F623" s="163"/>
      <c r="G623" s="163"/>
      <c r="H623" s="163"/>
      <c r="I623" s="163"/>
      <c r="J623" s="163"/>
      <c r="K623" s="163"/>
      <c r="L623" s="163"/>
      <c r="M623" s="163"/>
      <c r="N623" s="163"/>
    </row>
    <row r="624" spans="2:14" x14ac:dyDescent="0.25">
      <c r="B624" s="163"/>
      <c r="C624" s="163"/>
      <c r="D624" s="163"/>
      <c r="E624" s="163"/>
      <c r="F624" s="163"/>
      <c r="G624" s="163"/>
      <c r="H624" s="163"/>
      <c r="I624" s="163"/>
      <c r="J624" s="163"/>
      <c r="K624" s="163"/>
      <c r="L624" s="163"/>
      <c r="M624" s="163"/>
      <c r="N624" s="163"/>
    </row>
    <row r="625" spans="2:14" x14ac:dyDescent="0.25">
      <c r="B625" s="163"/>
      <c r="C625" s="163"/>
      <c r="D625" s="163"/>
      <c r="E625" s="163"/>
      <c r="F625" s="163"/>
      <c r="G625" s="163"/>
      <c r="H625" s="163"/>
      <c r="I625" s="163"/>
      <c r="J625" s="163"/>
      <c r="K625" s="163"/>
      <c r="L625" s="163"/>
      <c r="M625" s="163"/>
      <c r="N625" s="163"/>
    </row>
    <row r="626" spans="2:14" x14ac:dyDescent="0.25">
      <c r="B626" s="163"/>
      <c r="C626" s="163"/>
      <c r="D626" s="163"/>
      <c r="E626" s="163"/>
      <c r="F626" s="163"/>
      <c r="G626" s="163"/>
      <c r="H626" s="163"/>
      <c r="I626" s="163"/>
      <c r="J626" s="163"/>
      <c r="K626" s="163"/>
      <c r="L626" s="163"/>
      <c r="M626" s="163"/>
      <c r="N626" s="163"/>
    </row>
    <row r="627" spans="2:14" x14ac:dyDescent="0.25">
      <c r="B627" s="163"/>
      <c r="C627" s="163"/>
      <c r="D627" s="163"/>
      <c r="E627" s="163"/>
      <c r="F627" s="163"/>
      <c r="G627" s="163"/>
      <c r="H627" s="163"/>
      <c r="I627" s="163"/>
      <c r="J627" s="163"/>
      <c r="K627" s="163"/>
      <c r="L627" s="163"/>
      <c r="M627" s="163"/>
      <c r="N627" s="163"/>
    </row>
    <row r="628" spans="2:14" x14ac:dyDescent="0.25">
      <c r="B628" s="163"/>
      <c r="C628" s="163"/>
      <c r="D628" s="163"/>
      <c r="E628" s="163"/>
      <c r="F628" s="163"/>
      <c r="G628" s="163"/>
      <c r="H628" s="163"/>
      <c r="I628" s="163"/>
      <c r="J628" s="163"/>
      <c r="K628" s="163"/>
      <c r="L628" s="163"/>
      <c r="M628" s="163"/>
      <c r="N628" s="163"/>
    </row>
    <row r="629" spans="2:14" x14ac:dyDescent="0.25">
      <c r="B629" s="163"/>
      <c r="C629" s="163"/>
      <c r="D629" s="163"/>
      <c r="E629" s="163"/>
      <c r="F629" s="163"/>
      <c r="G629" s="163"/>
      <c r="H629" s="163"/>
      <c r="I629" s="163"/>
      <c r="J629" s="163"/>
      <c r="K629" s="163"/>
      <c r="L629" s="163"/>
      <c r="M629" s="163"/>
      <c r="N629" s="163"/>
    </row>
    <row r="630" spans="2:14" x14ac:dyDescent="0.25">
      <c r="B630" s="163"/>
      <c r="C630" s="163"/>
      <c r="D630" s="163"/>
      <c r="E630" s="163"/>
      <c r="F630" s="163"/>
      <c r="G630" s="163"/>
      <c r="H630" s="163"/>
      <c r="I630" s="163"/>
      <c r="J630" s="163"/>
      <c r="K630" s="163"/>
      <c r="L630" s="163"/>
      <c r="M630" s="163"/>
      <c r="N630" s="163"/>
    </row>
    <row r="631" spans="2:14" x14ac:dyDescent="0.25">
      <c r="B631" s="163"/>
      <c r="C631" s="163"/>
      <c r="D631" s="163"/>
      <c r="E631" s="163"/>
      <c r="F631" s="163"/>
      <c r="G631" s="163"/>
      <c r="H631" s="163"/>
      <c r="I631" s="163"/>
      <c r="J631" s="163"/>
      <c r="K631" s="163"/>
      <c r="L631" s="163"/>
      <c r="M631" s="163"/>
      <c r="N631" s="163"/>
    </row>
    <row r="632" spans="2:14" x14ac:dyDescent="0.25">
      <c r="B632" s="163"/>
      <c r="C632" s="163"/>
      <c r="D632" s="163"/>
      <c r="E632" s="163"/>
      <c r="F632" s="163"/>
      <c r="G632" s="163"/>
      <c r="H632" s="163"/>
      <c r="I632" s="163"/>
      <c r="J632" s="163"/>
      <c r="K632" s="163"/>
      <c r="L632" s="163"/>
      <c r="M632" s="163"/>
      <c r="N632" s="163"/>
    </row>
    <row r="633" spans="2:14" x14ac:dyDescent="0.25">
      <c r="B633" s="163"/>
      <c r="C633" s="163"/>
      <c r="D633" s="163"/>
      <c r="E633" s="163"/>
      <c r="F633" s="163"/>
      <c r="G633" s="163"/>
      <c r="H633" s="163"/>
      <c r="I633" s="163"/>
      <c r="J633" s="163"/>
      <c r="K633" s="163"/>
      <c r="L633" s="163"/>
      <c r="M633" s="163"/>
      <c r="N633" s="163"/>
    </row>
    <row r="634" spans="2:14" x14ac:dyDescent="0.25">
      <c r="B634" s="163"/>
      <c r="C634" s="163"/>
      <c r="D634" s="163"/>
      <c r="E634" s="163"/>
      <c r="F634" s="163"/>
      <c r="G634" s="163"/>
      <c r="H634" s="163"/>
      <c r="I634" s="163"/>
      <c r="J634" s="163"/>
      <c r="K634" s="163"/>
      <c r="L634" s="163"/>
      <c r="M634" s="163"/>
      <c r="N634" s="163"/>
    </row>
    <row r="635" spans="2:14" x14ac:dyDescent="0.25">
      <c r="B635" s="163"/>
      <c r="C635" s="163"/>
      <c r="D635" s="163"/>
      <c r="E635" s="163"/>
      <c r="F635" s="163"/>
      <c r="G635" s="163"/>
      <c r="H635" s="163"/>
      <c r="I635" s="163"/>
      <c r="J635" s="163"/>
      <c r="K635" s="163"/>
      <c r="L635" s="163"/>
      <c r="M635" s="163"/>
      <c r="N635" s="163"/>
    </row>
    <row r="636" spans="2:14" x14ac:dyDescent="0.25">
      <c r="B636" s="163"/>
      <c r="C636" s="163"/>
      <c r="D636" s="163"/>
      <c r="E636" s="163"/>
      <c r="F636" s="163"/>
      <c r="G636" s="163"/>
      <c r="H636" s="163"/>
      <c r="I636" s="163"/>
      <c r="J636" s="163"/>
      <c r="K636" s="163"/>
      <c r="L636" s="163"/>
      <c r="M636" s="163"/>
      <c r="N636" s="163"/>
    </row>
    <row r="637" spans="2:14" x14ac:dyDescent="0.25">
      <c r="B637" s="163"/>
      <c r="C637" s="163"/>
      <c r="D637" s="163"/>
      <c r="E637" s="163"/>
      <c r="F637" s="163"/>
      <c r="G637" s="163"/>
      <c r="H637" s="163"/>
      <c r="I637" s="163"/>
      <c r="J637" s="163"/>
      <c r="K637" s="163"/>
      <c r="L637" s="163"/>
      <c r="M637" s="163"/>
      <c r="N637" s="163"/>
    </row>
    <row r="638" spans="2:14" x14ac:dyDescent="0.25">
      <c r="B638" s="163"/>
      <c r="C638" s="163"/>
      <c r="D638" s="163"/>
      <c r="E638" s="163"/>
      <c r="F638" s="163"/>
      <c r="G638" s="163"/>
      <c r="H638" s="163"/>
      <c r="I638" s="163"/>
      <c r="J638" s="163"/>
      <c r="K638" s="163"/>
      <c r="L638" s="163"/>
      <c r="M638" s="163"/>
      <c r="N638" s="163"/>
    </row>
    <row r="639" spans="2:14" x14ac:dyDescent="0.25">
      <c r="B639" s="163"/>
      <c r="C639" s="163"/>
      <c r="D639" s="163"/>
      <c r="E639" s="163"/>
      <c r="F639" s="163"/>
      <c r="G639" s="163"/>
      <c r="H639" s="163"/>
      <c r="I639" s="163"/>
      <c r="J639" s="163"/>
      <c r="K639" s="163"/>
      <c r="L639" s="163"/>
      <c r="M639" s="163"/>
      <c r="N639" s="163"/>
    </row>
    <row r="640" spans="2:14" x14ac:dyDescent="0.25">
      <c r="B640" s="163"/>
      <c r="C640" s="163"/>
      <c r="D640" s="163"/>
      <c r="E640" s="163"/>
      <c r="F640" s="163"/>
      <c r="G640" s="163"/>
      <c r="H640" s="163"/>
      <c r="I640" s="163"/>
      <c r="J640" s="163"/>
      <c r="K640" s="163"/>
      <c r="L640" s="163"/>
      <c r="M640" s="163"/>
      <c r="N640" s="163"/>
    </row>
    <row r="641" spans="2:14" x14ac:dyDescent="0.25">
      <c r="B641" s="163"/>
      <c r="C641" s="163"/>
      <c r="D641" s="163"/>
      <c r="E641" s="163"/>
      <c r="F641" s="163"/>
      <c r="G641" s="163"/>
      <c r="H641" s="163"/>
      <c r="I641" s="163"/>
      <c r="J641" s="163"/>
      <c r="K641" s="163"/>
      <c r="L641" s="163"/>
      <c r="M641" s="163"/>
      <c r="N641" s="163"/>
    </row>
    <row r="642" spans="2:14" x14ac:dyDescent="0.25">
      <c r="B642" s="163"/>
      <c r="C642" s="163"/>
      <c r="D642" s="163"/>
      <c r="E642" s="163"/>
      <c r="F642" s="163"/>
      <c r="G642" s="163"/>
      <c r="H642" s="163"/>
      <c r="I642" s="163"/>
      <c r="J642" s="163"/>
      <c r="K642" s="163"/>
      <c r="L642" s="163"/>
      <c r="M642" s="163"/>
      <c r="N642" s="163"/>
    </row>
    <row r="643" spans="2:14" x14ac:dyDescent="0.25">
      <c r="B643" s="163"/>
      <c r="C643" s="163"/>
      <c r="D643" s="163"/>
      <c r="E643" s="163"/>
      <c r="F643" s="163"/>
      <c r="G643" s="163"/>
      <c r="H643" s="163"/>
      <c r="I643" s="163"/>
      <c r="J643" s="163"/>
      <c r="K643" s="163"/>
      <c r="L643" s="163"/>
      <c r="M643" s="163"/>
      <c r="N643" s="163"/>
    </row>
    <row r="644" spans="2:14" x14ac:dyDescent="0.25">
      <c r="B644" s="163"/>
      <c r="C644" s="163"/>
      <c r="D644" s="163"/>
      <c r="E644" s="163"/>
      <c r="F644" s="163"/>
      <c r="G644" s="163"/>
      <c r="H644" s="163"/>
      <c r="I644" s="163"/>
      <c r="J644" s="163"/>
      <c r="K644" s="163"/>
      <c r="L644" s="163"/>
      <c r="M644" s="163"/>
      <c r="N644" s="163"/>
    </row>
    <row r="645" spans="2:14" x14ac:dyDescent="0.25">
      <c r="B645" s="163"/>
      <c r="C645" s="163"/>
      <c r="D645" s="163"/>
      <c r="E645" s="163"/>
      <c r="F645" s="163"/>
      <c r="G645" s="163"/>
      <c r="H645" s="163"/>
      <c r="I645" s="163"/>
      <c r="J645" s="163"/>
      <c r="K645" s="163"/>
      <c r="L645" s="163"/>
      <c r="M645" s="163"/>
      <c r="N645" s="163"/>
    </row>
    <row r="646" spans="2:14" x14ac:dyDescent="0.25">
      <c r="B646" s="163"/>
      <c r="C646" s="163"/>
      <c r="D646" s="163"/>
      <c r="E646" s="163"/>
      <c r="F646" s="163"/>
      <c r="G646" s="163"/>
      <c r="H646" s="163"/>
      <c r="I646" s="163"/>
      <c r="J646" s="163"/>
      <c r="K646" s="163"/>
      <c r="L646" s="163"/>
      <c r="M646" s="163"/>
      <c r="N646" s="163"/>
    </row>
    <row r="647" spans="2:14" x14ac:dyDescent="0.25">
      <c r="B647" s="163"/>
      <c r="C647" s="163"/>
      <c r="D647" s="163"/>
      <c r="E647" s="163"/>
      <c r="F647" s="163"/>
      <c r="G647" s="163"/>
      <c r="H647" s="163"/>
      <c r="I647" s="163"/>
      <c r="J647" s="163"/>
      <c r="K647" s="163"/>
      <c r="L647" s="163"/>
      <c r="M647" s="163"/>
      <c r="N647" s="163"/>
    </row>
    <row r="648" spans="2:14" x14ac:dyDescent="0.25">
      <c r="B648" s="163"/>
      <c r="C648" s="163"/>
      <c r="D648" s="163"/>
      <c r="E648" s="163"/>
      <c r="F648" s="163"/>
      <c r="G648" s="163"/>
      <c r="H648" s="163"/>
      <c r="I648" s="163"/>
      <c r="J648" s="163"/>
      <c r="K648" s="163"/>
      <c r="L648" s="163"/>
      <c r="M648" s="163"/>
      <c r="N648" s="163"/>
    </row>
    <row r="649" spans="2:14" x14ac:dyDescent="0.25">
      <c r="B649" s="163"/>
      <c r="C649" s="163"/>
      <c r="D649" s="163"/>
      <c r="E649" s="163"/>
      <c r="F649" s="163"/>
      <c r="G649" s="163"/>
      <c r="H649" s="163"/>
      <c r="I649" s="163"/>
      <c r="J649" s="163"/>
      <c r="K649" s="163"/>
      <c r="L649" s="163"/>
      <c r="M649" s="163"/>
      <c r="N649" s="163"/>
    </row>
    <row r="650" spans="2:14" x14ac:dyDescent="0.25">
      <c r="B650" s="163"/>
      <c r="C650" s="163"/>
      <c r="D650" s="163"/>
      <c r="E650" s="163"/>
      <c r="F650" s="163"/>
      <c r="G650" s="163"/>
      <c r="H650" s="163"/>
      <c r="I650" s="163"/>
      <c r="J650" s="163"/>
      <c r="K650" s="163"/>
      <c r="L650" s="163"/>
      <c r="M650" s="163"/>
      <c r="N650" s="163"/>
    </row>
    <row r="651" spans="2:14" x14ac:dyDescent="0.25">
      <c r="B651" s="163"/>
      <c r="C651" s="163"/>
      <c r="D651" s="163"/>
      <c r="E651" s="163"/>
      <c r="F651" s="163"/>
      <c r="G651" s="163"/>
      <c r="H651" s="163"/>
      <c r="I651" s="163"/>
      <c r="J651" s="163"/>
      <c r="K651" s="163"/>
      <c r="L651" s="163"/>
      <c r="M651" s="163"/>
      <c r="N651" s="163"/>
    </row>
    <row r="652" spans="2:14" x14ac:dyDescent="0.25">
      <c r="B652" s="163"/>
      <c r="C652" s="163"/>
      <c r="D652" s="163"/>
      <c r="E652" s="163"/>
      <c r="F652" s="163"/>
      <c r="G652" s="163"/>
      <c r="H652" s="163"/>
      <c r="I652" s="163"/>
      <c r="J652" s="163"/>
      <c r="K652" s="163"/>
      <c r="L652" s="163"/>
      <c r="M652" s="163"/>
      <c r="N652" s="163"/>
    </row>
    <row r="653" spans="2:14" x14ac:dyDescent="0.25">
      <c r="B653" s="163"/>
      <c r="C653" s="163"/>
      <c r="D653" s="163"/>
      <c r="E653" s="163"/>
      <c r="F653" s="163"/>
      <c r="G653" s="163"/>
      <c r="H653" s="163"/>
      <c r="I653" s="163"/>
      <c r="J653" s="163"/>
      <c r="K653" s="163"/>
      <c r="L653" s="163"/>
      <c r="M653" s="163"/>
      <c r="N653" s="163"/>
    </row>
    <row r="654" spans="2:14" x14ac:dyDescent="0.25">
      <c r="B654" s="163"/>
      <c r="C654" s="163"/>
      <c r="D654" s="163"/>
      <c r="E654" s="163"/>
      <c r="F654" s="163"/>
      <c r="G654" s="163"/>
      <c r="H654" s="163"/>
      <c r="I654" s="163"/>
      <c r="J654" s="163"/>
      <c r="K654" s="163"/>
      <c r="L654" s="163"/>
      <c r="M654" s="163"/>
      <c r="N654" s="163"/>
    </row>
    <row r="655" spans="2:14" x14ac:dyDescent="0.25">
      <c r="B655" s="163"/>
      <c r="C655" s="163"/>
      <c r="D655" s="163"/>
      <c r="E655" s="163"/>
      <c r="F655" s="163"/>
      <c r="G655" s="163"/>
      <c r="H655" s="163"/>
      <c r="I655" s="163"/>
      <c r="J655" s="163"/>
      <c r="K655" s="163"/>
      <c r="L655" s="163"/>
      <c r="M655" s="163"/>
      <c r="N655" s="163"/>
    </row>
    <row r="656" spans="2:14" x14ac:dyDescent="0.25">
      <c r="B656" s="163"/>
      <c r="C656" s="163"/>
      <c r="D656" s="163"/>
      <c r="E656" s="163"/>
      <c r="F656" s="163"/>
      <c r="G656" s="163"/>
      <c r="H656" s="163"/>
      <c r="I656" s="163"/>
      <c r="J656" s="163"/>
      <c r="K656" s="163"/>
      <c r="L656" s="163"/>
      <c r="M656" s="163"/>
      <c r="N656" s="163"/>
    </row>
    <row r="657" spans="2:14" x14ac:dyDescent="0.25">
      <c r="B657" s="163"/>
      <c r="C657" s="163"/>
      <c r="D657" s="163"/>
      <c r="E657" s="163"/>
      <c r="F657" s="163"/>
      <c r="G657" s="163"/>
      <c r="H657" s="163"/>
      <c r="I657" s="163"/>
      <c r="J657" s="163"/>
      <c r="K657" s="163"/>
      <c r="L657" s="163"/>
      <c r="M657" s="163"/>
      <c r="N657" s="163"/>
    </row>
    <row r="658" spans="2:14" x14ac:dyDescent="0.25">
      <c r="B658" s="163"/>
      <c r="C658" s="163"/>
      <c r="D658" s="163"/>
      <c r="E658" s="163"/>
      <c r="F658" s="163"/>
      <c r="G658" s="163"/>
      <c r="H658" s="163"/>
      <c r="I658" s="163"/>
      <c r="J658" s="163"/>
      <c r="K658" s="163"/>
      <c r="L658" s="163"/>
      <c r="M658" s="163"/>
      <c r="N658" s="163"/>
    </row>
    <row r="659" spans="2:14" x14ac:dyDescent="0.25">
      <c r="B659" s="163"/>
      <c r="C659" s="163"/>
      <c r="D659" s="163"/>
      <c r="E659" s="163"/>
      <c r="F659" s="163"/>
      <c r="G659" s="163"/>
      <c r="H659" s="163"/>
      <c r="I659" s="163"/>
      <c r="J659" s="163"/>
      <c r="K659" s="163"/>
      <c r="L659" s="163"/>
      <c r="M659" s="163"/>
      <c r="N659" s="163"/>
    </row>
    <row r="660" spans="2:14" x14ac:dyDescent="0.25">
      <c r="B660" s="163"/>
      <c r="C660" s="163"/>
      <c r="D660" s="163"/>
      <c r="E660" s="163"/>
      <c r="F660" s="163"/>
      <c r="G660" s="163"/>
      <c r="H660" s="163"/>
      <c r="I660" s="163"/>
      <c r="J660" s="163"/>
      <c r="K660" s="163"/>
      <c r="L660" s="163"/>
      <c r="M660" s="163"/>
      <c r="N660" s="163"/>
    </row>
    <row r="661" spans="2:14" x14ac:dyDescent="0.25">
      <c r="B661" s="163"/>
      <c r="C661" s="163"/>
      <c r="D661" s="163"/>
      <c r="E661" s="163"/>
      <c r="F661" s="163"/>
      <c r="G661" s="163"/>
      <c r="H661" s="163"/>
      <c r="I661" s="163"/>
      <c r="J661" s="163"/>
      <c r="K661" s="163"/>
      <c r="L661" s="163"/>
      <c r="M661" s="163"/>
      <c r="N661" s="163"/>
    </row>
    <row r="662" spans="2:14" x14ac:dyDescent="0.25">
      <c r="B662" s="163"/>
      <c r="C662" s="163"/>
      <c r="D662" s="163"/>
      <c r="E662" s="163"/>
      <c r="F662" s="163"/>
      <c r="G662" s="163"/>
      <c r="H662" s="163"/>
      <c r="I662" s="163"/>
      <c r="J662" s="163"/>
      <c r="K662" s="163"/>
      <c r="L662" s="163"/>
      <c r="M662" s="163"/>
      <c r="N662" s="163"/>
    </row>
    <row r="663" spans="2:14" x14ac:dyDescent="0.25">
      <c r="B663" s="163"/>
      <c r="C663" s="163"/>
      <c r="D663" s="163"/>
      <c r="E663" s="163"/>
      <c r="F663" s="163"/>
      <c r="G663" s="163"/>
      <c r="H663" s="163"/>
      <c r="I663" s="163"/>
      <c r="J663" s="163"/>
      <c r="K663" s="163"/>
      <c r="L663" s="163"/>
      <c r="M663" s="163"/>
      <c r="N663" s="163"/>
    </row>
    <row r="664" spans="2:14" x14ac:dyDescent="0.25">
      <c r="B664" s="163"/>
      <c r="C664" s="163"/>
      <c r="D664" s="163"/>
      <c r="E664" s="163"/>
      <c r="F664" s="163"/>
      <c r="G664" s="163"/>
      <c r="H664" s="163"/>
      <c r="I664" s="163"/>
      <c r="J664" s="163"/>
      <c r="K664" s="163"/>
      <c r="L664" s="163"/>
      <c r="M664" s="163"/>
      <c r="N664" s="163"/>
    </row>
    <row r="665" spans="2:14" x14ac:dyDescent="0.25">
      <c r="B665" s="163"/>
      <c r="C665" s="163"/>
      <c r="D665" s="163"/>
      <c r="E665" s="163"/>
      <c r="F665" s="163"/>
      <c r="G665" s="163"/>
      <c r="H665" s="163"/>
      <c r="I665" s="163"/>
      <c r="J665" s="163"/>
      <c r="K665" s="163"/>
      <c r="L665" s="163"/>
      <c r="M665" s="163"/>
      <c r="N665" s="163"/>
    </row>
    <row r="666" spans="2:14" x14ac:dyDescent="0.25">
      <c r="B666" s="163"/>
      <c r="C666" s="163"/>
      <c r="D666" s="163"/>
      <c r="E666" s="163"/>
      <c r="F666" s="163"/>
      <c r="G666" s="163"/>
      <c r="H666" s="163"/>
      <c r="I666" s="163"/>
      <c r="J666" s="163"/>
      <c r="K666" s="163"/>
      <c r="L666" s="163"/>
      <c r="M666" s="163"/>
      <c r="N666" s="163"/>
    </row>
    <row r="667" spans="2:14" x14ac:dyDescent="0.25">
      <c r="B667" s="163"/>
      <c r="C667" s="163"/>
      <c r="D667" s="163"/>
      <c r="E667" s="163"/>
      <c r="F667" s="163"/>
      <c r="G667" s="163"/>
      <c r="H667" s="163"/>
      <c r="I667" s="163"/>
      <c r="J667" s="163"/>
      <c r="K667" s="163"/>
      <c r="L667" s="163"/>
      <c r="M667" s="163"/>
      <c r="N667" s="163"/>
    </row>
    <row r="668" spans="2:14" x14ac:dyDescent="0.25">
      <c r="B668" s="163"/>
      <c r="C668" s="163"/>
      <c r="D668" s="163"/>
      <c r="E668" s="163"/>
      <c r="F668" s="163"/>
      <c r="G668" s="163"/>
      <c r="H668" s="163"/>
      <c r="I668" s="163"/>
      <c r="J668" s="163"/>
      <c r="K668" s="163"/>
      <c r="L668" s="163"/>
      <c r="M668" s="163"/>
      <c r="N668" s="163"/>
    </row>
    <row r="669" spans="2:14" x14ac:dyDescent="0.25">
      <c r="B669" s="163"/>
      <c r="C669" s="163"/>
      <c r="D669" s="163"/>
      <c r="E669" s="163"/>
      <c r="F669" s="163"/>
      <c r="G669" s="163"/>
      <c r="H669" s="163"/>
      <c r="I669" s="163"/>
      <c r="J669" s="163"/>
      <c r="K669" s="163"/>
      <c r="L669" s="163"/>
      <c r="M669" s="163"/>
      <c r="N669" s="163"/>
    </row>
    <row r="670" spans="2:14" x14ac:dyDescent="0.25">
      <c r="B670" s="163"/>
      <c r="C670" s="163"/>
      <c r="D670" s="163"/>
      <c r="E670" s="163"/>
      <c r="F670" s="163"/>
      <c r="G670" s="163"/>
      <c r="H670" s="163"/>
      <c r="I670" s="163"/>
      <c r="J670" s="163"/>
      <c r="K670" s="163"/>
      <c r="L670" s="163"/>
      <c r="M670" s="163"/>
      <c r="N670" s="163"/>
    </row>
    <row r="671" spans="2:14" x14ac:dyDescent="0.25">
      <c r="B671" s="163"/>
      <c r="C671" s="163"/>
      <c r="D671" s="163"/>
      <c r="E671" s="163"/>
      <c r="F671" s="163"/>
      <c r="G671" s="163"/>
      <c r="H671" s="163"/>
      <c r="I671" s="163"/>
      <c r="J671" s="163"/>
      <c r="K671" s="163"/>
      <c r="L671" s="163"/>
      <c r="M671" s="163"/>
      <c r="N671" s="163"/>
    </row>
    <row r="672" spans="2:14" x14ac:dyDescent="0.25">
      <c r="B672" s="163"/>
      <c r="C672" s="163"/>
      <c r="D672" s="163"/>
      <c r="E672" s="163"/>
      <c r="F672" s="163"/>
      <c r="G672" s="163"/>
      <c r="H672" s="163"/>
      <c r="I672" s="163"/>
      <c r="J672" s="163"/>
      <c r="K672" s="163"/>
      <c r="L672" s="163"/>
      <c r="M672" s="163"/>
      <c r="N672" s="163"/>
    </row>
    <row r="673" spans="2:14" x14ac:dyDescent="0.25">
      <c r="B673" s="163"/>
      <c r="C673" s="163"/>
      <c r="D673" s="163"/>
      <c r="E673" s="163"/>
      <c r="F673" s="163"/>
      <c r="G673" s="163"/>
      <c r="H673" s="163"/>
      <c r="I673" s="163"/>
      <c r="J673" s="163"/>
      <c r="K673" s="163"/>
      <c r="L673" s="163"/>
      <c r="M673" s="163"/>
      <c r="N673" s="163"/>
    </row>
    <row r="674" spans="2:14" x14ac:dyDescent="0.25">
      <c r="B674" s="163"/>
      <c r="C674" s="163"/>
      <c r="D674" s="163"/>
      <c r="E674" s="163"/>
      <c r="F674" s="163"/>
      <c r="G674" s="163"/>
      <c r="H674" s="163"/>
      <c r="I674" s="163"/>
      <c r="J674" s="163"/>
      <c r="K674" s="163"/>
      <c r="L674" s="163"/>
      <c r="M674" s="163"/>
      <c r="N674" s="163"/>
    </row>
    <row r="675" spans="2:14" x14ac:dyDescent="0.25">
      <c r="B675" s="163"/>
      <c r="C675" s="163"/>
      <c r="D675" s="163"/>
      <c r="E675" s="163"/>
      <c r="F675" s="163"/>
      <c r="G675" s="163"/>
      <c r="H675" s="163"/>
      <c r="I675" s="163"/>
      <c r="J675" s="163"/>
      <c r="K675" s="163"/>
      <c r="L675" s="163"/>
      <c r="M675" s="163"/>
      <c r="N675" s="163"/>
    </row>
    <row r="676" spans="2:14" x14ac:dyDescent="0.25">
      <c r="B676" s="163"/>
      <c r="C676" s="163"/>
      <c r="D676" s="163"/>
      <c r="E676" s="163"/>
      <c r="F676" s="163"/>
      <c r="G676" s="163"/>
      <c r="H676" s="163"/>
      <c r="I676" s="163"/>
      <c r="J676" s="163"/>
      <c r="K676" s="163"/>
      <c r="L676" s="163"/>
      <c r="M676" s="163"/>
      <c r="N676" s="163"/>
    </row>
    <row r="677" spans="2:14" x14ac:dyDescent="0.25">
      <c r="B677" s="163"/>
      <c r="C677" s="163"/>
      <c r="D677" s="163"/>
      <c r="E677" s="163"/>
      <c r="F677" s="163"/>
      <c r="G677" s="163"/>
      <c r="H677" s="163"/>
      <c r="I677" s="163"/>
      <c r="J677" s="163"/>
      <c r="K677" s="163"/>
      <c r="L677" s="163"/>
      <c r="M677" s="163"/>
      <c r="N677" s="163"/>
    </row>
    <row r="678" spans="2:14" x14ac:dyDescent="0.25">
      <c r="B678" s="163"/>
      <c r="C678" s="163"/>
      <c r="D678" s="163"/>
      <c r="E678" s="163"/>
      <c r="F678" s="163"/>
      <c r="G678" s="163"/>
      <c r="H678" s="163"/>
      <c r="I678" s="163"/>
      <c r="J678" s="163"/>
      <c r="K678" s="163"/>
      <c r="L678" s="163"/>
      <c r="M678" s="163"/>
      <c r="N678" s="163"/>
    </row>
    <row r="679" spans="2:14" x14ac:dyDescent="0.25">
      <c r="B679" s="163"/>
      <c r="C679" s="163"/>
      <c r="D679" s="163"/>
      <c r="E679" s="163"/>
      <c r="F679" s="163"/>
      <c r="G679" s="163"/>
      <c r="H679" s="163"/>
      <c r="I679" s="163"/>
      <c r="J679" s="163"/>
      <c r="K679" s="163"/>
      <c r="L679" s="163"/>
      <c r="M679" s="163"/>
      <c r="N679" s="163"/>
    </row>
    <row r="680" spans="2:14" x14ac:dyDescent="0.25">
      <c r="B680" s="163"/>
      <c r="C680" s="163"/>
      <c r="D680" s="163"/>
      <c r="E680" s="163"/>
      <c r="F680" s="163"/>
      <c r="G680" s="163"/>
      <c r="H680" s="163"/>
      <c r="I680" s="163"/>
      <c r="J680" s="163"/>
      <c r="K680" s="163"/>
      <c r="L680" s="163"/>
      <c r="M680" s="163"/>
      <c r="N680" s="163"/>
    </row>
    <row r="681" spans="2:14" x14ac:dyDescent="0.25">
      <c r="B681" s="163"/>
      <c r="C681" s="163"/>
      <c r="D681" s="163"/>
      <c r="E681" s="163"/>
      <c r="F681" s="163"/>
      <c r="G681" s="163"/>
      <c r="H681" s="163"/>
      <c r="I681" s="163"/>
      <c r="J681" s="163"/>
      <c r="K681" s="163"/>
      <c r="L681" s="163"/>
      <c r="M681" s="163"/>
      <c r="N681" s="163"/>
    </row>
    <row r="682" spans="2:14" x14ac:dyDescent="0.25">
      <c r="B682" s="163"/>
      <c r="C682" s="163"/>
      <c r="D682" s="163"/>
      <c r="E682" s="163"/>
      <c r="F682" s="163"/>
      <c r="G682" s="163"/>
      <c r="H682" s="163"/>
      <c r="I682" s="163"/>
      <c r="J682" s="163"/>
      <c r="K682" s="163"/>
      <c r="L682" s="163"/>
      <c r="M682" s="163"/>
      <c r="N682" s="163"/>
    </row>
    <row r="683" spans="2:14" x14ac:dyDescent="0.25">
      <c r="B683" s="163"/>
      <c r="C683" s="163"/>
      <c r="D683" s="163"/>
      <c r="E683" s="163"/>
      <c r="F683" s="163"/>
      <c r="G683" s="163"/>
      <c r="H683" s="163"/>
      <c r="I683" s="163"/>
      <c r="J683" s="163"/>
      <c r="K683" s="163"/>
      <c r="L683" s="163"/>
      <c r="M683" s="163"/>
      <c r="N683" s="163"/>
    </row>
    <row r="684" spans="2:14" x14ac:dyDescent="0.25">
      <c r="B684" s="163"/>
      <c r="C684" s="163"/>
      <c r="D684" s="163"/>
      <c r="E684" s="163"/>
      <c r="F684" s="163"/>
      <c r="G684" s="163"/>
      <c r="H684" s="163"/>
      <c r="I684" s="163"/>
      <c r="J684" s="163"/>
      <c r="K684" s="163"/>
      <c r="L684" s="163"/>
      <c r="M684" s="163"/>
      <c r="N684" s="163"/>
    </row>
    <row r="685" spans="2:14" x14ac:dyDescent="0.25">
      <c r="B685" s="163"/>
      <c r="C685" s="163"/>
      <c r="D685" s="163"/>
      <c r="E685" s="163"/>
      <c r="F685" s="163"/>
      <c r="G685" s="163"/>
      <c r="H685" s="163"/>
      <c r="I685" s="163"/>
      <c r="J685" s="163"/>
      <c r="K685" s="163"/>
      <c r="L685" s="163"/>
      <c r="M685" s="163"/>
      <c r="N685" s="163"/>
    </row>
    <row r="686" spans="2:14" x14ac:dyDescent="0.25">
      <c r="B686" s="163"/>
      <c r="C686" s="163"/>
      <c r="D686" s="163"/>
      <c r="E686" s="163"/>
      <c r="F686" s="163"/>
      <c r="G686" s="163"/>
      <c r="H686" s="163"/>
      <c r="I686" s="163"/>
      <c r="J686" s="163"/>
      <c r="K686" s="163"/>
      <c r="L686" s="163"/>
      <c r="M686" s="163"/>
      <c r="N686" s="163"/>
    </row>
    <row r="687" spans="2:14" x14ac:dyDescent="0.25">
      <c r="B687" s="163"/>
      <c r="C687" s="163"/>
      <c r="D687" s="163"/>
      <c r="E687" s="163"/>
      <c r="F687" s="163"/>
      <c r="G687" s="163"/>
      <c r="H687" s="163"/>
      <c r="I687" s="163"/>
      <c r="J687" s="163"/>
      <c r="K687" s="163"/>
      <c r="L687" s="163"/>
      <c r="M687" s="163"/>
      <c r="N687" s="163"/>
    </row>
    <row r="688" spans="2:14" x14ac:dyDescent="0.25">
      <c r="B688" s="163"/>
      <c r="C688" s="163"/>
      <c r="D688" s="163"/>
      <c r="E688" s="163"/>
      <c r="F688" s="163"/>
      <c r="G688" s="163"/>
      <c r="H688" s="163"/>
      <c r="I688" s="163"/>
      <c r="J688" s="163"/>
      <c r="K688" s="163"/>
      <c r="L688" s="163"/>
      <c r="M688" s="163"/>
      <c r="N688" s="163"/>
    </row>
    <row r="689" spans="2:14" x14ac:dyDescent="0.25">
      <c r="B689" s="163"/>
      <c r="C689" s="163"/>
      <c r="D689" s="163"/>
      <c r="E689" s="163"/>
      <c r="F689" s="163"/>
      <c r="G689" s="163"/>
      <c r="H689" s="163"/>
      <c r="I689" s="163"/>
      <c r="J689" s="163"/>
      <c r="K689" s="163"/>
      <c r="L689" s="163"/>
      <c r="M689" s="163"/>
      <c r="N689" s="163"/>
    </row>
    <row r="690" spans="2:14" x14ac:dyDescent="0.25">
      <c r="B690" s="163"/>
      <c r="C690" s="163"/>
      <c r="D690" s="163"/>
      <c r="E690" s="163"/>
      <c r="F690" s="163"/>
      <c r="G690" s="163"/>
      <c r="H690" s="163"/>
      <c r="I690" s="163"/>
      <c r="J690" s="163"/>
      <c r="K690" s="163"/>
      <c r="L690" s="163"/>
      <c r="M690" s="163"/>
      <c r="N690" s="163"/>
    </row>
    <row r="691" spans="2:14" x14ac:dyDescent="0.25">
      <c r="B691" s="163"/>
      <c r="C691" s="163"/>
      <c r="D691" s="163"/>
      <c r="E691" s="163"/>
      <c r="F691" s="163"/>
      <c r="G691" s="163"/>
      <c r="H691" s="163"/>
      <c r="I691" s="163"/>
      <c r="J691" s="163"/>
      <c r="K691" s="163"/>
      <c r="L691" s="163"/>
      <c r="M691" s="163"/>
      <c r="N691" s="163"/>
    </row>
    <row r="692" spans="2:14" x14ac:dyDescent="0.25">
      <c r="B692" s="163"/>
      <c r="C692" s="163"/>
      <c r="D692" s="163"/>
      <c r="E692" s="163"/>
      <c r="F692" s="163"/>
      <c r="G692" s="163"/>
      <c r="H692" s="163"/>
      <c r="I692" s="163"/>
      <c r="J692" s="163"/>
      <c r="K692" s="163"/>
      <c r="L692" s="163"/>
      <c r="M692" s="163"/>
      <c r="N692" s="163"/>
    </row>
    <row r="693" spans="2:14" x14ac:dyDescent="0.25">
      <c r="B693" s="163"/>
      <c r="C693" s="163"/>
      <c r="D693" s="163"/>
      <c r="E693" s="163"/>
      <c r="F693" s="163"/>
      <c r="G693" s="163"/>
      <c r="H693" s="163"/>
      <c r="I693" s="163"/>
      <c r="J693" s="163"/>
      <c r="K693" s="163"/>
      <c r="L693" s="163"/>
      <c r="M693" s="163"/>
      <c r="N693" s="163"/>
    </row>
    <row r="694" spans="2:14" x14ac:dyDescent="0.25">
      <c r="B694" s="163"/>
      <c r="C694" s="163"/>
      <c r="D694" s="163"/>
      <c r="E694" s="163"/>
      <c r="F694" s="163"/>
      <c r="G694" s="163"/>
      <c r="H694" s="163"/>
      <c r="I694" s="163"/>
      <c r="J694" s="163"/>
      <c r="K694" s="163"/>
      <c r="L694" s="163"/>
      <c r="M694" s="163"/>
      <c r="N694" s="163"/>
    </row>
    <row r="695" spans="2:14" x14ac:dyDescent="0.25">
      <c r="B695" s="163"/>
      <c r="C695" s="163"/>
      <c r="D695" s="163"/>
      <c r="E695" s="163"/>
      <c r="F695" s="163"/>
      <c r="G695" s="163"/>
      <c r="H695" s="163"/>
      <c r="I695" s="163"/>
      <c r="J695" s="163"/>
      <c r="K695" s="163"/>
      <c r="L695" s="163"/>
      <c r="M695" s="163"/>
      <c r="N695" s="163"/>
    </row>
    <row r="696" spans="2:14" x14ac:dyDescent="0.25">
      <c r="B696" s="163"/>
      <c r="C696" s="163"/>
      <c r="D696" s="163"/>
      <c r="E696" s="163"/>
      <c r="F696" s="163"/>
      <c r="G696" s="163"/>
      <c r="H696" s="163"/>
      <c r="I696" s="163"/>
      <c r="J696" s="163"/>
      <c r="K696" s="163"/>
      <c r="L696" s="163"/>
      <c r="M696" s="163"/>
      <c r="N696" s="163"/>
    </row>
    <row r="697" spans="2:14" x14ac:dyDescent="0.25">
      <c r="B697" s="163"/>
      <c r="C697" s="163"/>
      <c r="D697" s="163"/>
      <c r="E697" s="163"/>
      <c r="F697" s="163"/>
      <c r="G697" s="163"/>
      <c r="H697" s="163"/>
      <c r="I697" s="163"/>
      <c r="J697" s="163"/>
      <c r="K697" s="163"/>
      <c r="L697" s="163"/>
      <c r="M697" s="163"/>
      <c r="N697" s="163"/>
    </row>
    <row r="698" spans="2:14" x14ac:dyDescent="0.25">
      <c r="B698" s="163"/>
      <c r="C698" s="163"/>
      <c r="D698" s="163"/>
      <c r="E698" s="163"/>
      <c r="F698" s="163"/>
      <c r="G698" s="163"/>
      <c r="H698" s="163"/>
      <c r="I698" s="163"/>
      <c r="J698" s="163"/>
      <c r="K698" s="163"/>
      <c r="L698" s="163"/>
      <c r="M698" s="163"/>
      <c r="N698" s="163"/>
    </row>
    <row r="699" spans="2:14" x14ac:dyDescent="0.25">
      <c r="B699" s="163"/>
      <c r="C699" s="163"/>
      <c r="D699" s="163"/>
      <c r="E699" s="163"/>
      <c r="F699" s="163"/>
      <c r="G699" s="163"/>
      <c r="H699" s="163"/>
      <c r="I699" s="163"/>
      <c r="J699" s="163"/>
      <c r="K699" s="163"/>
      <c r="L699" s="163"/>
      <c r="M699" s="163"/>
      <c r="N699" s="163"/>
    </row>
    <row r="700" spans="2:14" x14ac:dyDescent="0.25">
      <c r="B700" s="163"/>
      <c r="C700" s="163"/>
      <c r="D700" s="163"/>
      <c r="E700" s="163"/>
      <c r="F700" s="163"/>
      <c r="G700" s="163"/>
      <c r="H700" s="163"/>
      <c r="I700" s="163"/>
      <c r="J700" s="163"/>
      <c r="K700" s="163"/>
      <c r="L700" s="163"/>
      <c r="M700" s="163"/>
      <c r="N700" s="163"/>
    </row>
    <row r="701" spans="2:14" x14ac:dyDescent="0.25">
      <c r="B701" s="163"/>
      <c r="C701" s="163"/>
      <c r="D701" s="163"/>
      <c r="E701" s="163"/>
      <c r="F701" s="163"/>
      <c r="G701" s="163"/>
      <c r="H701" s="163"/>
      <c r="I701" s="163"/>
      <c r="J701" s="163"/>
      <c r="K701" s="163"/>
      <c r="L701" s="163"/>
      <c r="M701" s="163"/>
      <c r="N701" s="163"/>
    </row>
    <row r="702" spans="2:14" x14ac:dyDescent="0.25">
      <c r="B702" s="163"/>
      <c r="C702" s="163"/>
      <c r="D702" s="163"/>
      <c r="E702" s="163"/>
      <c r="F702" s="163"/>
      <c r="G702" s="163"/>
      <c r="H702" s="163"/>
      <c r="I702" s="163"/>
      <c r="J702" s="163"/>
      <c r="K702" s="163"/>
      <c r="L702" s="163"/>
      <c r="M702" s="163"/>
      <c r="N702" s="163"/>
    </row>
    <row r="703" spans="2:14" x14ac:dyDescent="0.25">
      <c r="B703" s="163"/>
      <c r="C703" s="163"/>
      <c r="D703" s="163"/>
      <c r="E703" s="163"/>
      <c r="F703" s="163"/>
      <c r="G703" s="163"/>
      <c r="H703" s="163"/>
      <c r="I703" s="163"/>
      <c r="J703" s="163"/>
      <c r="K703" s="163"/>
      <c r="L703" s="163"/>
      <c r="M703" s="163"/>
      <c r="N703" s="163"/>
    </row>
    <row r="704" spans="2:14" x14ac:dyDescent="0.25">
      <c r="B704" s="163"/>
      <c r="C704" s="163"/>
      <c r="D704" s="163"/>
      <c r="E704" s="163"/>
      <c r="F704" s="163"/>
      <c r="G704" s="163"/>
      <c r="H704" s="163"/>
      <c r="I704" s="163"/>
      <c r="J704" s="163"/>
      <c r="K704" s="163"/>
      <c r="L704" s="163"/>
      <c r="M704" s="163"/>
      <c r="N704" s="163"/>
    </row>
    <row r="705" spans="2:14" x14ac:dyDescent="0.25">
      <c r="B705" s="163"/>
      <c r="C705" s="163"/>
      <c r="D705" s="163"/>
      <c r="E705" s="163"/>
      <c r="F705" s="163"/>
      <c r="G705" s="163"/>
      <c r="H705" s="163"/>
      <c r="I705" s="163"/>
      <c r="J705" s="163"/>
      <c r="K705" s="163"/>
      <c r="L705" s="163"/>
      <c r="M705" s="163"/>
      <c r="N705" s="163"/>
    </row>
    <row r="706" spans="2:14" x14ac:dyDescent="0.25">
      <c r="B706" s="163"/>
      <c r="C706" s="163"/>
      <c r="D706" s="163"/>
      <c r="E706" s="163"/>
      <c r="F706" s="163"/>
      <c r="G706" s="163"/>
      <c r="H706" s="163"/>
      <c r="I706" s="163"/>
      <c r="J706" s="163"/>
      <c r="K706" s="163"/>
      <c r="L706" s="163"/>
      <c r="M706" s="163"/>
      <c r="N706" s="163"/>
    </row>
    <row r="707" spans="2:14" x14ac:dyDescent="0.25">
      <c r="B707" s="163"/>
      <c r="C707" s="163"/>
      <c r="D707" s="163"/>
      <c r="E707" s="163"/>
      <c r="F707" s="163"/>
      <c r="G707" s="163"/>
      <c r="H707" s="163"/>
      <c r="I707" s="163"/>
      <c r="J707" s="163"/>
      <c r="K707" s="163"/>
      <c r="L707" s="163"/>
      <c r="M707" s="163"/>
      <c r="N707" s="163"/>
    </row>
    <row r="708" spans="2:14" x14ac:dyDescent="0.25">
      <c r="B708" s="163"/>
      <c r="C708" s="163"/>
      <c r="D708" s="163"/>
      <c r="E708" s="163"/>
      <c r="F708" s="163"/>
      <c r="G708" s="163"/>
      <c r="H708" s="163"/>
      <c r="I708" s="163"/>
      <c r="J708" s="163"/>
      <c r="K708" s="163"/>
      <c r="L708" s="163"/>
      <c r="M708" s="163"/>
      <c r="N708" s="163"/>
    </row>
    <row r="709" spans="2:14" x14ac:dyDescent="0.25">
      <c r="B709" s="163"/>
      <c r="C709" s="163"/>
      <c r="D709" s="163"/>
      <c r="E709" s="163"/>
      <c r="F709" s="163"/>
      <c r="G709" s="163"/>
      <c r="H709" s="163"/>
      <c r="I709" s="163"/>
      <c r="J709" s="163"/>
      <c r="K709" s="163"/>
      <c r="L709" s="163"/>
      <c r="M709" s="163"/>
      <c r="N709" s="163"/>
    </row>
    <row r="710" spans="2:14" x14ac:dyDescent="0.25">
      <c r="B710" s="163"/>
      <c r="C710" s="163"/>
      <c r="D710" s="163"/>
      <c r="E710" s="163"/>
      <c r="F710" s="163"/>
      <c r="G710" s="163"/>
      <c r="H710" s="163"/>
      <c r="I710" s="163"/>
      <c r="J710" s="163"/>
      <c r="K710" s="163"/>
      <c r="L710" s="163"/>
      <c r="M710" s="163"/>
      <c r="N710" s="163"/>
    </row>
    <row r="711" spans="2:14" x14ac:dyDescent="0.25">
      <c r="B711" s="163"/>
      <c r="C711" s="163"/>
      <c r="D711" s="163"/>
      <c r="E711" s="163"/>
      <c r="F711" s="163"/>
      <c r="G711" s="163"/>
      <c r="H711" s="163"/>
      <c r="I711" s="163"/>
      <c r="J711" s="163"/>
      <c r="K711" s="163"/>
      <c r="L711" s="163"/>
      <c r="M711" s="163"/>
      <c r="N711" s="163"/>
    </row>
    <row r="712" spans="2:14" x14ac:dyDescent="0.25">
      <c r="B712" s="163"/>
      <c r="C712" s="163"/>
      <c r="D712" s="163"/>
      <c r="E712" s="163"/>
      <c r="F712" s="163"/>
      <c r="G712" s="163"/>
      <c r="H712" s="163"/>
      <c r="I712" s="163"/>
      <c r="J712" s="163"/>
      <c r="K712" s="163"/>
      <c r="L712" s="163"/>
      <c r="M712" s="163"/>
      <c r="N712" s="163"/>
    </row>
    <row r="713" spans="2:14" x14ac:dyDescent="0.25">
      <c r="B713" s="163"/>
      <c r="C713" s="163"/>
      <c r="D713" s="163"/>
      <c r="E713" s="163"/>
      <c r="F713" s="163"/>
      <c r="G713" s="163"/>
      <c r="H713" s="163"/>
      <c r="I713" s="163"/>
      <c r="J713" s="163"/>
      <c r="K713" s="163"/>
      <c r="L713" s="163"/>
      <c r="M713" s="163"/>
      <c r="N713" s="163"/>
    </row>
    <row r="714" spans="2:14" x14ac:dyDescent="0.25">
      <c r="B714" s="163"/>
      <c r="C714" s="163"/>
      <c r="D714" s="163"/>
      <c r="E714" s="163"/>
      <c r="F714" s="163"/>
      <c r="G714" s="163"/>
      <c r="H714" s="163"/>
      <c r="I714" s="163"/>
      <c r="J714" s="163"/>
      <c r="K714" s="163"/>
      <c r="L714" s="163"/>
      <c r="M714" s="163"/>
      <c r="N714" s="163"/>
    </row>
    <row r="715" spans="2:14" x14ac:dyDescent="0.25">
      <c r="B715" s="163"/>
      <c r="C715" s="163"/>
      <c r="D715" s="163"/>
      <c r="E715" s="163"/>
      <c r="F715" s="163"/>
      <c r="G715" s="163"/>
      <c r="H715" s="163"/>
      <c r="I715" s="163"/>
      <c r="J715" s="163"/>
      <c r="K715" s="163"/>
      <c r="L715" s="163"/>
      <c r="M715" s="163"/>
      <c r="N715" s="163"/>
    </row>
    <row r="716" spans="2:14" x14ac:dyDescent="0.25">
      <c r="B716" s="163"/>
      <c r="C716" s="163"/>
      <c r="D716" s="163"/>
      <c r="E716" s="163"/>
      <c r="F716" s="163"/>
      <c r="G716" s="163"/>
      <c r="H716" s="163"/>
      <c r="I716" s="163"/>
      <c r="J716" s="163"/>
      <c r="K716" s="163"/>
      <c r="L716" s="163"/>
      <c r="M716" s="163"/>
      <c r="N716" s="163"/>
    </row>
    <row r="717" spans="2:14" x14ac:dyDescent="0.25">
      <c r="B717" s="163"/>
      <c r="C717" s="163"/>
      <c r="D717" s="163"/>
      <c r="E717" s="163"/>
      <c r="F717" s="163"/>
      <c r="G717" s="163"/>
      <c r="H717" s="163"/>
      <c r="I717" s="163"/>
      <c r="J717" s="163"/>
      <c r="K717" s="163"/>
      <c r="L717" s="163"/>
      <c r="M717" s="163"/>
      <c r="N717" s="163"/>
    </row>
    <row r="718" spans="2:14" x14ac:dyDescent="0.25">
      <c r="B718" s="163"/>
      <c r="C718" s="163"/>
      <c r="D718" s="163"/>
      <c r="E718" s="163"/>
      <c r="F718" s="163"/>
      <c r="G718" s="163"/>
      <c r="H718" s="163"/>
      <c r="I718" s="163"/>
      <c r="J718" s="163"/>
      <c r="K718" s="163"/>
      <c r="L718" s="163"/>
      <c r="M718" s="163"/>
      <c r="N718" s="163"/>
    </row>
    <row r="719" spans="2:14" x14ac:dyDescent="0.25">
      <c r="B719" s="163"/>
      <c r="C719" s="163"/>
      <c r="D719" s="163"/>
      <c r="E719" s="163"/>
      <c r="F719" s="163"/>
      <c r="G719" s="163"/>
      <c r="H719" s="163"/>
      <c r="I719" s="163"/>
      <c r="J719" s="163"/>
      <c r="K719" s="163"/>
      <c r="L719" s="163"/>
      <c r="M719" s="163"/>
      <c r="N719" s="163"/>
    </row>
    <row r="720" spans="2:14" x14ac:dyDescent="0.25">
      <c r="B720" s="163"/>
      <c r="C720" s="163"/>
      <c r="D720" s="163"/>
      <c r="E720" s="163"/>
      <c r="F720" s="163"/>
      <c r="G720" s="163"/>
      <c r="H720" s="163"/>
      <c r="I720" s="163"/>
      <c r="J720" s="163"/>
      <c r="K720" s="163"/>
      <c r="L720" s="163"/>
      <c r="M720" s="163"/>
      <c r="N720" s="163"/>
    </row>
    <row r="721" spans="2:14" x14ac:dyDescent="0.25">
      <c r="B721" s="163"/>
      <c r="C721" s="163"/>
      <c r="D721" s="163"/>
      <c r="E721" s="163"/>
      <c r="F721" s="163"/>
      <c r="G721" s="163"/>
      <c r="H721" s="163"/>
      <c r="I721" s="163"/>
      <c r="J721" s="163"/>
      <c r="K721" s="163"/>
      <c r="L721" s="163"/>
      <c r="M721" s="163"/>
      <c r="N721" s="163"/>
    </row>
    <row r="722" spans="2:14" x14ac:dyDescent="0.25">
      <c r="B722" s="163"/>
      <c r="C722" s="163"/>
      <c r="D722" s="163"/>
      <c r="E722" s="163"/>
      <c r="F722" s="163"/>
      <c r="G722" s="163"/>
      <c r="H722" s="163"/>
      <c r="I722" s="163"/>
      <c r="J722" s="163"/>
      <c r="K722" s="163"/>
      <c r="L722" s="163"/>
      <c r="M722" s="163"/>
      <c r="N722" s="163"/>
    </row>
    <row r="723" spans="2:14" x14ac:dyDescent="0.25">
      <c r="B723" s="163"/>
      <c r="C723" s="163"/>
      <c r="D723" s="163"/>
      <c r="E723" s="163"/>
      <c r="F723" s="163"/>
      <c r="G723" s="163"/>
      <c r="H723" s="163"/>
      <c r="I723" s="163"/>
      <c r="J723" s="163"/>
      <c r="K723" s="163"/>
      <c r="L723" s="163"/>
      <c r="M723" s="163"/>
      <c r="N723" s="163"/>
    </row>
    <row r="724" spans="2:14" x14ac:dyDescent="0.25">
      <c r="B724" s="163"/>
      <c r="C724" s="163"/>
      <c r="D724" s="163"/>
      <c r="E724" s="163"/>
      <c r="F724" s="163"/>
      <c r="G724" s="163"/>
      <c r="H724" s="163"/>
      <c r="I724" s="163"/>
      <c r="J724" s="163"/>
      <c r="K724" s="163"/>
      <c r="L724" s="163"/>
      <c r="M724" s="163"/>
      <c r="N724" s="163"/>
    </row>
    <row r="725" spans="2:14" x14ac:dyDescent="0.25">
      <c r="B725" s="163"/>
      <c r="C725" s="163"/>
      <c r="D725" s="163"/>
      <c r="E725" s="163"/>
      <c r="F725" s="163"/>
      <c r="G725" s="163"/>
      <c r="H725" s="163"/>
      <c r="I725" s="163"/>
      <c r="J725" s="163"/>
      <c r="K725" s="163"/>
      <c r="L725" s="163"/>
      <c r="M725" s="163"/>
      <c r="N725" s="163"/>
    </row>
    <row r="726" spans="2:14" x14ac:dyDescent="0.25">
      <c r="B726" s="163"/>
      <c r="C726" s="163"/>
      <c r="D726" s="163"/>
      <c r="E726" s="163"/>
      <c r="F726" s="163"/>
      <c r="G726" s="163"/>
      <c r="H726" s="163"/>
      <c r="I726" s="163"/>
      <c r="J726" s="163"/>
      <c r="K726" s="163"/>
      <c r="L726" s="163"/>
      <c r="M726" s="163"/>
      <c r="N726" s="163"/>
    </row>
    <row r="727" spans="2:14" x14ac:dyDescent="0.25">
      <c r="B727" s="163"/>
      <c r="C727" s="163"/>
      <c r="D727" s="163"/>
      <c r="E727" s="163"/>
      <c r="F727" s="163"/>
      <c r="G727" s="163"/>
      <c r="H727" s="163"/>
      <c r="I727" s="163"/>
      <c r="J727" s="163"/>
      <c r="K727" s="163"/>
      <c r="L727" s="163"/>
      <c r="M727" s="163"/>
      <c r="N727" s="163"/>
    </row>
    <row r="728" spans="2:14" x14ac:dyDescent="0.25">
      <c r="B728" s="163"/>
      <c r="C728" s="163"/>
      <c r="D728" s="163"/>
      <c r="E728" s="163"/>
      <c r="F728" s="163"/>
      <c r="G728" s="163"/>
      <c r="H728" s="163"/>
      <c r="I728" s="163"/>
      <c r="J728" s="163"/>
      <c r="K728" s="163"/>
      <c r="L728" s="163"/>
      <c r="M728" s="163"/>
      <c r="N728" s="163"/>
    </row>
    <row r="729" spans="2:14" x14ac:dyDescent="0.25">
      <c r="B729" s="163"/>
      <c r="C729" s="163"/>
      <c r="D729" s="163"/>
      <c r="E729" s="163"/>
      <c r="F729" s="163"/>
      <c r="G729" s="163"/>
      <c r="H729" s="163"/>
      <c r="I729" s="163"/>
      <c r="J729" s="163"/>
      <c r="K729" s="163"/>
      <c r="L729" s="163"/>
      <c r="M729" s="163"/>
      <c r="N729" s="163"/>
    </row>
    <row r="730" spans="2:14" x14ac:dyDescent="0.25">
      <c r="B730" s="163"/>
      <c r="C730" s="163"/>
      <c r="D730" s="163"/>
      <c r="E730" s="163"/>
      <c r="F730" s="163"/>
      <c r="G730" s="163"/>
      <c r="H730" s="163"/>
      <c r="I730" s="163"/>
      <c r="J730" s="163"/>
      <c r="K730" s="163"/>
      <c r="L730" s="163"/>
      <c r="M730" s="163"/>
      <c r="N730" s="163"/>
    </row>
    <row r="731" spans="2:14" x14ac:dyDescent="0.25">
      <c r="B731" s="163"/>
      <c r="C731" s="163"/>
      <c r="D731" s="163"/>
      <c r="E731" s="163"/>
      <c r="F731" s="163"/>
      <c r="G731" s="163"/>
      <c r="H731" s="163"/>
      <c r="I731" s="163"/>
      <c r="J731" s="163"/>
      <c r="K731" s="163"/>
      <c r="L731" s="163"/>
      <c r="M731" s="163"/>
      <c r="N731" s="163"/>
    </row>
    <row r="732" spans="2:14" x14ac:dyDescent="0.25">
      <c r="B732" s="163"/>
      <c r="C732" s="163"/>
      <c r="D732" s="163"/>
      <c r="E732" s="163"/>
      <c r="F732" s="163"/>
      <c r="G732" s="163"/>
      <c r="H732" s="163"/>
      <c r="I732" s="163"/>
      <c r="J732" s="163"/>
      <c r="K732" s="163"/>
      <c r="L732" s="163"/>
      <c r="M732" s="163"/>
      <c r="N732" s="163"/>
    </row>
    <row r="733" spans="2:14" x14ac:dyDescent="0.25">
      <c r="B733" s="163"/>
      <c r="C733" s="163"/>
      <c r="D733" s="163"/>
      <c r="E733" s="163"/>
      <c r="F733" s="163"/>
      <c r="G733" s="163"/>
      <c r="H733" s="163"/>
      <c r="I733" s="163"/>
      <c r="J733" s="163"/>
      <c r="K733" s="163"/>
      <c r="L733" s="163"/>
      <c r="M733" s="163"/>
      <c r="N733" s="163"/>
    </row>
    <row r="734" spans="2:14" x14ac:dyDescent="0.25">
      <c r="B734" s="163"/>
      <c r="C734" s="163"/>
      <c r="D734" s="163"/>
      <c r="E734" s="163"/>
      <c r="F734" s="163"/>
      <c r="G734" s="163"/>
      <c r="H734" s="163"/>
      <c r="I734" s="163"/>
      <c r="J734" s="163"/>
      <c r="K734" s="163"/>
      <c r="L734" s="163"/>
      <c r="M734" s="163"/>
      <c r="N734" s="163"/>
    </row>
    <row r="735" spans="2:14" x14ac:dyDescent="0.25">
      <c r="B735" s="163"/>
      <c r="C735" s="163"/>
      <c r="D735" s="163"/>
      <c r="E735" s="163"/>
      <c r="F735" s="163"/>
      <c r="G735" s="163"/>
      <c r="H735" s="163"/>
      <c r="I735" s="163"/>
      <c r="J735" s="163"/>
      <c r="K735" s="163"/>
      <c r="L735" s="163"/>
      <c r="M735" s="163"/>
      <c r="N735" s="163"/>
    </row>
    <row r="736" spans="2:14" x14ac:dyDescent="0.25">
      <c r="B736" s="163"/>
      <c r="C736" s="163"/>
      <c r="D736" s="163"/>
      <c r="E736" s="163"/>
      <c r="F736" s="163"/>
      <c r="G736" s="163"/>
      <c r="H736" s="163"/>
      <c r="I736" s="163"/>
      <c r="J736" s="163"/>
      <c r="K736" s="163"/>
      <c r="L736" s="163"/>
      <c r="M736" s="163"/>
      <c r="N736" s="163"/>
    </row>
    <row r="737" spans="2:14" x14ac:dyDescent="0.25">
      <c r="B737" s="163"/>
      <c r="C737" s="163"/>
      <c r="D737" s="163"/>
      <c r="E737" s="163"/>
      <c r="F737" s="163"/>
      <c r="G737" s="163"/>
      <c r="H737" s="163"/>
      <c r="I737" s="163"/>
      <c r="J737" s="163"/>
      <c r="K737" s="163"/>
      <c r="L737" s="163"/>
      <c r="M737" s="163"/>
      <c r="N737" s="163"/>
    </row>
    <row r="738" spans="2:14" x14ac:dyDescent="0.25">
      <c r="B738" s="163"/>
      <c r="C738" s="163"/>
      <c r="D738" s="163"/>
      <c r="E738" s="163"/>
      <c r="F738" s="163"/>
      <c r="G738" s="163"/>
      <c r="H738" s="163"/>
      <c r="I738" s="163"/>
      <c r="J738" s="163"/>
      <c r="K738" s="163"/>
      <c r="L738" s="163"/>
      <c r="M738" s="163"/>
      <c r="N738" s="163"/>
    </row>
    <row r="739" spans="2:14" x14ac:dyDescent="0.25">
      <c r="B739" s="163"/>
      <c r="C739" s="163"/>
      <c r="D739" s="163"/>
      <c r="E739" s="163"/>
      <c r="F739" s="163"/>
      <c r="G739" s="163"/>
      <c r="H739" s="163"/>
      <c r="I739" s="163"/>
      <c r="J739" s="163"/>
      <c r="K739" s="163"/>
      <c r="L739" s="163"/>
      <c r="M739" s="163"/>
      <c r="N739" s="163"/>
    </row>
    <row r="740" spans="2:14" x14ac:dyDescent="0.25">
      <c r="B740" s="163"/>
      <c r="C740" s="163"/>
      <c r="D740" s="163"/>
      <c r="E740" s="163"/>
      <c r="F740" s="163"/>
      <c r="G740" s="163"/>
      <c r="H740" s="163"/>
      <c r="I740" s="163"/>
      <c r="J740" s="163"/>
      <c r="K740" s="163"/>
      <c r="L740" s="163"/>
      <c r="M740" s="163"/>
      <c r="N740" s="163"/>
    </row>
    <row r="741" spans="2:14" x14ac:dyDescent="0.25">
      <c r="B741" s="163"/>
      <c r="C741" s="163"/>
      <c r="D741" s="163"/>
      <c r="E741" s="163"/>
      <c r="F741" s="163"/>
      <c r="G741" s="163"/>
      <c r="H741" s="163"/>
      <c r="I741" s="163"/>
      <c r="J741" s="163"/>
      <c r="K741" s="163"/>
      <c r="L741" s="163"/>
      <c r="M741" s="163"/>
      <c r="N741" s="163"/>
    </row>
    <row r="742" spans="2:14" x14ac:dyDescent="0.25">
      <c r="B742" s="163"/>
      <c r="C742" s="163"/>
      <c r="D742" s="163"/>
      <c r="E742" s="163"/>
      <c r="F742" s="163"/>
      <c r="G742" s="163"/>
      <c r="H742" s="163"/>
      <c r="I742" s="163"/>
      <c r="J742" s="163"/>
      <c r="K742" s="163"/>
      <c r="L742" s="163"/>
      <c r="M742" s="163"/>
      <c r="N742" s="163"/>
    </row>
    <row r="743" spans="2:14" x14ac:dyDescent="0.25">
      <c r="B743" s="163"/>
      <c r="C743" s="163"/>
      <c r="D743" s="163"/>
      <c r="E743" s="163"/>
      <c r="F743" s="163"/>
      <c r="G743" s="163"/>
      <c r="H743" s="163"/>
      <c r="I743" s="163"/>
      <c r="J743" s="163"/>
      <c r="K743" s="163"/>
      <c r="L743" s="163"/>
      <c r="M743" s="163"/>
      <c r="N743" s="163"/>
    </row>
    <row r="744" spans="2:14" x14ac:dyDescent="0.25">
      <c r="B744" s="163"/>
      <c r="C744" s="163"/>
      <c r="D744" s="163"/>
      <c r="E744" s="163"/>
      <c r="F744" s="163"/>
      <c r="G744" s="163"/>
      <c r="H744" s="163"/>
      <c r="I744" s="163"/>
      <c r="J744" s="163"/>
      <c r="K744" s="163"/>
      <c r="L744" s="163"/>
      <c r="M744" s="163"/>
      <c r="N744" s="163"/>
    </row>
    <row r="745" spans="2:14" x14ac:dyDescent="0.25">
      <c r="B745" s="163"/>
      <c r="C745" s="163"/>
      <c r="D745" s="163"/>
      <c r="E745" s="163"/>
      <c r="F745" s="163"/>
      <c r="G745" s="163"/>
      <c r="H745" s="163"/>
      <c r="I745" s="163"/>
      <c r="J745" s="163"/>
      <c r="K745" s="163"/>
      <c r="L745" s="163"/>
      <c r="M745" s="163"/>
      <c r="N745" s="163"/>
    </row>
    <row r="746" spans="2:14" x14ac:dyDescent="0.25">
      <c r="B746" s="163"/>
      <c r="C746" s="163"/>
      <c r="D746" s="163"/>
      <c r="E746" s="163"/>
      <c r="F746" s="163"/>
      <c r="G746" s="163"/>
      <c r="H746" s="163"/>
      <c r="I746" s="163"/>
      <c r="J746" s="163"/>
      <c r="K746" s="163"/>
      <c r="L746" s="163"/>
      <c r="M746" s="163"/>
      <c r="N746" s="163"/>
    </row>
    <row r="747" spans="2:14" x14ac:dyDescent="0.25">
      <c r="B747" s="163"/>
      <c r="C747" s="163"/>
      <c r="D747" s="163"/>
      <c r="E747" s="163"/>
      <c r="F747" s="163"/>
      <c r="G747" s="163"/>
      <c r="H747" s="163"/>
      <c r="I747" s="163"/>
      <c r="J747" s="163"/>
      <c r="K747" s="163"/>
      <c r="L747" s="163"/>
      <c r="M747" s="163"/>
      <c r="N747" s="163"/>
    </row>
    <row r="748" spans="2:14" x14ac:dyDescent="0.25">
      <c r="B748" s="163"/>
      <c r="C748" s="163"/>
      <c r="D748" s="163"/>
      <c r="E748" s="163"/>
      <c r="F748" s="163"/>
      <c r="G748" s="163"/>
      <c r="H748" s="163"/>
      <c r="I748" s="163"/>
      <c r="J748" s="163"/>
      <c r="K748" s="163"/>
      <c r="L748" s="163"/>
      <c r="M748" s="163"/>
      <c r="N748" s="163"/>
    </row>
    <row r="749" spans="2:14" x14ac:dyDescent="0.25">
      <c r="B749" s="163"/>
      <c r="C749" s="163"/>
      <c r="D749" s="163"/>
      <c r="E749" s="163"/>
      <c r="F749" s="163"/>
      <c r="G749" s="163"/>
      <c r="H749" s="163"/>
      <c r="I749" s="163"/>
      <c r="J749" s="163"/>
      <c r="K749" s="163"/>
      <c r="L749" s="163"/>
      <c r="M749" s="163"/>
      <c r="N749" s="163"/>
    </row>
    <row r="750" spans="2:14" x14ac:dyDescent="0.25">
      <c r="B750" s="163"/>
      <c r="C750" s="163"/>
      <c r="D750" s="163"/>
      <c r="E750" s="163"/>
      <c r="F750" s="163"/>
      <c r="G750" s="163"/>
      <c r="H750" s="163"/>
      <c r="I750" s="163"/>
      <c r="J750" s="163"/>
      <c r="K750" s="163"/>
      <c r="L750" s="163"/>
      <c r="M750" s="163"/>
      <c r="N750" s="163"/>
    </row>
    <row r="751" spans="2:14" x14ac:dyDescent="0.25">
      <c r="B751" s="163"/>
      <c r="C751" s="163"/>
      <c r="D751" s="163"/>
      <c r="E751" s="163"/>
      <c r="F751" s="163"/>
      <c r="G751" s="163"/>
      <c r="H751" s="163"/>
      <c r="I751" s="163"/>
      <c r="J751" s="163"/>
      <c r="K751" s="163"/>
      <c r="L751" s="163"/>
      <c r="M751" s="163"/>
      <c r="N751" s="163"/>
    </row>
    <row r="752" spans="2:14" x14ac:dyDescent="0.25">
      <c r="B752" s="163"/>
      <c r="C752" s="163"/>
      <c r="D752" s="163"/>
      <c r="E752" s="163"/>
      <c r="F752" s="163"/>
      <c r="G752" s="163"/>
      <c r="H752" s="163"/>
      <c r="I752" s="163"/>
      <c r="J752" s="163"/>
      <c r="K752" s="163"/>
      <c r="L752" s="163"/>
      <c r="M752" s="163"/>
      <c r="N752" s="163"/>
    </row>
    <row r="753" spans="2:14" x14ac:dyDescent="0.25">
      <c r="B753" s="163"/>
      <c r="C753" s="163"/>
      <c r="D753" s="163"/>
      <c r="E753" s="163"/>
      <c r="F753" s="163"/>
      <c r="G753" s="163"/>
      <c r="H753" s="163"/>
      <c r="I753" s="163"/>
      <c r="J753" s="163"/>
      <c r="K753" s="163"/>
      <c r="L753" s="163"/>
      <c r="M753" s="163"/>
      <c r="N753" s="163"/>
    </row>
    <row r="754" spans="2:14" x14ac:dyDescent="0.25">
      <c r="B754" s="163"/>
      <c r="C754" s="163"/>
      <c r="D754" s="163"/>
      <c r="E754" s="163"/>
      <c r="F754" s="163"/>
      <c r="G754" s="163"/>
      <c r="H754" s="163"/>
      <c r="I754" s="163"/>
      <c r="J754" s="163"/>
      <c r="K754" s="163"/>
      <c r="L754" s="163"/>
      <c r="M754" s="163"/>
      <c r="N754" s="163"/>
    </row>
    <row r="755" spans="2:14" x14ac:dyDescent="0.25">
      <c r="B755" s="163"/>
      <c r="C755" s="163"/>
      <c r="D755" s="163"/>
      <c r="E755" s="163"/>
      <c r="F755" s="163"/>
      <c r="G755" s="163"/>
      <c r="H755" s="163"/>
      <c r="I755" s="163"/>
      <c r="J755" s="163"/>
      <c r="K755" s="163"/>
      <c r="L755" s="163"/>
      <c r="M755" s="163"/>
      <c r="N755" s="163"/>
    </row>
    <row r="756" spans="2:14" x14ac:dyDescent="0.25">
      <c r="B756" s="163"/>
      <c r="C756" s="163"/>
      <c r="D756" s="163"/>
      <c r="E756" s="163"/>
      <c r="F756" s="163"/>
      <c r="G756" s="163"/>
      <c r="H756" s="163"/>
      <c r="I756" s="163"/>
      <c r="J756" s="163"/>
      <c r="K756" s="163"/>
      <c r="L756" s="163"/>
      <c r="M756" s="163"/>
      <c r="N756" s="163"/>
    </row>
    <row r="757" spans="2:14" x14ac:dyDescent="0.25">
      <c r="B757" s="163"/>
      <c r="C757" s="163"/>
      <c r="D757" s="163"/>
      <c r="E757" s="163"/>
      <c r="F757" s="163"/>
      <c r="G757" s="163"/>
      <c r="H757" s="163"/>
      <c r="I757" s="163"/>
      <c r="J757" s="163"/>
      <c r="K757" s="163"/>
      <c r="L757" s="163"/>
      <c r="M757" s="163"/>
      <c r="N757" s="163"/>
    </row>
    <row r="758" spans="2:14" x14ac:dyDescent="0.25">
      <c r="B758" s="163"/>
      <c r="C758" s="163"/>
      <c r="D758" s="163"/>
      <c r="E758" s="163"/>
      <c r="F758" s="163"/>
      <c r="G758" s="163"/>
      <c r="H758" s="163"/>
      <c r="I758" s="163"/>
      <c r="J758" s="163"/>
      <c r="K758" s="163"/>
      <c r="L758" s="163"/>
      <c r="M758" s="163"/>
      <c r="N758" s="163"/>
    </row>
    <row r="759" spans="2:14" x14ac:dyDescent="0.25">
      <c r="B759" s="163"/>
      <c r="C759" s="163"/>
      <c r="D759" s="163"/>
      <c r="E759" s="163"/>
      <c r="F759" s="163"/>
      <c r="G759" s="163"/>
      <c r="H759" s="163"/>
      <c r="I759" s="163"/>
      <c r="J759" s="163"/>
      <c r="K759" s="163"/>
      <c r="L759" s="163"/>
      <c r="M759" s="163"/>
      <c r="N759" s="163"/>
    </row>
    <row r="760" spans="2:14" x14ac:dyDescent="0.25">
      <c r="B760" s="163"/>
      <c r="C760" s="163"/>
      <c r="D760" s="163"/>
      <c r="E760" s="163"/>
      <c r="F760" s="163"/>
      <c r="G760" s="163"/>
      <c r="H760" s="163"/>
      <c r="I760" s="163"/>
      <c r="J760" s="163"/>
      <c r="K760" s="163"/>
      <c r="L760" s="163"/>
      <c r="M760" s="163"/>
      <c r="N760" s="163"/>
    </row>
    <row r="761" spans="2:14" x14ac:dyDescent="0.25">
      <c r="B761" s="163"/>
      <c r="C761" s="163"/>
      <c r="D761" s="163"/>
      <c r="E761" s="163"/>
      <c r="F761" s="163"/>
      <c r="G761" s="163"/>
      <c r="H761" s="163"/>
      <c r="I761" s="163"/>
      <c r="J761" s="163"/>
      <c r="K761" s="163"/>
      <c r="L761" s="163"/>
      <c r="M761" s="163"/>
      <c r="N761" s="163"/>
    </row>
    <row r="762" spans="2:14" x14ac:dyDescent="0.25">
      <c r="B762" s="163"/>
      <c r="C762" s="163"/>
      <c r="D762" s="163"/>
      <c r="E762" s="163"/>
      <c r="F762" s="163"/>
      <c r="G762" s="163"/>
      <c r="H762" s="163"/>
      <c r="I762" s="163"/>
      <c r="J762" s="163"/>
      <c r="K762" s="163"/>
      <c r="L762" s="163"/>
      <c r="M762" s="163"/>
      <c r="N762" s="163"/>
    </row>
    <row r="763" spans="2:14" x14ac:dyDescent="0.25">
      <c r="B763" s="163"/>
      <c r="C763" s="163"/>
      <c r="D763" s="163"/>
      <c r="E763" s="163"/>
      <c r="F763" s="163"/>
      <c r="G763" s="163"/>
      <c r="H763" s="163"/>
      <c r="I763" s="163"/>
      <c r="J763" s="163"/>
      <c r="K763" s="163"/>
      <c r="L763" s="163"/>
      <c r="M763" s="163"/>
      <c r="N763" s="163"/>
    </row>
    <row r="764" spans="2:14" x14ac:dyDescent="0.25">
      <c r="B764" s="163"/>
      <c r="C764" s="163"/>
      <c r="D764" s="163"/>
      <c r="E764" s="163"/>
      <c r="F764" s="163"/>
      <c r="G764" s="163"/>
      <c r="H764" s="163"/>
      <c r="I764" s="163"/>
      <c r="J764" s="163"/>
      <c r="K764" s="163"/>
      <c r="L764" s="163"/>
      <c r="M764" s="163"/>
      <c r="N764" s="163"/>
    </row>
    <row r="765" spans="2:14" x14ac:dyDescent="0.25">
      <c r="B765" s="163"/>
      <c r="C765" s="163"/>
      <c r="D765" s="163"/>
      <c r="E765" s="163"/>
      <c r="F765" s="163"/>
      <c r="G765" s="163"/>
      <c r="H765" s="163"/>
      <c r="I765" s="163"/>
      <c r="J765" s="163"/>
      <c r="K765" s="163"/>
      <c r="L765" s="163"/>
      <c r="M765" s="163"/>
      <c r="N765" s="163"/>
    </row>
    <row r="766" spans="2:14" x14ac:dyDescent="0.25">
      <c r="B766" s="163"/>
      <c r="C766" s="163"/>
      <c r="D766" s="163"/>
      <c r="E766" s="163"/>
      <c r="F766" s="163"/>
      <c r="G766" s="163"/>
      <c r="H766" s="163"/>
      <c r="I766" s="163"/>
      <c r="J766" s="163"/>
      <c r="K766" s="163"/>
      <c r="L766" s="163"/>
      <c r="M766" s="163"/>
      <c r="N766" s="163"/>
    </row>
    <row r="767" spans="2:14" x14ac:dyDescent="0.25">
      <c r="B767" s="163"/>
      <c r="C767" s="163"/>
      <c r="D767" s="163"/>
      <c r="E767" s="163"/>
      <c r="F767" s="163"/>
      <c r="G767" s="163"/>
      <c r="H767" s="163"/>
      <c r="I767" s="163"/>
      <c r="J767" s="163"/>
      <c r="K767" s="163"/>
      <c r="L767" s="163"/>
      <c r="M767" s="163"/>
      <c r="N767" s="163"/>
    </row>
    <row r="768" spans="2:14" x14ac:dyDescent="0.25">
      <c r="B768" s="163"/>
      <c r="C768" s="163"/>
      <c r="D768" s="163"/>
      <c r="E768" s="163"/>
      <c r="F768" s="163"/>
      <c r="G768" s="163"/>
      <c r="H768" s="163"/>
      <c r="I768" s="163"/>
      <c r="J768" s="163"/>
      <c r="K768" s="163"/>
      <c r="L768" s="163"/>
      <c r="M768" s="163"/>
      <c r="N768" s="163"/>
    </row>
    <row r="769" spans="2:14" x14ac:dyDescent="0.25">
      <c r="B769" s="163"/>
      <c r="C769" s="163"/>
      <c r="D769" s="163"/>
      <c r="E769" s="163"/>
      <c r="F769" s="163"/>
      <c r="G769" s="163"/>
      <c r="H769" s="163"/>
      <c r="I769" s="163"/>
      <c r="J769" s="163"/>
      <c r="K769" s="163"/>
      <c r="L769" s="163"/>
      <c r="M769" s="163"/>
      <c r="N769" s="163"/>
    </row>
    <row r="770" spans="2:14" x14ac:dyDescent="0.25">
      <c r="B770" s="163"/>
      <c r="C770" s="163"/>
      <c r="D770" s="163"/>
      <c r="E770" s="163"/>
      <c r="F770" s="163"/>
      <c r="G770" s="163"/>
      <c r="H770" s="163"/>
      <c r="I770" s="163"/>
      <c r="J770" s="163"/>
      <c r="K770" s="163"/>
      <c r="L770" s="163"/>
      <c r="M770" s="163"/>
      <c r="N770" s="163"/>
    </row>
    <row r="771" spans="2:14" x14ac:dyDescent="0.25">
      <c r="B771" s="163"/>
      <c r="C771" s="163"/>
      <c r="D771" s="163"/>
      <c r="E771" s="163"/>
      <c r="F771" s="163"/>
      <c r="G771" s="163"/>
      <c r="H771" s="163"/>
      <c r="I771" s="163"/>
      <c r="J771" s="163"/>
      <c r="K771" s="163"/>
      <c r="L771" s="163"/>
      <c r="M771" s="163"/>
      <c r="N771" s="163"/>
    </row>
    <row r="772" spans="2:14" x14ac:dyDescent="0.25">
      <c r="B772" s="163"/>
      <c r="C772" s="163"/>
      <c r="D772" s="163"/>
      <c r="E772" s="163"/>
      <c r="F772" s="163"/>
      <c r="G772" s="163"/>
      <c r="H772" s="163"/>
      <c r="I772" s="163"/>
      <c r="J772" s="163"/>
      <c r="K772" s="163"/>
      <c r="L772" s="163"/>
      <c r="M772" s="163"/>
      <c r="N772" s="163"/>
    </row>
    <row r="773" spans="2:14" x14ac:dyDescent="0.25">
      <c r="B773" s="163"/>
      <c r="C773" s="163"/>
      <c r="D773" s="163"/>
      <c r="E773" s="163"/>
      <c r="F773" s="163"/>
      <c r="G773" s="163"/>
      <c r="H773" s="163"/>
      <c r="I773" s="163"/>
      <c r="J773" s="163"/>
      <c r="K773" s="163"/>
      <c r="L773" s="163"/>
      <c r="M773" s="163"/>
      <c r="N773" s="163"/>
    </row>
    <row r="774" spans="2:14" x14ac:dyDescent="0.25">
      <c r="B774" s="163"/>
      <c r="C774" s="163"/>
      <c r="D774" s="163"/>
      <c r="E774" s="163"/>
      <c r="F774" s="163"/>
      <c r="G774" s="163"/>
      <c r="H774" s="163"/>
      <c r="I774" s="163"/>
      <c r="J774" s="163"/>
      <c r="K774" s="163"/>
      <c r="L774" s="163"/>
      <c r="M774" s="163"/>
      <c r="N774" s="163"/>
    </row>
    <row r="775" spans="2:14" x14ac:dyDescent="0.25">
      <c r="B775" s="163"/>
      <c r="C775" s="163"/>
      <c r="D775" s="163"/>
      <c r="E775" s="163"/>
      <c r="F775" s="163"/>
      <c r="G775" s="163"/>
      <c r="H775" s="163"/>
      <c r="I775" s="163"/>
      <c r="J775" s="163"/>
      <c r="K775" s="163"/>
      <c r="L775" s="163"/>
      <c r="M775" s="163"/>
      <c r="N775" s="163"/>
    </row>
    <row r="776" spans="2:14" x14ac:dyDescent="0.25">
      <c r="B776" s="163"/>
      <c r="C776" s="163"/>
      <c r="D776" s="163"/>
      <c r="E776" s="163"/>
      <c r="F776" s="163"/>
      <c r="G776" s="163"/>
      <c r="H776" s="163"/>
      <c r="I776" s="163"/>
      <c r="J776" s="163"/>
      <c r="K776" s="163"/>
      <c r="L776" s="163"/>
      <c r="M776" s="163"/>
      <c r="N776" s="163"/>
    </row>
    <row r="777" spans="2:14" x14ac:dyDescent="0.25">
      <c r="B777" s="163"/>
      <c r="C777" s="163"/>
      <c r="D777" s="163"/>
      <c r="E777" s="163"/>
      <c r="F777" s="163"/>
      <c r="G777" s="163"/>
      <c r="H777" s="163"/>
      <c r="I777" s="163"/>
      <c r="J777" s="163"/>
      <c r="K777" s="163"/>
      <c r="L777" s="163"/>
      <c r="M777" s="163"/>
      <c r="N777" s="163"/>
    </row>
    <row r="778" spans="2:14" x14ac:dyDescent="0.25">
      <c r="B778" s="163"/>
      <c r="C778" s="163"/>
      <c r="D778" s="163"/>
      <c r="E778" s="163"/>
      <c r="F778" s="163"/>
      <c r="G778" s="163"/>
      <c r="H778" s="163"/>
      <c r="I778" s="163"/>
      <c r="J778" s="163"/>
      <c r="K778" s="163"/>
      <c r="L778" s="163"/>
      <c r="M778" s="163"/>
      <c r="N778" s="163"/>
    </row>
    <row r="779" spans="2:14" x14ac:dyDescent="0.25">
      <c r="B779" s="163"/>
      <c r="C779" s="163"/>
      <c r="D779" s="163"/>
      <c r="E779" s="163"/>
      <c r="F779" s="163"/>
      <c r="G779" s="163"/>
      <c r="H779" s="163"/>
      <c r="I779" s="163"/>
      <c r="J779" s="163"/>
      <c r="K779" s="163"/>
      <c r="L779" s="163"/>
      <c r="M779" s="163"/>
      <c r="N779" s="163"/>
    </row>
    <row r="780" spans="2:14" x14ac:dyDescent="0.25">
      <c r="B780" s="163"/>
      <c r="C780" s="163"/>
      <c r="D780" s="163"/>
      <c r="E780" s="163"/>
      <c r="F780" s="163"/>
      <c r="G780" s="163"/>
      <c r="H780" s="163"/>
      <c r="I780" s="163"/>
      <c r="J780" s="163"/>
      <c r="K780" s="163"/>
      <c r="L780" s="163"/>
      <c r="M780" s="163"/>
      <c r="N780" s="163"/>
    </row>
    <row r="781" spans="2:14" x14ac:dyDescent="0.25">
      <c r="B781" s="163"/>
      <c r="C781" s="163"/>
      <c r="D781" s="163"/>
      <c r="E781" s="163"/>
      <c r="F781" s="163"/>
      <c r="G781" s="163"/>
      <c r="H781" s="163"/>
      <c r="I781" s="163"/>
      <c r="J781" s="163"/>
      <c r="K781" s="163"/>
      <c r="L781" s="163"/>
      <c r="M781" s="163"/>
      <c r="N781" s="163"/>
    </row>
    <row r="782" spans="2:14" x14ac:dyDescent="0.25">
      <c r="B782" s="163"/>
      <c r="C782" s="163"/>
      <c r="D782" s="163"/>
      <c r="E782" s="163"/>
      <c r="F782" s="163"/>
      <c r="G782" s="163"/>
      <c r="H782" s="163"/>
      <c r="I782" s="163"/>
      <c r="J782" s="163"/>
      <c r="K782" s="163"/>
      <c r="L782" s="163"/>
      <c r="M782" s="163"/>
      <c r="N782" s="163"/>
    </row>
    <row r="783" spans="2:14" x14ac:dyDescent="0.25">
      <c r="B783" s="163"/>
      <c r="C783" s="163"/>
      <c r="D783" s="163"/>
      <c r="E783" s="163"/>
      <c r="F783" s="163"/>
      <c r="G783" s="163"/>
      <c r="H783" s="163"/>
      <c r="I783" s="163"/>
      <c r="J783" s="163"/>
      <c r="K783" s="163"/>
      <c r="L783" s="163"/>
      <c r="M783" s="163"/>
      <c r="N783" s="163"/>
    </row>
    <row r="784" spans="2:14" x14ac:dyDescent="0.25">
      <c r="B784" s="163"/>
      <c r="C784" s="163"/>
      <c r="D784" s="163"/>
      <c r="E784" s="163"/>
      <c r="F784" s="163"/>
      <c r="G784" s="163"/>
      <c r="H784" s="163"/>
      <c r="I784" s="163"/>
      <c r="J784" s="163"/>
      <c r="K784" s="163"/>
      <c r="L784" s="163"/>
      <c r="M784" s="163"/>
      <c r="N784" s="163"/>
    </row>
    <row r="785" spans="2:14" x14ac:dyDescent="0.25">
      <c r="B785" s="163"/>
      <c r="C785" s="163"/>
      <c r="D785" s="163"/>
      <c r="E785" s="163"/>
      <c r="F785" s="163"/>
      <c r="G785" s="163"/>
      <c r="H785" s="163"/>
      <c r="I785" s="163"/>
      <c r="J785" s="163"/>
      <c r="K785" s="163"/>
      <c r="L785" s="163"/>
      <c r="M785" s="163"/>
      <c r="N785" s="163"/>
    </row>
    <row r="786" spans="2:14" x14ac:dyDescent="0.25">
      <c r="B786" s="163"/>
      <c r="C786" s="163"/>
      <c r="D786" s="163"/>
      <c r="E786" s="163"/>
      <c r="F786" s="163"/>
      <c r="G786" s="163"/>
      <c r="H786" s="163"/>
      <c r="I786" s="163"/>
      <c r="J786" s="163"/>
      <c r="K786" s="163"/>
      <c r="L786" s="163"/>
      <c r="M786" s="163"/>
      <c r="N786" s="163"/>
    </row>
    <row r="787" spans="2:14" x14ac:dyDescent="0.25">
      <c r="B787" s="163"/>
      <c r="C787" s="163"/>
      <c r="D787" s="163"/>
      <c r="E787" s="163"/>
      <c r="F787" s="163"/>
      <c r="G787" s="163"/>
      <c r="H787" s="163"/>
      <c r="I787" s="163"/>
      <c r="J787" s="163"/>
      <c r="K787" s="163"/>
      <c r="L787" s="163"/>
      <c r="M787" s="163"/>
      <c r="N787" s="163"/>
    </row>
    <row r="788" spans="2:14" x14ac:dyDescent="0.25">
      <c r="B788" s="163"/>
      <c r="C788" s="163"/>
      <c r="D788" s="163"/>
      <c r="E788" s="163"/>
      <c r="F788" s="163"/>
      <c r="G788" s="163"/>
      <c r="H788" s="163"/>
      <c r="I788" s="163"/>
      <c r="J788" s="163"/>
      <c r="K788" s="163"/>
      <c r="L788" s="163"/>
      <c r="M788" s="163"/>
      <c r="N788" s="163"/>
    </row>
    <row r="789" spans="2:14" x14ac:dyDescent="0.25">
      <c r="B789" s="163"/>
      <c r="C789" s="163"/>
      <c r="D789" s="163"/>
      <c r="E789" s="163"/>
      <c r="F789" s="163"/>
      <c r="G789" s="163"/>
      <c r="H789" s="163"/>
      <c r="I789" s="163"/>
      <c r="J789" s="163"/>
      <c r="K789" s="163"/>
      <c r="L789" s="163"/>
      <c r="M789" s="163"/>
      <c r="N789" s="163"/>
    </row>
    <row r="790" spans="2:14" x14ac:dyDescent="0.25">
      <c r="B790" s="163"/>
      <c r="C790" s="163"/>
      <c r="D790" s="163"/>
      <c r="E790" s="163"/>
      <c r="F790" s="163"/>
      <c r="G790" s="163"/>
      <c r="H790" s="163"/>
      <c r="I790" s="163"/>
      <c r="J790" s="163"/>
      <c r="K790" s="163"/>
      <c r="L790" s="163"/>
      <c r="M790" s="163"/>
      <c r="N790" s="163"/>
    </row>
    <row r="791" spans="2:14" x14ac:dyDescent="0.25">
      <c r="B791" s="163"/>
      <c r="C791" s="163"/>
      <c r="D791" s="163"/>
      <c r="E791" s="163"/>
      <c r="F791" s="163"/>
      <c r="G791" s="163"/>
      <c r="H791" s="163"/>
      <c r="I791" s="163"/>
      <c r="J791" s="163"/>
      <c r="K791" s="163"/>
      <c r="L791" s="163"/>
      <c r="M791" s="163"/>
      <c r="N791" s="163"/>
    </row>
    <row r="792" spans="2:14" x14ac:dyDescent="0.25">
      <c r="B792" s="163"/>
      <c r="C792" s="163"/>
      <c r="D792" s="163"/>
      <c r="E792" s="163"/>
      <c r="F792" s="163"/>
      <c r="G792" s="163"/>
      <c r="H792" s="163"/>
      <c r="I792" s="163"/>
      <c r="J792" s="163"/>
      <c r="K792" s="163"/>
      <c r="L792" s="163"/>
      <c r="M792" s="163"/>
      <c r="N792" s="163"/>
    </row>
    <row r="793" spans="2:14" x14ac:dyDescent="0.25">
      <c r="B793" s="163"/>
      <c r="C793" s="163"/>
      <c r="D793" s="163"/>
      <c r="E793" s="163"/>
      <c r="F793" s="163"/>
      <c r="G793" s="163"/>
      <c r="H793" s="163"/>
      <c r="I793" s="163"/>
      <c r="J793" s="163"/>
      <c r="K793" s="163"/>
      <c r="L793" s="163"/>
      <c r="M793" s="163"/>
      <c r="N793" s="163"/>
    </row>
    <row r="794" spans="2:14" x14ac:dyDescent="0.25">
      <c r="B794" s="163"/>
      <c r="C794" s="163"/>
      <c r="D794" s="163"/>
      <c r="E794" s="163"/>
      <c r="F794" s="163"/>
      <c r="G794" s="163"/>
      <c r="H794" s="163"/>
      <c r="I794" s="163"/>
      <c r="J794" s="163"/>
      <c r="K794" s="163"/>
      <c r="L794" s="163"/>
      <c r="M794" s="163"/>
      <c r="N794" s="163"/>
    </row>
    <row r="795" spans="2:14" x14ac:dyDescent="0.25">
      <c r="B795" s="163"/>
      <c r="C795" s="163"/>
      <c r="D795" s="163"/>
      <c r="E795" s="163"/>
      <c r="F795" s="163"/>
      <c r="G795" s="163"/>
      <c r="H795" s="163"/>
      <c r="I795" s="163"/>
      <c r="J795" s="163"/>
      <c r="K795" s="163"/>
      <c r="L795" s="163"/>
      <c r="M795" s="163"/>
      <c r="N795" s="163"/>
    </row>
    <row r="796" spans="2:14" x14ac:dyDescent="0.25">
      <c r="B796" s="163"/>
      <c r="C796" s="163"/>
      <c r="D796" s="163"/>
      <c r="E796" s="163"/>
      <c r="F796" s="163"/>
      <c r="G796" s="163"/>
      <c r="H796" s="163"/>
      <c r="I796" s="163"/>
      <c r="J796" s="163"/>
      <c r="K796" s="163"/>
      <c r="L796" s="163"/>
      <c r="M796" s="163"/>
      <c r="N796" s="163"/>
    </row>
    <row r="797" spans="2:14" x14ac:dyDescent="0.25">
      <c r="B797" s="163"/>
      <c r="C797" s="163"/>
      <c r="D797" s="163"/>
      <c r="E797" s="163"/>
      <c r="F797" s="163"/>
      <c r="G797" s="163"/>
      <c r="H797" s="163"/>
      <c r="I797" s="163"/>
      <c r="J797" s="163"/>
      <c r="K797" s="163"/>
      <c r="L797" s="163"/>
      <c r="M797" s="163"/>
      <c r="N797" s="163"/>
    </row>
    <row r="798" spans="2:14" x14ac:dyDescent="0.25">
      <c r="B798" s="163"/>
      <c r="C798" s="163"/>
      <c r="D798" s="163"/>
      <c r="E798" s="163"/>
      <c r="F798" s="163"/>
      <c r="G798" s="163"/>
      <c r="H798" s="163"/>
      <c r="I798" s="163"/>
      <c r="J798" s="163"/>
      <c r="K798" s="163"/>
      <c r="L798" s="163"/>
      <c r="M798" s="163"/>
      <c r="N798" s="163"/>
    </row>
    <row r="799" spans="2:14" x14ac:dyDescent="0.25">
      <c r="B799" s="163"/>
      <c r="C799" s="163"/>
      <c r="D799" s="163"/>
      <c r="E799" s="163"/>
      <c r="F799" s="163"/>
      <c r="G799" s="163"/>
      <c r="H799" s="163"/>
      <c r="I799" s="163"/>
      <c r="J799" s="163"/>
      <c r="K799" s="163"/>
      <c r="L799" s="163"/>
      <c r="M799" s="163"/>
      <c r="N799" s="163"/>
    </row>
    <row r="800" spans="2:14" x14ac:dyDescent="0.25">
      <c r="B800" s="163"/>
      <c r="C800" s="163"/>
      <c r="D800" s="163"/>
      <c r="E800" s="163"/>
      <c r="F800" s="163"/>
      <c r="G800" s="163"/>
      <c r="H800" s="163"/>
      <c r="I800" s="163"/>
      <c r="J800" s="163"/>
      <c r="K800" s="163"/>
      <c r="L800" s="163"/>
      <c r="M800" s="163"/>
      <c r="N800" s="163"/>
    </row>
    <row r="801" spans="2:14" x14ac:dyDescent="0.25">
      <c r="B801" s="163"/>
      <c r="C801" s="163"/>
      <c r="D801" s="163"/>
      <c r="E801" s="163"/>
      <c r="F801" s="163"/>
      <c r="G801" s="163"/>
      <c r="H801" s="163"/>
      <c r="I801" s="163"/>
      <c r="J801" s="163"/>
      <c r="K801" s="163"/>
      <c r="L801" s="163"/>
      <c r="M801" s="163"/>
      <c r="N801" s="163"/>
    </row>
    <row r="802" spans="2:14" x14ac:dyDescent="0.25">
      <c r="B802" s="163"/>
      <c r="C802" s="163"/>
      <c r="D802" s="163"/>
      <c r="E802" s="163"/>
      <c r="F802" s="163"/>
      <c r="G802" s="163"/>
      <c r="H802" s="163"/>
      <c r="I802" s="163"/>
      <c r="J802" s="163"/>
      <c r="K802" s="163"/>
      <c r="L802" s="163"/>
      <c r="M802" s="163"/>
      <c r="N802" s="163"/>
    </row>
    <row r="803" spans="2:14" x14ac:dyDescent="0.25">
      <c r="B803" s="163"/>
      <c r="C803" s="163"/>
      <c r="D803" s="163"/>
      <c r="E803" s="163"/>
      <c r="F803" s="163"/>
      <c r="G803" s="163"/>
      <c r="H803" s="163"/>
      <c r="I803" s="163"/>
      <c r="J803" s="163"/>
      <c r="K803" s="163"/>
      <c r="L803" s="163"/>
      <c r="M803" s="163"/>
      <c r="N803" s="163"/>
    </row>
    <row r="804" spans="2:14" x14ac:dyDescent="0.25">
      <c r="B804" s="163"/>
      <c r="C804" s="163"/>
      <c r="D804" s="163"/>
      <c r="E804" s="163"/>
      <c r="F804" s="163"/>
      <c r="G804" s="163"/>
      <c r="H804" s="163"/>
      <c r="I804" s="163"/>
      <c r="J804" s="163"/>
      <c r="K804" s="163"/>
      <c r="L804" s="163"/>
      <c r="M804" s="163"/>
      <c r="N804" s="163"/>
    </row>
    <row r="805" spans="2:14" x14ac:dyDescent="0.25">
      <c r="B805" s="163"/>
      <c r="C805" s="163"/>
      <c r="D805" s="163"/>
      <c r="E805" s="163"/>
      <c r="F805" s="163"/>
      <c r="G805" s="163"/>
      <c r="H805" s="163"/>
      <c r="I805" s="163"/>
      <c r="J805" s="163"/>
      <c r="K805" s="163"/>
      <c r="L805" s="163"/>
      <c r="M805" s="163"/>
      <c r="N805" s="163"/>
    </row>
    <row r="806" spans="2:14" x14ac:dyDescent="0.25">
      <c r="B806" s="163"/>
      <c r="C806" s="163"/>
      <c r="D806" s="163"/>
      <c r="E806" s="163"/>
      <c r="F806" s="163"/>
      <c r="G806" s="163"/>
      <c r="H806" s="163"/>
      <c r="I806" s="163"/>
      <c r="J806" s="163"/>
      <c r="K806" s="163"/>
      <c r="L806" s="163"/>
      <c r="M806" s="163"/>
      <c r="N806" s="163"/>
    </row>
    <row r="807" spans="2:14" x14ac:dyDescent="0.25">
      <c r="B807" s="163"/>
      <c r="C807" s="163"/>
      <c r="D807" s="163"/>
      <c r="E807" s="163"/>
      <c r="F807" s="163"/>
      <c r="G807" s="163"/>
      <c r="H807" s="163"/>
      <c r="I807" s="163"/>
      <c r="J807" s="163"/>
      <c r="K807" s="163"/>
      <c r="L807" s="163"/>
      <c r="M807" s="163"/>
      <c r="N807" s="163"/>
    </row>
    <row r="808" spans="2:14" x14ac:dyDescent="0.25">
      <c r="B808" s="163"/>
      <c r="C808" s="163"/>
      <c r="D808" s="163"/>
      <c r="E808" s="163"/>
      <c r="F808" s="163"/>
      <c r="G808" s="163"/>
      <c r="H808" s="163"/>
      <c r="I808" s="163"/>
      <c r="J808" s="163"/>
      <c r="K808" s="163"/>
      <c r="L808" s="163"/>
      <c r="M808" s="163"/>
      <c r="N808" s="163"/>
    </row>
    <row r="809" spans="2:14" x14ac:dyDescent="0.25">
      <c r="B809" s="163"/>
      <c r="C809" s="163"/>
      <c r="D809" s="163"/>
      <c r="E809" s="163"/>
      <c r="F809" s="163"/>
      <c r="G809" s="163"/>
      <c r="H809" s="163"/>
      <c r="I809" s="163"/>
      <c r="J809" s="163"/>
      <c r="K809" s="163"/>
      <c r="L809" s="163"/>
      <c r="M809" s="163"/>
      <c r="N809" s="163"/>
    </row>
    <row r="810" spans="2:14" x14ac:dyDescent="0.25">
      <c r="B810" s="163"/>
      <c r="C810" s="163"/>
      <c r="D810" s="163"/>
      <c r="E810" s="163"/>
      <c r="F810" s="163"/>
      <c r="G810" s="163"/>
      <c r="H810" s="163"/>
      <c r="I810" s="163"/>
      <c r="J810" s="163"/>
      <c r="K810" s="163"/>
      <c r="L810" s="163"/>
      <c r="M810" s="163"/>
      <c r="N810" s="163"/>
    </row>
    <row r="811" spans="2:14" x14ac:dyDescent="0.25">
      <c r="B811" s="163"/>
      <c r="C811" s="163"/>
      <c r="D811" s="163"/>
      <c r="E811" s="163"/>
      <c r="F811" s="163"/>
      <c r="G811" s="163"/>
      <c r="H811" s="163"/>
      <c r="I811" s="163"/>
      <c r="J811" s="163"/>
      <c r="K811" s="163"/>
      <c r="L811" s="163"/>
      <c r="M811" s="163"/>
      <c r="N811" s="163"/>
    </row>
    <row r="812" spans="2:14" x14ac:dyDescent="0.25">
      <c r="B812" s="163"/>
      <c r="C812" s="163"/>
      <c r="D812" s="163"/>
      <c r="E812" s="163"/>
      <c r="F812" s="163"/>
      <c r="G812" s="163"/>
      <c r="H812" s="163"/>
      <c r="I812" s="163"/>
      <c r="J812" s="163"/>
      <c r="K812" s="163"/>
      <c r="L812" s="163"/>
      <c r="M812" s="163"/>
      <c r="N812" s="163"/>
    </row>
    <row r="813" spans="2:14" x14ac:dyDescent="0.25">
      <c r="B813" s="163"/>
      <c r="C813" s="163"/>
      <c r="D813" s="163"/>
      <c r="E813" s="163"/>
      <c r="F813" s="163"/>
      <c r="G813" s="163"/>
      <c r="H813" s="163"/>
      <c r="I813" s="163"/>
      <c r="J813" s="163"/>
      <c r="K813" s="163"/>
      <c r="L813" s="163"/>
      <c r="M813" s="163"/>
      <c r="N813" s="163"/>
    </row>
    <row r="814" spans="2:14" x14ac:dyDescent="0.25">
      <c r="B814" s="163"/>
      <c r="C814" s="163"/>
      <c r="D814" s="163"/>
      <c r="E814" s="163"/>
      <c r="F814" s="163"/>
      <c r="G814" s="163"/>
      <c r="H814" s="163"/>
      <c r="I814" s="163"/>
      <c r="J814" s="163"/>
      <c r="K814" s="163"/>
      <c r="L814" s="163"/>
      <c r="M814" s="163"/>
      <c r="N814" s="163"/>
    </row>
    <row r="815" spans="2:14" x14ac:dyDescent="0.25">
      <c r="B815" s="163"/>
      <c r="C815" s="163"/>
      <c r="D815" s="163"/>
      <c r="E815" s="163"/>
      <c r="F815" s="163"/>
      <c r="G815" s="163"/>
      <c r="H815" s="163"/>
      <c r="I815" s="163"/>
      <c r="J815" s="163"/>
      <c r="K815" s="163"/>
      <c r="L815" s="163"/>
      <c r="M815" s="163"/>
      <c r="N815" s="163"/>
    </row>
    <row r="816" spans="2:14" x14ac:dyDescent="0.25">
      <c r="B816" s="163"/>
      <c r="C816" s="163"/>
      <c r="D816" s="163"/>
      <c r="E816" s="163"/>
      <c r="F816" s="163"/>
      <c r="G816" s="163"/>
      <c r="H816" s="163"/>
      <c r="I816" s="163"/>
      <c r="J816" s="163"/>
      <c r="K816" s="163"/>
      <c r="L816" s="163"/>
      <c r="M816" s="163"/>
      <c r="N816" s="163"/>
    </row>
    <row r="817" spans="2:14" x14ac:dyDescent="0.25">
      <c r="B817" s="163"/>
      <c r="C817" s="163"/>
      <c r="D817" s="163"/>
      <c r="E817" s="163"/>
      <c r="F817" s="163"/>
      <c r="G817" s="163"/>
      <c r="H817" s="163"/>
      <c r="I817" s="163"/>
      <c r="J817" s="163"/>
      <c r="K817" s="163"/>
      <c r="L817" s="163"/>
      <c r="M817" s="163"/>
      <c r="N817" s="163"/>
    </row>
    <row r="818" spans="2:14" x14ac:dyDescent="0.25">
      <c r="B818" s="163"/>
      <c r="C818" s="163"/>
      <c r="D818" s="163"/>
      <c r="E818" s="163"/>
      <c r="F818" s="163"/>
      <c r="G818" s="163"/>
      <c r="H818" s="163"/>
      <c r="I818" s="163"/>
      <c r="J818" s="163"/>
      <c r="K818" s="163"/>
      <c r="L818" s="163"/>
      <c r="M818" s="163"/>
      <c r="N818" s="163"/>
    </row>
    <row r="819" spans="2:14" x14ac:dyDescent="0.25">
      <c r="B819" s="163"/>
      <c r="C819" s="163"/>
      <c r="D819" s="163"/>
      <c r="E819" s="163"/>
      <c r="F819" s="163"/>
      <c r="G819" s="163"/>
      <c r="H819" s="163"/>
      <c r="I819" s="163"/>
      <c r="J819" s="163"/>
      <c r="K819" s="163"/>
      <c r="L819" s="163"/>
      <c r="M819" s="163"/>
      <c r="N819" s="163"/>
    </row>
    <row r="820" spans="2:14" x14ac:dyDescent="0.25">
      <c r="B820" s="163"/>
      <c r="C820" s="163"/>
      <c r="D820" s="163"/>
      <c r="E820" s="163"/>
      <c r="F820" s="163"/>
      <c r="G820" s="163"/>
      <c r="H820" s="163"/>
      <c r="I820" s="163"/>
      <c r="J820" s="163"/>
      <c r="K820" s="163"/>
      <c r="L820" s="163"/>
      <c r="M820" s="163"/>
      <c r="N820" s="163"/>
    </row>
    <row r="821" spans="2:14" x14ac:dyDescent="0.25">
      <c r="B821" s="163"/>
      <c r="C821" s="163"/>
      <c r="D821" s="163"/>
      <c r="E821" s="163"/>
      <c r="F821" s="163"/>
      <c r="G821" s="163"/>
      <c r="H821" s="163"/>
      <c r="I821" s="163"/>
      <c r="J821" s="163"/>
      <c r="K821" s="163"/>
      <c r="L821" s="163"/>
      <c r="M821" s="163"/>
      <c r="N821" s="163"/>
    </row>
    <row r="822" spans="2:14" x14ac:dyDescent="0.25">
      <c r="B822" s="163"/>
      <c r="C822" s="163"/>
      <c r="D822" s="163"/>
      <c r="E822" s="163"/>
      <c r="F822" s="163"/>
      <c r="G822" s="163"/>
      <c r="H822" s="163"/>
      <c r="I822" s="163"/>
      <c r="J822" s="163"/>
      <c r="K822" s="163"/>
      <c r="L822" s="163"/>
      <c r="M822" s="163"/>
      <c r="N822" s="163"/>
    </row>
    <row r="823" spans="2:14" x14ac:dyDescent="0.25">
      <c r="B823" s="163"/>
      <c r="C823" s="163"/>
      <c r="D823" s="163"/>
      <c r="E823" s="163"/>
      <c r="F823" s="163"/>
      <c r="G823" s="163"/>
      <c r="H823" s="163"/>
      <c r="I823" s="163"/>
      <c r="J823" s="163"/>
      <c r="K823" s="163"/>
      <c r="L823" s="163"/>
      <c r="M823" s="163"/>
      <c r="N823" s="163"/>
    </row>
    <row r="824" spans="2:14" x14ac:dyDescent="0.25">
      <c r="B824" s="163"/>
      <c r="C824" s="163"/>
      <c r="D824" s="163"/>
      <c r="E824" s="163"/>
      <c r="F824" s="163"/>
      <c r="G824" s="163"/>
      <c r="H824" s="163"/>
      <c r="I824" s="163"/>
      <c r="J824" s="163"/>
      <c r="K824" s="163"/>
      <c r="L824" s="163"/>
      <c r="M824" s="163"/>
      <c r="N824" s="163"/>
    </row>
    <row r="825" spans="2:14" x14ac:dyDescent="0.25">
      <c r="B825" s="163"/>
      <c r="C825" s="163"/>
      <c r="D825" s="163"/>
      <c r="E825" s="163"/>
      <c r="F825" s="163"/>
      <c r="G825" s="163"/>
      <c r="H825" s="163"/>
      <c r="I825" s="163"/>
      <c r="J825" s="163"/>
      <c r="K825" s="163"/>
      <c r="L825" s="163"/>
      <c r="M825" s="163"/>
      <c r="N825" s="163"/>
    </row>
    <row r="826" spans="2:14" x14ac:dyDescent="0.25">
      <c r="B826" s="163"/>
      <c r="C826" s="163"/>
      <c r="D826" s="163"/>
      <c r="E826" s="163"/>
      <c r="F826" s="163"/>
      <c r="G826" s="163"/>
      <c r="H826" s="163"/>
      <c r="I826" s="163"/>
      <c r="J826" s="163"/>
      <c r="K826" s="163"/>
      <c r="L826" s="163"/>
      <c r="M826" s="163"/>
      <c r="N826" s="163"/>
    </row>
    <row r="827" spans="2:14" x14ac:dyDescent="0.25">
      <c r="B827" s="163"/>
      <c r="C827" s="163"/>
      <c r="D827" s="163"/>
      <c r="E827" s="163"/>
      <c r="F827" s="163"/>
      <c r="G827" s="163"/>
      <c r="H827" s="163"/>
      <c r="I827" s="163"/>
      <c r="J827" s="163"/>
      <c r="K827" s="163"/>
      <c r="L827" s="163"/>
      <c r="M827" s="163"/>
      <c r="N827" s="163"/>
    </row>
    <row r="828" spans="2:14" x14ac:dyDescent="0.25">
      <c r="B828" s="163"/>
      <c r="C828" s="163"/>
      <c r="D828" s="163"/>
      <c r="E828" s="163"/>
      <c r="F828" s="163"/>
      <c r="G828" s="163"/>
      <c r="H828" s="163"/>
      <c r="I828" s="163"/>
      <c r="J828" s="163"/>
      <c r="K828" s="163"/>
      <c r="L828" s="163"/>
      <c r="M828" s="163"/>
      <c r="N828" s="163"/>
    </row>
    <row r="829" spans="2:14" x14ac:dyDescent="0.25">
      <c r="B829" s="163"/>
      <c r="C829" s="163"/>
      <c r="D829" s="163"/>
      <c r="E829" s="163"/>
      <c r="F829" s="163"/>
      <c r="G829" s="163"/>
      <c r="H829" s="163"/>
      <c r="I829" s="163"/>
      <c r="J829" s="163"/>
      <c r="K829" s="163"/>
      <c r="L829" s="163"/>
      <c r="M829" s="163"/>
      <c r="N829" s="163"/>
    </row>
    <row r="830" spans="2:14" x14ac:dyDescent="0.25">
      <c r="B830" s="163"/>
      <c r="C830" s="163"/>
      <c r="D830" s="163"/>
      <c r="E830" s="163"/>
      <c r="F830" s="163"/>
      <c r="G830" s="163"/>
      <c r="H830" s="163"/>
      <c r="I830" s="163"/>
      <c r="J830" s="163"/>
      <c r="K830" s="163"/>
      <c r="L830" s="163"/>
      <c r="M830" s="163"/>
      <c r="N830" s="163"/>
    </row>
    <row r="831" spans="2:14" x14ac:dyDescent="0.25">
      <c r="B831" s="163"/>
      <c r="C831" s="163"/>
      <c r="D831" s="163"/>
      <c r="E831" s="163"/>
      <c r="F831" s="163"/>
      <c r="G831" s="163"/>
      <c r="H831" s="163"/>
      <c r="I831" s="163"/>
      <c r="J831" s="163"/>
      <c r="K831" s="163"/>
      <c r="L831" s="163"/>
      <c r="M831" s="163"/>
      <c r="N831" s="163"/>
    </row>
    <row r="832" spans="2:14" x14ac:dyDescent="0.25">
      <c r="B832" s="163"/>
      <c r="C832" s="163"/>
      <c r="D832" s="163"/>
      <c r="E832" s="163"/>
      <c r="F832" s="163"/>
      <c r="G832" s="163"/>
      <c r="H832" s="163"/>
      <c r="I832" s="163"/>
      <c r="J832" s="163"/>
      <c r="K832" s="163"/>
      <c r="L832" s="163"/>
      <c r="M832" s="163"/>
      <c r="N832" s="163"/>
    </row>
    <row r="833" spans="2:14" x14ac:dyDescent="0.25">
      <c r="B833" s="163"/>
      <c r="C833" s="163"/>
      <c r="D833" s="163"/>
      <c r="E833" s="163"/>
      <c r="F833" s="163"/>
      <c r="G833" s="163"/>
      <c r="H833" s="163"/>
      <c r="I833" s="163"/>
      <c r="J833" s="163"/>
      <c r="K833" s="163"/>
      <c r="L833" s="163"/>
      <c r="M833" s="163"/>
      <c r="N833" s="163"/>
    </row>
    <row r="834" spans="2:14" x14ac:dyDescent="0.25">
      <c r="B834" s="163"/>
      <c r="C834" s="163"/>
      <c r="D834" s="163"/>
      <c r="E834" s="163"/>
      <c r="F834" s="163"/>
      <c r="G834" s="163"/>
      <c r="H834" s="163"/>
      <c r="I834" s="163"/>
      <c r="J834" s="163"/>
      <c r="K834" s="163"/>
      <c r="L834" s="163"/>
      <c r="M834" s="163"/>
      <c r="N834" s="163"/>
    </row>
    <row r="835" spans="2:14" x14ac:dyDescent="0.25">
      <c r="B835" s="163"/>
      <c r="C835" s="163"/>
      <c r="D835" s="163"/>
      <c r="E835" s="163"/>
      <c r="F835" s="163"/>
      <c r="G835" s="163"/>
      <c r="H835" s="163"/>
      <c r="I835" s="163"/>
      <c r="J835" s="163"/>
      <c r="K835" s="163"/>
      <c r="L835" s="163"/>
      <c r="M835" s="163"/>
      <c r="N835" s="163"/>
    </row>
    <row r="836" spans="2:14" x14ac:dyDescent="0.25">
      <c r="B836" s="163"/>
      <c r="C836" s="163"/>
      <c r="D836" s="163"/>
      <c r="E836" s="163"/>
      <c r="F836" s="163"/>
      <c r="G836" s="163"/>
      <c r="H836" s="163"/>
      <c r="I836" s="163"/>
      <c r="J836" s="163"/>
      <c r="K836" s="163"/>
      <c r="L836" s="163"/>
      <c r="M836" s="163"/>
      <c r="N836" s="163"/>
    </row>
    <row r="837" spans="2:14" x14ac:dyDescent="0.25">
      <c r="B837" s="163"/>
      <c r="C837" s="163"/>
      <c r="D837" s="163"/>
      <c r="E837" s="163"/>
      <c r="F837" s="163"/>
      <c r="G837" s="163"/>
      <c r="H837" s="163"/>
      <c r="I837" s="163"/>
      <c r="J837" s="163"/>
      <c r="K837" s="163"/>
      <c r="L837" s="163"/>
      <c r="M837" s="163"/>
      <c r="N837" s="163"/>
    </row>
    <row r="838" spans="2:14" x14ac:dyDescent="0.25">
      <c r="B838" s="163"/>
      <c r="C838" s="163"/>
      <c r="D838" s="163"/>
      <c r="E838" s="163"/>
      <c r="F838" s="163"/>
      <c r="G838" s="163"/>
      <c r="H838" s="163"/>
      <c r="I838" s="163"/>
      <c r="J838" s="163"/>
      <c r="K838" s="163"/>
      <c r="L838" s="163"/>
      <c r="M838" s="163"/>
      <c r="N838" s="163"/>
    </row>
    <row r="839" spans="2:14" x14ac:dyDescent="0.25">
      <c r="B839" s="163"/>
      <c r="C839" s="163"/>
      <c r="D839" s="163"/>
      <c r="E839" s="163"/>
      <c r="F839" s="163"/>
      <c r="G839" s="163"/>
      <c r="H839" s="163"/>
      <c r="I839" s="163"/>
      <c r="J839" s="163"/>
      <c r="K839" s="163"/>
      <c r="L839" s="163"/>
      <c r="M839" s="163"/>
      <c r="N839" s="163"/>
    </row>
    <row r="840" spans="2:14" x14ac:dyDescent="0.25">
      <c r="B840" s="163"/>
      <c r="C840" s="163"/>
      <c r="D840" s="163"/>
      <c r="E840" s="163"/>
      <c r="F840" s="163"/>
      <c r="G840" s="163"/>
      <c r="H840" s="163"/>
      <c r="I840" s="163"/>
      <c r="J840" s="163"/>
      <c r="K840" s="163"/>
      <c r="L840" s="163"/>
      <c r="M840" s="163"/>
      <c r="N840" s="163"/>
    </row>
    <row r="841" spans="2:14" x14ac:dyDescent="0.25">
      <c r="B841" s="163"/>
      <c r="C841" s="163"/>
      <c r="D841" s="163"/>
      <c r="E841" s="163"/>
      <c r="F841" s="163"/>
      <c r="G841" s="163"/>
      <c r="H841" s="163"/>
      <c r="I841" s="163"/>
      <c r="J841" s="163"/>
      <c r="K841" s="163"/>
      <c r="L841" s="163"/>
      <c r="M841" s="163"/>
      <c r="N841" s="163"/>
    </row>
    <row r="842" spans="2:14" x14ac:dyDescent="0.25">
      <c r="B842" s="163"/>
      <c r="C842" s="163"/>
      <c r="D842" s="163"/>
      <c r="E842" s="163"/>
      <c r="F842" s="163"/>
      <c r="G842" s="163"/>
      <c r="H842" s="163"/>
      <c r="I842" s="163"/>
      <c r="J842" s="163"/>
      <c r="K842" s="163"/>
      <c r="L842" s="163"/>
      <c r="M842" s="163"/>
      <c r="N842" s="163"/>
    </row>
    <row r="843" spans="2:14" x14ac:dyDescent="0.25">
      <c r="B843" s="163"/>
      <c r="C843" s="163"/>
      <c r="D843" s="163"/>
      <c r="E843" s="163"/>
      <c r="F843" s="163"/>
      <c r="G843" s="163"/>
      <c r="H843" s="163"/>
      <c r="I843" s="163"/>
      <c r="J843" s="163"/>
      <c r="K843" s="163"/>
      <c r="L843" s="163"/>
      <c r="M843" s="163"/>
      <c r="N843" s="163"/>
    </row>
    <row r="844" spans="2:14" x14ac:dyDescent="0.25">
      <c r="B844" s="163"/>
      <c r="C844" s="163"/>
      <c r="D844" s="163"/>
      <c r="E844" s="163"/>
      <c r="F844" s="163"/>
      <c r="G844" s="163"/>
      <c r="H844" s="163"/>
      <c r="I844" s="163"/>
      <c r="J844" s="163"/>
      <c r="K844" s="163"/>
      <c r="L844" s="163"/>
      <c r="M844" s="163"/>
      <c r="N844" s="163"/>
    </row>
    <row r="845" spans="2:14" x14ac:dyDescent="0.25">
      <c r="B845" s="163"/>
      <c r="C845" s="163"/>
      <c r="D845" s="163"/>
      <c r="E845" s="163"/>
      <c r="F845" s="163"/>
      <c r="G845" s="163"/>
      <c r="H845" s="163"/>
      <c r="I845" s="163"/>
      <c r="J845" s="163"/>
      <c r="K845" s="163"/>
      <c r="L845" s="163"/>
      <c r="M845" s="163"/>
      <c r="N845" s="163"/>
    </row>
    <row r="846" spans="2:14" x14ac:dyDescent="0.25">
      <c r="B846" s="163"/>
      <c r="C846" s="163"/>
      <c r="D846" s="163"/>
      <c r="E846" s="163"/>
      <c r="F846" s="163"/>
      <c r="G846" s="163"/>
      <c r="H846" s="163"/>
      <c r="I846" s="163"/>
      <c r="J846" s="163"/>
      <c r="K846" s="163"/>
      <c r="L846" s="163"/>
      <c r="M846" s="163"/>
      <c r="N846" s="163"/>
    </row>
    <row r="847" spans="2:14" x14ac:dyDescent="0.25">
      <c r="B847" s="163"/>
      <c r="C847" s="163"/>
      <c r="D847" s="163"/>
      <c r="E847" s="163"/>
      <c r="F847" s="163"/>
      <c r="G847" s="163"/>
      <c r="H847" s="163"/>
      <c r="I847" s="163"/>
      <c r="J847" s="163"/>
      <c r="K847" s="163"/>
      <c r="L847" s="163"/>
      <c r="M847" s="163"/>
      <c r="N847" s="163"/>
    </row>
    <row r="848" spans="2:14" x14ac:dyDescent="0.25">
      <c r="B848" s="163"/>
      <c r="C848" s="163"/>
      <c r="D848" s="163"/>
      <c r="E848" s="163"/>
      <c r="F848" s="163"/>
      <c r="G848" s="163"/>
      <c r="H848" s="163"/>
      <c r="I848" s="163"/>
      <c r="J848" s="163"/>
      <c r="K848" s="163"/>
      <c r="L848" s="163"/>
      <c r="M848" s="163"/>
      <c r="N848" s="163"/>
    </row>
    <row r="849" spans="2:14" x14ac:dyDescent="0.25">
      <c r="B849" s="163"/>
      <c r="C849" s="163"/>
      <c r="D849" s="163"/>
      <c r="E849" s="163"/>
      <c r="F849" s="163"/>
      <c r="G849" s="163"/>
      <c r="H849" s="163"/>
      <c r="I849" s="163"/>
      <c r="J849" s="163"/>
      <c r="K849" s="163"/>
      <c r="L849" s="163"/>
      <c r="M849" s="163"/>
      <c r="N849" s="163"/>
    </row>
    <row r="850" spans="2:14" x14ac:dyDescent="0.25">
      <c r="B850" s="163"/>
      <c r="C850" s="163"/>
      <c r="D850" s="163"/>
      <c r="E850" s="163"/>
      <c r="F850" s="163"/>
      <c r="G850" s="163"/>
      <c r="H850" s="163"/>
      <c r="I850" s="163"/>
      <c r="J850" s="163"/>
      <c r="K850" s="163"/>
      <c r="L850" s="163"/>
      <c r="M850" s="163"/>
      <c r="N850" s="163"/>
    </row>
    <row r="851" spans="2:14" x14ac:dyDescent="0.25">
      <c r="B851" s="163"/>
      <c r="C851" s="163"/>
      <c r="D851" s="163"/>
      <c r="E851" s="163"/>
      <c r="F851" s="163"/>
      <c r="G851" s="163"/>
      <c r="H851" s="163"/>
      <c r="I851" s="163"/>
      <c r="J851" s="163"/>
      <c r="K851" s="163"/>
      <c r="L851" s="163"/>
      <c r="M851" s="163"/>
      <c r="N851" s="163"/>
    </row>
    <row r="852" spans="2:14" x14ac:dyDescent="0.25">
      <c r="B852" s="163"/>
      <c r="C852" s="163"/>
      <c r="D852" s="163"/>
      <c r="E852" s="163"/>
      <c r="F852" s="163"/>
      <c r="G852" s="163"/>
      <c r="H852" s="163"/>
      <c r="I852" s="163"/>
      <c r="J852" s="163"/>
      <c r="K852" s="163"/>
      <c r="L852" s="163"/>
      <c r="M852" s="163"/>
      <c r="N852" s="163"/>
    </row>
    <row r="853" spans="2:14" x14ac:dyDescent="0.25">
      <c r="B853" s="163"/>
      <c r="C853" s="163"/>
      <c r="D853" s="163"/>
      <c r="E853" s="163"/>
      <c r="F853" s="163"/>
      <c r="G853" s="163"/>
      <c r="H853" s="163"/>
      <c r="I853" s="163"/>
      <c r="J853" s="163"/>
      <c r="K853" s="163"/>
      <c r="L853" s="163"/>
      <c r="M853" s="163"/>
      <c r="N853" s="163"/>
    </row>
    <row r="854" spans="2:14" x14ac:dyDescent="0.25">
      <c r="B854" s="163"/>
      <c r="C854" s="163"/>
      <c r="D854" s="163"/>
      <c r="E854" s="163"/>
      <c r="F854" s="163"/>
      <c r="G854" s="163"/>
      <c r="H854" s="163"/>
      <c r="I854" s="163"/>
      <c r="J854" s="163"/>
      <c r="K854" s="163"/>
      <c r="L854" s="163"/>
      <c r="M854" s="163"/>
      <c r="N854" s="163"/>
    </row>
    <row r="855" spans="2:14" x14ac:dyDescent="0.25">
      <c r="B855" s="163"/>
      <c r="C855" s="163"/>
      <c r="D855" s="163"/>
      <c r="E855" s="163"/>
      <c r="F855" s="163"/>
      <c r="G855" s="163"/>
      <c r="H855" s="163"/>
      <c r="I855" s="163"/>
      <c r="J855" s="163"/>
      <c r="K855" s="163"/>
      <c r="L855" s="163"/>
      <c r="M855" s="163"/>
      <c r="N855" s="163"/>
    </row>
    <row r="856" spans="2:14" x14ac:dyDescent="0.25">
      <c r="B856" s="163"/>
      <c r="C856" s="163"/>
      <c r="D856" s="163"/>
      <c r="E856" s="163"/>
      <c r="F856" s="163"/>
      <c r="G856" s="163"/>
      <c r="H856" s="163"/>
      <c r="I856" s="163"/>
      <c r="J856" s="163"/>
      <c r="K856" s="163"/>
      <c r="L856" s="163"/>
      <c r="M856" s="163"/>
      <c r="N856" s="163"/>
    </row>
    <row r="857" spans="2:14" x14ac:dyDescent="0.25">
      <c r="B857" s="163"/>
      <c r="C857" s="163"/>
      <c r="D857" s="163"/>
      <c r="E857" s="163"/>
      <c r="F857" s="163"/>
      <c r="G857" s="163"/>
      <c r="H857" s="163"/>
      <c r="I857" s="163"/>
      <c r="J857" s="163"/>
      <c r="K857" s="163"/>
      <c r="L857" s="163"/>
      <c r="M857" s="163"/>
      <c r="N857" s="163"/>
    </row>
    <row r="858" spans="2:14" x14ac:dyDescent="0.25">
      <c r="B858" s="163"/>
      <c r="C858" s="163"/>
      <c r="D858" s="163"/>
      <c r="E858" s="163"/>
      <c r="F858" s="163"/>
      <c r="G858" s="163"/>
      <c r="H858" s="163"/>
      <c r="I858" s="163"/>
      <c r="J858" s="163"/>
      <c r="K858" s="163"/>
      <c r="L858" s="163"/>
      <c r="M858" s="163"/>
      <c r="N858" s="163"/>
    </row>
    <row r="859" spans="2:14" x14ac:dyDescent="0.25">
      <c r="B859" s="163"/>
      <c r="C859" s="163"/>
      <c r="D859" s="163"/>
      <c r="E859" s="163"/>
      <c r="F859" s="163"/>
      <c r="G859" s="163"/>
      <c r="H859" s="163"/>
      <c r="I859" s="163"/>
      <c r="J859" s="163"/>
      <c r="K859" s="163"/>
      <c r="L859" s="163"/>
      <c r="M859" s="163"/>
      <c r="N859" s="163"/>
    </row>
    <row r="860" spans="2:14" x14ac:dyDescent="0.25">
      <c r="B860" s="163"/>
      <c r="C860" s="163"/>
      <c r="D860" s="163"/>
      <c r="E860" s="163"/>
      <c r="F860" s="163"/>
      <c r="G860" s="163"/>
      <c r="H860" s="163"/>
      <c r="I860" s="163"/>
      <c r="J860" s="163"/>
      <c r="K860" s="163"/>
      <c r="L860" s="163"/>
      <c r="M860" s="163"/>
      <c r="N860" s="163"/>
    </row>
    <row r="861" spans="2:14" x14ac:dyDescent="0.25">
      <c r="B861" s="163"/>
      <c r="C861" s="163"/>
      <c r="D861" s="163"/>
      <c r="E861" s="163"/>
      <c r="F861" s="163"/>
      <c r="G861" s="163"/>
      <c r="H861" s="163"/>
      <c r="I861" s="163"/>
      <c r="J861" s="163"/>
      <c r="K861" s="163"/>
      <c r="L861" s="163"/>
      <c r="M861" s="163"/>
      <c r="N861" s="163"/>
    </row>
    <row r="862" spans="2:14" x14ac:dyDescent="0.25">
      <c r="B862" s="163"/>
      <c r="C862" s="163"/>
      <c r="D862" s="163"/>
      <c r="E862" s="163"/>
      <c r="F862" s="163"/>
      <c r="G862" s="163"/>
      <c r="H862" s="163"/>
      <c r="I862" s="163"/>
      <c r="J862" s="163"/>
      <c r="K862" s="163"/>
      <c r="L862" s="163"/>
      <c r="M862" s="163"/>
      <c r="N862" s="163"/>
    </row>
    <row r="863" spans="2:14" x14ac:dyDescent="0.25">
      <c r="B863" s="163"/>
      <c r="C863" s="163"/>
      <c r="D863" s="163"/>
      <c r="E863" s="163"/>
      <c r="F863" s="163"/>
      <c r="G863" s="163"/>
      <c r="H863" s="163"/>
      <c r="I863" s="163"/>
      <c r="J863" s="163"/>
      <c r="K863" s="163"/>
      <c r="L863" s="163"/>
      <c r="M863" s="163"/>
      <c r="N863" s="163"/>
    </row>
    <row r="864" spans="2:14" x14ac:dyDescent="0.25">
      <c r="B864" s="163"/>
      <c r="C864" s="163"/>
      <c r="D864" s="163"/>
      <c r="E864" s="163"/>
      <c r="F864" s="163"/>
      <c r="G864" s="163"/>
      <c r="H864" s="163"/>
      <c r="I864" s="163"/>
      <c r="J864" s="163"/>
      <c r="K864" s="163"/>
      <c r="L864" s="163"/>
      <c r="M864" s="163"/>
      <c r="N864" s="163"/>
    </row>
    <row r="865" spans="2:14" x14ac:dyDescent="0.25">
      <c r="B865" s="163"/>
      <c r="C865" s="163"/>
      <c r="D865" s="163"/>
      <c r="E865" s="163"/>
      <c r="F865" s="163"/>
      <c r="G865" s="163"/>
      <c r="H865" s="163"/>
      <c r="I865" s="163"/>
      <c r="J865" s="163"/>
      <c r="K865" s="163"/>
      <c r="L865" s="163"/>
      <c r="M865" s="163"/>
      <c r="N865" s="163"/>
    </row>
    <row r="866" spans="2:14" x14ac:dyDescent="0.25">
      <c r="B866" s="163"/>
      <c r="C866" s="163"/>
      <c r="D866" s="163"/>
      <c r="E866" s="163"/>
      <c r="F866" s="163"/>
      <c r="G866" s="163"/>
      <c r="H866" s="163"/>
      <c r="I866" s="163"/>
      <c r="J866" s="163"/>
      <c r="K866" s="163"/>
      <c r="L866" s="163"/>
      <c r="M866" s="163"/>
      <c r="N866" s="163"/>
    </row>
    <row r="867" spans="2:14" x14ac:dyDescent="0.25">
      <c r="B867" s="163"/>
      <c r="C867" s="163"/>
      <c r="D867" s="163"/>
      <c r="E867" s="163"/>
      <c r="F867" s="163"/>
      <c r="G867" s="163"/>
      <c r="H867" s="163"/>
      <c r="I867" s="163"/>
      <c r="J867" s="163"/>
      <c r="K867" s="163"/>
      <c r="L867" s="163"/>
      <c r="M867" s="163"/>
      <c r="N867" s="163"/>
    </row>
    <row r="868" spans="2:14" x14ac:dyDescent="0.25">
      <c r="B868" s="163"/>
      <c r="C868" s="163"/>
      <c r="D868" s="163"/>
      <c r="E868" s="163"/>
      <c r="F868" s="163"/>
      <c r="G868" s="163"/>
      <c r="H868" s="163"/>
      <c r="I868" s="163"/>
      <c r="J868" s="163"/>
      <c r="K868" s="163"/>
      <c r="L868" s="163"/>
      <c r="M868" s="163"/>
      <c r="N868" s="163"/>
    </row>
    <row r="869" spans="2:14" x14ac:dyDescent="0.25">
      <c r="B869" s="163"/>
      <c r="C869" s="163"/>
      <c r="D869" s="163"/>
      <c r="E869" s="163"/>
      <c r="F869" s="163"/>
      <c r="G869" s="163"/>
      <c r="H869" s="163"/>
      <c r="I869" s="163"/>
      <c r="J869" s="163"/>
      <c r="K869" s="163"/>
      <c r="L869" s="163"/>
      <c r="M869" s="163"/>
      <c r="N869" s="163"/>
    </row>
    <row r="870" spans="2:14" x14ac:dyDescent="0.25">
      <c r="B870" s="163"/>
      <c r="C870" s="163"/>
      <c r="D870" s="163"/>
      <c r="E870" s="163"/>
      <c r="F870" s="163"/>
      <c r="G870" s="163"/>
      <c r="H870" s="163"/>
      <c r="I870" s="163"/>
      <c r="J870" s="163"/>
      <c r="K870" s="163"/>
      <c r="L870" s="163"/>
      <c r="M870" s="163"/>
      <c r="N870" s="163"/>
    </row>
    <row r="871" spans="2:14" x14ac:dyDescent="0.25">
      <c r="B871" s="163"/>
      <c r="C871" s="163"/>
      <c r="D871" s="163"/>
      <c r="E871" s="163"/>
      <c r="F871" s="163"/>
      <c r="G871" s="163"/>
      <c r="H871" s="163"/>
      <c r="I871" s="163"/>
      <c r="J871" s="163"/>
      <c r="K871" s="163"/>
      <c r="L871" s="163"/>
      <c r="M871" s="163"/>
      <c r="N871" s="163"/>
    </row>
    <row r="872" spans="2:14" x14ac:dyDescent="0.25">
      <c r="B872" s="163"/>
      <c r="C872" s="163"/>
      <c r="D872" s="163"/>
      <c r="E872" s="163"/>
      <c r="F872" s="163"/>
      <c r="G872" s="163"/>
      <c r="H872" s="163"/>
      <c r="I872" s="163"/>
      <c r="J872" s="163"/>
      <c r="K872" s="163"/>
      <c r="L872" s="163"/>
      <c r="M872" s="163"/>
      <c r="N872" s="163"/>
    </row>
    <row r="873" spans="2:14" x14ac:dyDescent="0.25">
      <c r="B873" s="163"/>
      <c r="C873" s="163"/>
      <c r="D873" s="163"/>
      <c r="E873" s="163"/>
      <c r="F873" s="163"/>
      <c r="G873" s="163"/>
      <c r="H873" s="163"/>
      <c r="I873" s="163"/>
      <c r="J873" s="163"/>
      <c r="K873" s="163"/>
      <c r="L873" s="163"/>
      <c r="M873" s="163"/>
      <c r="N873" s="163"/>
    </row>
    <row r="874" spans="2:14" x14ac:dyDescent="0.25">
      <c r="B874" s="163"/>
      <c r="C874" s="163"/>
      <c r="D874" s="163"/>
      <c r="E874" s="163"/>
      <c r="F874" s="163"/>
      <c r="G874" s="163"/>
      <c r="H874" s="163"/>
      <c r="I874" s="163"/>
      <c r="J874" s="163"/>
      <c r="K874" s="163"/>
      <c r="L874" s="163"/>
      <c r="M874" s="163"/>
      <c r="N874" s="163"/>
    </row>
    <row r="875" spans="2:14" x14ac:dyDescent="0.25">
      <c r="B875" s="163"/>
      <c r="C875" s="163"/>
      <c r="D875" s="163"/>
      <c r="E875" s="163"/>
      <c r="F875" s="163"/>
      <c r="G875" s="163"/>
      <c r="H875" s="163"/>
      <c r="I875" s="163"/>
      <c r="J875" s="163"/>
      <c r="K875" s="163"/>
      <c r="L875" s="163"/>
      <c r="M875" s="163"/>
      <c r="N875" s="163"/>
    </row>
    <row r="876" spans="2:14" x14ac:dyDescent="0.25">
      <c r="B876" s="163"/>
      <c r="C876" s="163"/>
      <c r="D876" s="163"/>
      <c r="E876" s="163"/>
      <c r="F876" s="163"/>
      <c r="G876" s="163"/>
      <c r="H876" s="163"/>
      <c r="I876" s="163"/>
      <c r="J876" s="163"/>
      <c r="K876" s="163"/>
      <c r="L876" s="163"/>
      <c r="M876" s="163"/>
      <c r="N876" s="163"/>
    </row>
    <row r="877" spans="2:14" x14ac:dyDescent="0.25">
      <c r="B877" s="163"/>
      <c r="C877" s="163"/>
      <c r="D877" s="163"/>
      <c r="E877" s="163"/>
      <c r="F877" s="163"/>
      <c r="G877" s="163"/>
      <c r="H877" s="163"/>
      <c r="I877" s="163"/>
      <c r="J877" s="163"/>
      <c r="K877" s="163"/>
      <c r="L877" s="163"/>
      <c r="M877" s="163"/>
      <c r="N877" s="163"/>
    </row>
    <row r="878" spans="2:14" x14ac:dyDescent="0.25">
      <c r="B878" s="163"/>
      <c r="C878" s="163"/>
      <c r="D878" s="163"/>
      <c r="E878" s="163"/>
      <c r="F878" s="163"/>
      <c r="G878" s="163"/>
      <c r="H878" s="163"/>
      <c r="I878" s="163"/>
      <c r="J878" s="163"/>
      <c r="K878" s="163"/>
      <c r="L878" s="163"/>
      <c r="M878" s="163"/>
      <c r="N878" s="163"/>
    </row>
    <row r="879" spans="2:14" x14ac:dyDescent="0.25">
      <c r="B879" s="163"/>
      <c r="C879" s="163"/>
      <c r="D879" s="163"/>
      <c r="E879" s="163"/>
      <c r="F879" s="163"/>
      <c r="G879" s="163"/>
      <c r="H879" s="163"/>
      <c r="I879" s="163"/>
      <c r="J879" s="163"/>
      <c r="K879" s="163"/>
      <c r="L879" s="163"/>
      <c r="M879" s="163"/>
      <c r="N879" s="163"/>
    </row>
    <row r="880" spans="2:14" x14ac:dyDescent="0.25">
      <c r="B880" s="163"/>
      <c r="C880" s="163"/>
      <c r="D880" s="163"/>
      <c r="E880" s="163"/>
      <c r="F880" s="163"/>
      <c r="G880" s="163"/>
      <c r="H880" s="163"/>
      <c r="I880" s="163"/>
      <c r="J880" s="163"/>
      <c r="K880" s="163"/>
      <c r="L880" s="163"/>
      <c r="M880" s="163"/>
      <c r="N880" s="163"/>
    </row>
    <row r="881" spans="2:14" x14ac:dyDescent="0.25">
      <c r="B881" s="163"/>
      <c r="C881" s="163"/>
      <c r="D881" s="163"/>
      <c r="E881" s="163"/>
      <c r="F881" s="163"/>
      <c r="G881" s="163"/>
      <c r="H881" s="163"/>
      <c r="I881" s="163"/>
      <c r="J881" s="163"/>
      <c r="K881" s="163"/>
      <c r="L881" s="163"/>
      <c r="M881" s="163"/>
      <c r="N881" s="163"/>
    </row>
    <row r="882" spans="2:14" x14ac:dyDescent="0.25">
      <c r="B882" s="163"/>
      <c r="C882" s="163"/>
      <c r="D882" s="163"/>
      <c r="E882" s="163"/>
      <c r="F882" s="163"/>
      <c r="G882" s="163"/>
      <c r="H882" s="163"/>
      <c r="I882" s="163"/>
      <c r="J882" s="163"/>
      <c r="K882" s="163"/>
      <c r="L882" s="163"/>
      <c r="M882" s="163"/>
      <c r="N882" s="163"/>
    </row>
    <row r="883" spans="2:14" x14ac:dyDescent="0.25">
      <c r="B883" s="163"/>
      <c r="C883" s="163"/>
      <c r="D883" s="163"/>
      <c r="E883" s="163"/>
      <c r="F883" s="163"/>
      <c r="G883" s="163"/>
      <c r="H883" s="163"/>
      <c r="I883" s="163"/>
      <c r="J883" s="163"/>
      <c r="K883" s="163"/>
      <c r="L883" s="163"/>
      <c r="M883" s="163"/>
      <c r="N883" s="163"/>
    </row>
    <row r="884" spans="2:14" x14ac:dyDescent="0.25">
      <c r="B884" s="163"/>
      <c r="C884" s="163"/>
      <c r="D884" s="163"/>
      <c r="E884" s="163"/>
      <c r="F884" s="163"/>
      <c r="G884" s="163"/>
      <c r="H884" s="163"/>
      <c r="I884" s="163"/>
      <c r="J884" s="163"/>
      <c r="K884" s="163"/>
      <c r="L884" s="163"/>
      <c r="M884" s="163"/>
      <c r="N884" s="163"/>
    </row>
    <row r="885" spans="2:14" x14ac:dyDescent="0.25">
      <c r="B885" s="163"/>
      <c r="C885" s="163"/>
      <c r="D885" s="163"/>
      <c r="E885" s="163"/>
      <c r="F885" s="163"/>
      <c r="G885" s="163"/>
      <c r="H885" s="163"/>
      <c r="I885" s="163"/>
      <c r="J885" s="163"/>
      <c r="K885" s="163"/>
      <c r="L885" s="163"/>
      <c r="M885" s="163"/>
      <c r="N885" s="163"/>
    </row>
    <row r="886" spans="2:14" x14ac:dyDescent="0.25">
      <c r="B886" s="163"/>
      <c r="C886" s="163"/>
      <c r="D886" s="163"/>
      <c r="E886" s="163"/>
      <c r="F886" s="163"/>
      <c r="G886" s="163"/>
      <c r="H886" s="163"/>
      <c r="I886" s="163"/>
      <c r="J886" s="163"/>
      <c r="K886" s="163"/>
      <c r="L886" s="163"/>
      <c r="M886" s="163"/>
      <c r="N886" s="163"/>
    </row>
    <row r="887" spans="2:14" x14ac:dyDescent="0.25">
      <c r="B887" s="163"/>
      <c r="C887" s="163"/>
      <c r="D887" s="163"/>
      <c r="E887" s="163"/>
      <c r="F887" s="163"/>
      <c r="G887" s="163"/>
      <c r="H887" s="163"/>
      <c r="I887" s="163"/>
      <c r="J887" s="163"/>
      <c r="K887" s="163"/>
      <c r="L887" s="163"/>
      <c r="M887" s="163"/>
      <c r="N887" s="163"/>
    </row>
    <row r="888" spans="2:14" x14ac:dyDescent="0.25">
      <c r="B888" s="163"/>
      <c r="C888" s="163"/>
      <c r="D888" s="163"/>
      <c r="E888" s="163"/>
      <c r="F888" s="163"/>
      <c r="G888" s="163"/>
      <c r="H888" s="163"/>
      <c r="I888" s="163"/>
      <c r="J888" s="163"/>
      <c r="K888" s="163"/>
      <c r="L888" s="163"/>
      <c r="M888" s="163"/>
      <c r="N888" s="163"/>
    </row>
    <row r="889" spans="2:14" x14ac:dyDescent="0.25">
      <c r="B889" s="163"/>
      <c r="C889" s="163"/>
      <c r="D889" s="163"/>
      <c r="E889" s="163"/>
      <c r="F889" s="163"/>
      <c r="G889" s="163"/>
      <c r="H889" s="163"/>
      <c r="I889" s="163"/>
      <c r="J889" s="163"/>
      <c r="K889" s="163"/>
      <c r="L889" s="163"/>
      <c r="M889" s="163"/>
      <c r="N889" s="163"/>
    </row>
    <row r="890" spans="2:14" x14ac:dyDescent="0.25">
      <c r="B890" s="163"/>
      <c r="C890" s="163"/>
      <c r="D890" s="163"/>
      <c r="E890" s="163"/>
      <c r="F890" s="163"/>
      <c r="G890" s="163"/>
      <c r="H890" s="163"/>
      <c r="I890" s="163"/>
      <c r="J890" s="163"/>
      <c r="K890" s="163"/>
      <c r="L890" s="163"/>
      <c r="M890" s="163"/>
      <c r="N890" s="163"/>
    </row>
    <row r="891" spans="2:14" x14ac:dyDescent="0.25">
      <c r="B891" s="163"/>
      <c r="C891" s="163"/>
      <c r="D891" s="163"/>
      <c r="E891" s="163"/>
      <c r="F891" s="163"/>
      <c r="G891" s="163"/>
      <c r="H891" s="163"/>
      <c r="I891" s="163"/>
      <c r="J891" s="163"/>
      <c r="K891" s="163"/>
      <c r="L891" s="163"/>
      <c r="M891" s="163"/>
      <c r="N891" s="163"/>
    </row>
    <row r="892" spans="2:14" x14ac:dyDescent="0.25">
      <c r="B892" s="163"/>
      <c r="C892" s="163"/>
      <c r="D892" s="163"/>
      <c r="E892" s="163"/>
      <c r="F892" s="163"/>
      <c r="G892" s="163"/>
      <c r="H892" s="163"/>
      <c r="I892" s="163"/>
      <c r="J892" s="163"/>
      <c r="K892" s="163"/>
      <c r="L892" s="163"/>
      <c r="M892" s="163"/>
      <c r="N892" s="163"/>
    </row>
    <row r="893" spans="2:14" x14ac:dyDescent="0.25">
      <c r="B893" s="163"/>
      <c r="C893" s="163"/>
      <c r="D893" s="163"/>
      <c r="E893" s="163"/>
      <c r="F893" s="163"/>
      <c r="G893" s="163"/>
      <c r="H893" s="163"/>
      <c r="I893" s="163"/>
      <c r="J893" s="163"/>
      <c r="K893" s="163"/>
      <c r="L893" s="163"/>
      <c r="M893" s="163"/>
      <c r="N893" s="163"/>
    </row>
    <row r="894" spans="2:14" x14ac:dyDescent="0.25">
      <c r="B894" s="163"/>
      <c r="C894" s="163"/>
      <c r="D894" s="163"/>
      <c r="E894" s="163"/>
      <c r="F894" s="163"/>
      <c r="G894" s="163"/>
      <c r="H894" s="163"/>
      <c r="I894" s="163"/>
      <c r="J894" s="163"/>
      <c r="K894" s="163"/>
      <c r="L894" s="163"/>
      <c r="M894" s="163"/>
      <c r="N894" s="163"/>
    </row>
    <row r="895" spans="2:14" x14ac:dyDescent="0.25">
      <c r="B895" s="163"/>
      <c r="C895" s="163"/>
      <c r="D895" s="163"/>
      <c r="E895" s="163"/>
      <c r="F895" s="163"/>
      <c r="G895" s="163"/>
      <c r="H895" s="163"/>
      <c r="I895" s="163"/>
      <c r="J895" s="163"/>
      <c r="K895" s="163"/>
      <c r="L895" s="163"/>
      <c r="M895" s="163"/>
      <c r="N895" s="163"/>
    </row>
    <row r="896" spans="2:14" x14ac:dyDescent="0.25">
      <c r="B896" s="163"/>
      <c r="C896" s="163"/>
      <c r="D896" s="163"/>
      <c r="E896" s="163"/>
      <c r="F896" s="163"/>
      <c r="G896" s="163"/>
      <c r="H896" s="163"/>
      <c r="I896" s="163"/>
      <c r="J896" s="163"/>
      <c r="K896" s="163"/>
      <c r="L896" s="163"/>
      <c r="M896" s="163"/>
      <c r="N896" s="163"/>
    </row>
    <row r="897" spans="2:14" x14ac:dyDescent="0.25">
      <c r="B897" s="163"/>
      <c r="C897" s="163"/>
      <c r="D897" s="163"/>
      <c r="E897" s="163"/>
      <c r="F897" s="163"/>
      <c r="G897" s="163"/>
      <c r="H897" s="163"/>
      <c r="I897" s="163"/>
      <c r="J897" s="163"/>
      <c r="K897" s="163"/>
      <c r="L897" s="163"/>
      <c r="M897" s="163"/>
      <c r="N897" s="163"/>
    </row>
    <row r="898" spans="2:14" x14ac:dyDescent="0.25">
      <c r="B898" s="163"/>
      <c r="C898" s="163"/>
      <c r="D898" s="163"/>
      <c r="E898" s="163"/>
      <c r="F898" s="163"/>
      <c r="G898" s="163"/>
      <c r="H898" s="163"/>
      <c r="I898" s="163"/>
      <c r="J898" s="163"/>
      <c r="K898" s="163"/>
      <c r="L898" s="163"/>
      <c r="M898" s="163"/>
      <c r="N898" s="163"/>
    </row>
    <row r="899" spans="2:14" x14ac:dyDescent="0.25">
      <c r="B899" s="163"/>
      <c r="C899" s="163"/>
      <c r="D899" s="163"/>
      <c r="E899" s="163"/>
      <c r="F899" s="163"/>
      <c r="G899" s="163"/>
      <c r="H899" s="163"/>
      <c r="I899" s="163"/>
      <c r="J899" s="163"/>
      <c r="K899" s="163"/>
      <c r="L899" s="163"/>
      <c r="M899" s="163"/>
      <c r="N899" s="163"/>
    </row>
    <row r="900" spans="2:14" x14ac:dyDescent="0.25">
      <c r="B900" s="163"/>
      <c r="C900" s="163"/>
      <c r="D900" s="163"/>
      <c r="E900" s="163"/>
      <c r="F900" s="163"/>
      <c r="G900" s="163"/>
      <c r="H900" s="163"/>
      <c r="I900" s="163"/>
      <c r="J900" s="163"/>
      <c r="K900" s="163"/>
      <c r="L900" s="163"/>
      <c r="M900" s="163"/>
      <c r="N900" s="163"/>
    </row>
    <row r="901" spans="2:14" x14ac:dyDescent="0.25">
      <c r="B901" s="163"/>
      <c r="C901" s="163"/>
      <c r="D901" s="163"/>
      <c r="E901" s="163"/>
      <c r="F901" s="163"/>
      <c r="G901" s="163"/>
      <c r="H901" s="163"/>
      <c r="I901" s="163"/>
      <c r="J901" s="163"/>
      <c r="K901" s="163"/>
      <c r="L901" s="163"/>
      <c r="M901" s="163"/>
      <c r="N901" s="163"/>
    </row>
    <row r="902" spans="2:14" x14ac:dyDescent="0.25">
      <c r="B902" s="163"/>
      <c r="C902" s="163"/>
      <c r="D902" s="163"/>
      <c r="E902" s="163"/>
      <c r="F902" s="163"/>
      <c r="G902" s="163"/>
      <c r="H902" s="163"/>
      <c r="I902" s="163"/>
      <c r="J902" s="163"/>
      <c r="K902" s="163"/>
      <c r="L902" s="163"/>
      <c r="M902" s="163"/>
      <c r="N902" s="163"/>
    </row>
    <row r="903" spans="2:14" x14ac:dyDescent="0.25">
      <c r="B903" s="163"/>
      <c r="C903" s="163"/>
      <c r="D903" s="163"/>
      <c r="E903" s="163"/>
      <c r="F903" s="163"/>
      <c r="G903" s="163"/>
      <c r="H903" s="163"/>
      <c r="I903" s="163"/>
      <c r="J903" s="163"/>
      <c r="K903" s="163"/>
      <c r="L903" s="163"/>
      <c r="M903" s="163"/>
      <c r="N903" s="163"/>
    </row>
    <row r="904" spans="2:14" x14ac:dyDescent="0.25">
      <c r="B904" s="163"/>
      <c r="C904" s="163"/>
      <c r="D904" s="163"/>
      <c r="E904" s="163"/>
      <c r="F904" s="163"/>
      <c r="G904" s="163"/>
      <c r="H904" s="163"/>
      <c r="I904" s="163"/>
      <c r="J904" s="163"/>
      <c r="K904" s="163"/>
      <c r="L904" s="163"/>
      <c r="M904" s="163"/>
      <c r="N904" s="163"/>
    </row>
    <row r="905" spans="2:14" x14ac:dyDescent="0.25">
      <c r="B905" s="163"/>
      <c r="C905" s="163"/>
      <c r="D905" s="163"/>
      <c r="E905" s="163"/>
      <c r="F905" s="163"/>
      <c r="G905" s="163"/>
      <c r="H905" s="163"/>
      <c r="I905" s="163"/>
      <c r="J905" s="163"/>
      <c r="K905" s="163"/>
      <c r="L905" s="163"/>
      <c r="M905" s="163"/>
      <c r="N905" s="163"/>
    </row>
    <row r="906" spans="2:14" x14ac:dyDescent="0.25">
      <c r="B906" s="163"/>
      <c r="C906" s="163"/>
      <c r="D906" s="163"/>
      <c r="E906" s="163"/>
      <c r="F906" s="163"/>
      <c r="G906" s="163"/>
      <c r="H906" s="163"/>
      <c r="I906" s="163"/>
      <c r="J906" s="163"/>
      <c r="K906" s="163"/>
      <c r="L906" s="163"/>
      <c r="M906" s="163"/>
      <c r="N906" s="163"/>
    </row>
    <row r="907" spans="2:14" x14ac:dyDescent="0.25">
      <c r="B907" s="163"/>
      <c r="C907" s="163"/>
      <c r="D907" s="163"/>
      <c r="E907" s="163"/>
      <c r="F907" s="163"/>
      <c r="G907" s="163"/>
      <c r="H907" s="163"/>
      <c r="I907" s="163"/>
      <c r="J907" s="163"/>
      <c r="K907" s="163"/>
      <c r="L907" s="163"/>
      <c r="M907" s="163"/>
      <c r="N907" s="163"/>
    </row>
    <row r="908" spans="2:14" x14ac:dyDescent="0.25">
      <c r="B908" s="163"/>
      <c r="C908" s="163"/>
      <c r="D908" s="163"/>
      <c r="E908" s="163"/>
      <c r="F908" s="163"/>
      <c r="G908" s="163"/>
      <c r="H908" s="163"/>
      <c r="I908" s="163"/>
      <c r="J908" s="163"/>
      <c r="K908" s="163"/>
      <c r="L908" s="163"/>
      <c r="M908" s="163"/>
      <c r="N908" s="163"/>
    </row>
    <row r="909" spans="2:14" x14ac:dyDescent="0.25">
      <c r="B909" s="163"/>
      <c r="C909" s="163"/>
      <c r="D909" s="163"/>
      <c r="E909" s="163"/>
      <c r="F909" s="163"/>
      <c r="G909" s="163"/>
      <c r="H909" s="163"/>
      <c r="I909" s="163"/>
      <c r="J909" s="163"/>
      <c r="K909" s="163"/>
      <c r="L909" s="163"/>
      <c r="M909" s="163"/>
      <c r="N909" s="163"/>
    </row>
    <row r="910" spans="2:14" x14ac:dyDescent="0.25">
      <c r="B910" s="163"/>
      <c r="C910" s="163"/>
      <c r="D910" s="163"/>
      <c r="E910" s="163"/>
      <c r="F910" s="163"/>
      <c r="G910" s="163"/>
      <c r="H910" s="163"/>
      <c r="I910" s="163"/>
      <c r="J910" s="163"/>
      <c r="K910" s="163"/>
      <c r="L910" s="163"/>
      <c r="M910" s="163"/>
      <c r="N910" s="163"/>
    </row>
    <row r="911" spans="2:14" x14ac:dyDescent="0.25">
      <c r="B911" s="163"/>
      <c r="C911" s="163"/>
      <c r="D911" s="163"/>
      <c r="E911" s="163"/>
      <c r="F911" s="163"/>
      <c r="G911" s="163"/>
      <c r="H911" s="163"/>
      <c r="I911" s="163"/>
      <c r="J911" s="163"/>
      <c r="K911" s="163"/>
      <c r="L911" s="163"/>
      <c r="M911" s="163"/>
      <c r="N911" s="163"/>
    </row>
    <row r="912" spans="2:14" x14ac:dyDescent="0.25">
      <c r="B912" s="163"/>
      <c r="C912" s="163"/>
      <c r="D912" s="163"/>
      <c r="E912" s="163"/>
      <c r="F912" s="163"/>
      <c r="G912" s="163"/>
      <c r="H912" s="163"/>
      <c r="I912" s="163"/>
      <c r="J912" s="163"/>
      <c r="K912" s="163"/>
      <c r="L912" s="163"/>
      <c r="M912" s="163"/>
      <c r="N912" s="163"/>
    </row>
    <row r="913" spans="2:14" x14ac:dyDescent="0.25">
      <c r="B913" s="163"/>
      <c r="C913" s="163"/>
      <c r="D913" s="163"/>
      <c r="E913" s="163"/>
      <c r="F913" s="163"/>
      <c r="G913" s="163"/>
      <c r="H913" s="163"/>
      <c r="I913" s="163"/>
      <c r="J913" s="163"/>
      <c r="K913" s="163"/>
      <c r="L913" s="163"/>
      <c r="M913" s="163"/>
      <c r="N913" s="163"/>
    </row>
    <row r="914" spans="2:14" x14ac:dyDescent="0.25">
      <c r="B914" s="163"/>
      <c r="C914" s="163"/>
      <c r="D914" s="163"/>
      <c r="E914" s="163"/>
      <c r="F914" s="163"/>
      <c r="G914" s="163"/>
      <c r="H914" s="163"/>
      <c r="I914" s="163"/>
      <c r="J914" s="163"/>
      <c r="K914" s="163"/>
      <c r="L914" s="163"/>
      <c r="M914" s="163"/>
      <c r="N914" s="163"/>
    </row>
    <row r="915" spans="2:14" x14ac:dyDescent="0.25">
      <c r="B915" s="163"/>
      <c r="C915" s="163"/>
      <c r="D915" s="163"/>
      <c r="E915" s="163"/>
      <c r="F915" s="163"/>
      <c r="G915" s="163"/>
      <c r="H915" s="163"/>
      <c r="I915" s="163"/>
      <c r="J915" s="163"/>
      <c r="K915" s="163"/>
      <c r="L915" s="163"/>
      <c r="M915" s="163"/>
      <c r="N915" s="163"/>
    </row>
    <row r="916" spans="2:14" x14ac:dyDescent="0.25">
      <c r="B916" s="163"/>
      <c r="C916" s="163"/>
      <c r="D916" s="163"/>
      <c r="E916" s="163"/>
      <c r="F916" s="163"/>
      <c r="G916" s="163"/>
      <c r="H916" s="163"/>
      <c r="I916" s="163"/>
      <c r="J916" s="163"/>
      <c r="K916" s="163"/>
      <c r="L916" s="163"/>
      <c r="M916" s="163"/>
      <c r="N916" s="163"/>
    </row>
    <row r="917" spans="2:14" x14ac:dyDescent="0.25">
      <c r="B917" s="163"/>
      <c r="C917" s="163"/>
      <c r="D917" s="163"/>
      <c r="E917" s="163"/>
      <c r="F917" s="163"/>
      <c r="G917" s="163"/>
      <c r="H917" s="163"/>
      <c r="I917" s="163"/>
      <c r="J917" s="163"/>
      <c r="K917" s="163"/>
      <c r="L917" s="163"/>
      <c r="M917" s="163"/>
      <c r="N917" s="163"/>
    </row>
    <row r="918" spans="2:14" x14ac:dyDescent="0.25">
      <c r="B918" s="163"/>
      <c r="C918" s="163"/>
      <c r="D918" s="163"/>
      <c r="E918" s="163"/>
      <c r="F918" s="163"/>
      <c r="G918" s="163"/>
      <c r="H918" s="163"/>
      <c r="I918" s="163"/>
      <c r="J918" s="163"/>
      <c r="K918" s="163"/>
      <c r="L918" s="163"/>
      <c r="M918" s="163"/>
      <c r="N918" s="163"/>
    </row>
    <row r="919" spans="2:14" x14ac:dyDescent="0.25">
      <c r="B919" s="163"/>
      <c r="C919" s="163"/>
      <c r="D919" s="163"/>
      <c r="E919" s="163"/>
      <c r="F919" s="163"/>
      <c r="G919" s="163"/>
      <c r="H919" s="163"/>
      <c r="I919" s="163"/>
      <c r="J919" s="163"/>
      <c r="K919" s="163"/>
      <c r="L919" s="163"/>
      <c r="M919" s="163"/>
      <c r="N919" s="163"/>
    </row>
    <row r="920" spans="2:14" x14ac:dyDescent="0.25">
      <c r="B920" s="163"/>
      <c r="C920" s="163"/>
      <c r="D920" s="163"/>
      <c r="E920" s="163"/>
      <c r="F920" s="163"/>
      <c r="G920" s="163"/>
      <c r="H920" s="163"/>
      <c r="I920" s="163"/>
      <c r="J920" s="163"/>
      <c r="K920" s="163"/>
      <c r="L920" s="163"/>
      <c r="M920" s="163"/>
      <c r="N920" s="163"/>
    </row>
    <row r="921" spans="2:14" x14ac:dyDescent="0.25">
      <c r="B921" s="163"/>
      <c r="C921" s="163"/>
      <c r="D921" s="163"/>
      <c r="E921" s="163"/>
      <c r="F921" s="163"/>
      <c r="G921" s="163"/>
      <c r="H921" s="163"/>
      <c r="I921" s="163"/>
      <c r="J921" s="163"/>
      <c r="K921" s="163"/>
      <c r="L921" s="163"/>
      <c r="M921" s="163"/>
      <c r="N921" s="163"/>
    </row>
    <row r="922" spans="2:14" x14ac:dyDescent="0.25">
      <c r="B922" s="163"/>
      <c r="C922" s="163"/>
      <c r="D922" s="163"/>
      <c r="E922" s="163"/>
      <c r="F922" s="163"/>
      <c r="G922" s="163"/>
      <c r="H922" s="163"/>
      <c r="I922" s="163"/>
      <c r="J922" s="163"/>
      <c r="K922" s="163"/>
      <c r="L922" s="163"/>
      <c r="M922" s="163"/>
      <c r="N922" s="163"/>
    </row>
    <row r="923" spans="2:14" x14ac:dyDescent="0.25">
      <c r="B923" s="163"/>
      <c r="C923" s="163"/>
      <c r="D923" s="163"/>
      <c r="E923" s="163"/>
      <c r="F923" s="163"/>
      <c r="G923" s="163"/>
      <c r="H923" s="163"/>
      <c r="I923" s="163"/>
      <c r="J923" s="163"/>
      <c r="K923" s="163"/>
      <c r="L923" s="163"/>
      <c r="M923" s="163"/>
      <c r="N923" s="163"/>
    </row>
    <row r="924" spans="2:14" x14ac:dyDescent="0.25">
      <c r="B924" s="163"/>
      <c r="C924" s="163"/>
      <c r="D924" s="163"/>
      <c r="E924" s="163"/>
      <c r="F924" s="163"/>
      <c r="G924" s="163"/>
      <c r="H924" s="163"/>
      <c r="I924" s="163"/>
      <c r="J924" s="163"/>
      <c r="K924" s="163"/>
      <c r="L924" s="163"/>
      <c r="M924" s="163"/>
      <c r="N924" s="163"/>
    </row>
    <row r="925" spans="2:14" x14ac:dyDescent="0.25">
      <c r="B925" s="163"/>
      <c r="C925" s="163"/>
      <c r="D925" s="163"/>
      <c r="E925" s="163"/>
      <c r="F925" s="163"/>
      <c r="G925" s="163"/>
      <c r="H925" s="163"/>
      <c r="I925" s="163"/>
      <c r="J925" s="163"/>
      <c r="K925" s="163"/>
      <c r="L925" s="163"/>
      <c r="M925" s="163"/>
      <c r="N925" s="163"/>
    </row>
    <row r="926" spans="2:14" x14ac:dyDescent="0.25">
      <c r="B926" s="163"/>
      <c r="C926" s="163"/>
      <c r="D926" s="163"/>
      <c r="E926" s="163"/>
      <c r="F926" s="163"/>
      <c r="G926" s="163"/>
      <c r="H926" s="163"/>
      <c r="I926" s="163"/>
      <c r="J926" s="163"/>
      <c r="K926" s="163"/>
      <c r="L926" s="163"/>
      <c r="M926" s="163"/>
      <c r="N926" s="163"/>
    </row>
    <row r="927" spans="2:14" x14ac:dyDescent="0.25">
      <c r="B927" s="163"/>
      <c r="C927" s="163"/>
      <c r="D927" s="163"/>
      <c r="E927" s="163"/>
      <c r="F927" s="163"/>
      <c r="G927" s="163"/>
      <c r="H927" s="163"/>
      <c r="I927" s="163"/>
      <c r="J927" s="163"/>
      <c r="K927" s="163"/>
      <c r="L927" s="163"/>
      <c r="M927" s="163"/>
      <c r="N927" s="163"/>
    </row>
    <row r="928" spans="2:14" x14ac:dyDescent="0.25">
      <c r="B928" s="163"/>
      <c r="C928" s="163"/>
      <c r="D928" s="163"/>
      <c r="E928" s="163"/>
      <c r="F928" s="163"/>
      <c r="G928" s="163"/>
      <c r="H928" s="163"/>
      <c r="I928" s="163"/>
      <c r="J928" s="163"/>
      <c r="K928" s="163"/>
      <c r="L928" s="163"/>
      <c r="M928" s="163"/>
      <c r="N928" s="163"/>
    </row>
    <row r="929" spans="2:14" x14ac:dyDescent="0.25">
      <c r="B929" s="163"/>
      <c r="C929" s="163"/>
      <c r="D929" s="163"/>
      <c r="E929" s="163"/>
      <c r="F929" s="163"/>
      <c r="G929" s="163"/>
      <c r="H929" s="163"/>
      <c r="I929" s="163"/>
      <c r="J929" s="163"/>
      <c r="K929" s="163"/>
      <c r="L929" s="163"/>
      <c r="M929" s="163"/>
      <c r="N929" s="163"/>
    </row>
    <row r="930" spans="2:14" x14ac:dyDescent="0.25">
      <c r="B930" s="163"/>
      <c r="C930" s="163"/>
      <c r="D930" s="163"/>
      <c r="E930" s="163"/>
      <c r="F930" s="163"/>
      <c r="G930" s="163"/>
      <c r="H930" s="163"/>
      <c r="I930" s="163"/>
      <c r="J930" s="163"/>
      <c r="K930" s="163"/>
      <c r="L930" s="163"/>
      <c r="M930" s="163"/>
      <c r="N930" s="163"/>
    </row>
    <row r="931" spans="2:14" x14ac:dyDescent="0.25">
      <c r="B931" s="163"/>
      <c r="C931" s="163"/>
      <c r="D931" s="163"/>
      <c r="E931" s="163"/>
      <c r="F931" s="163"/>
      <c r="G931" s="163"/>
      <c r="H931" s="163"/>
      <c r="I931" s="163"/>
      <c r="J931" s="163"/>
      <c r="K931" s="163"/>
      <c r="L931" s="163"/>
      <c r="M931" s="163"/>
      <c r="N931" s="163"/>
    </row>
    <row r="932" spans="2:14" x14ac:dyDescent="0.25">
      <c r="B932" s="163"/>
      <c r="C932" s="163"/>
      <c r="D932" s="163"/>
      <c r="E932" s="163"/>
      <c r="F932" s="163"/>
      <c r="G932" s="163"/>
      <c r="H932" s="163"/>
      <c r="I932" s="163"/>
      <c r="J932" s="163"/>
      <c r="K932" s="163"/>
      <c r="L932" s="163"/>
      <c r="M932" s="163"/>
      <c r="N932" s="163"/>
    </row>
    <row r="933" spans="2:14" x14ac:dyDescent="0.25">
      <c r="B933" s="163"/>
      <c r="C933" s="163"/>
      <c r="D933" s="163"/>
      <c r="E933" s="163"/>
      <c r="F933" s="163"/>
      <c r="G933" s="163"/>
      <c r="H933" s="163"/>
      <c r="I933" s="163"/>
      <c r="J933" s="163"/>
      <c r="K933" s="163"/>
      <c r="L933" s="163"/>
      <c r="M933" s="163"/>
      <c r="N933" s="163"/>
    </row>
    <row r="934" spans="2:14" x14ac:dyDescent="0.25">
      <c r="B934" s="163"/>
      <c r="C934" s="163"/>
      <c r="D934" s="163"/>
      <c r="E934" s="163"/>
      <c r="F934" s="163"/>
      <c r="G934" s="163"/>
      <c r="H934" s="163"/>
      <c r="I934" s="163"/>
      <c r="J934" s="163"/>
      <c r="K934" s="163"/>
      <c r="L934" s="163"/>
      <c r="M934" s="163"/>
      <c r="N934" s="163"/>
    </row>
    <row r="935" spans="2:14" x14ac:dyDescent="0.25">
      <c r="B935" s="163"/>
      <c r="C935" s="163"/>
      <c r="D935" s="163"/>
      <c r="E935" s="163"/>
      <c r="F935" s="163"/>
      <c r="G935" s="163"/>
      <c r="H935" s="163"/>
      <c r="I935" s="163"/>
      <c r="J935" s="163"/>
      <c r="K935" s="163"/>
      <c r="L935" s="163"/>
      <c r="M935" s="163"/>
      <c r="N935" s="163"/>
    </row>
    <row r="936" spans="2:14" x14ac:dyDescent="0.25">
      <c r="B936" s="163"/>
      <c r="C936" s="163"/>
      <c r="D936" s="163"/>
      <c r="E936" s="163"/>
      <c r="F936" s="163"/>
      <c r="G936" s="163"/>
      <c r="H936" s="163"/>
      <c r="I936" s="163"/>
      <c r="J936" s="163"/>
      <c r="K936" s="163"/>
      <c r="L936" s="163"/>
      <c r="M936" s="163"/>
      <c r="N936" s="163"/>
    </row>
    <row r="937" spans="2:14" x14ac:dyDescent="0.25">
      <c r="B937" s="163"/>
      <c r="C937" s="163"/>
      <c r="D937" s="163"/>
      <c r="E937" s="163"/>
      <c r="F937" s="163"/>
      <c r="G937" s="163"/>
      <c r="H937" s="163"/>
      <c r="I937" s="163"/>
      <c r="J937" s="163"/>
      <c r="K937" s="163"/>
      <c r="L937" s="163"/>
      <c r="M937" s="163"/>
      <c r="N937" s="163"/>
    </row>
    <row r="938" spans="2:14" x14ac:dyDescent="0.25">
      <c r="B938" s="163"/>
      <c r="C938" s="163"/>
      <c r="D938" s="163"/>
      <c r="E938" s="163"/>
      <c r="F938" s="163"/>
      <c r="G938" s="163"/>
      <c r="H938" s="163"/>
      <c r="I938" s="163"/>
      <c r="J938" s="163"/>
      <c r="K938" s="163"/>
      <c r="L938" s="163"/>
      <c r="M938" s="163"/>
      <c r="N938" s="163"/>
    </row>
    <row r="939" spans="2:14" x14ac:dyDescent="0.25">
      <c r="B939" s="163"/>
      <c r="C939" s="163"/>
      <c r="D939" s="163"/>
      <c r="E939" s="163"/>
      <c r="F939" s="163"/>
      <c r="G939" s="163"/>
      <c r="H939" s="163"/>
      <c r="I939" s="163"/>
      <c r="J939" s="163"/>
      <c r="K939" s="163"/>
      <c r="L939" s="163"/>
      <c r="M939" s="163"/>
      <c r="N939" s="163"/>
    </row>
    <row r="940" spans="2:14" x14ac:dyDescent="0.25">
      <c r="B940" s="163"/>
      <c r="C940" s="163"/>
      <c r="D940" s="163"/>
      <c r="E940" s="163"/>
      <c r="F940" s="163"/>
      <c r="G940" s="163"/>
      <c r="H940" s="163"/>
      <c r="I940" s="163"/>
      <c r="J940" s="163"/>
      <c r="K940" s="163"/>
      <c r="L940" s="163"/>
      <c r="M940" s="163"/>
      <c r="N940" s="163"/>
    </row>
    <row r="941" spans="2:14" x14ac:dyDescent="0.25">
      <c r="B941" s="163"/>
      <c r="C941" s="163"/>
      <c r="D941" s="163"/>
      <c r="E941" s="163"/>
      <c r="F941" s="163"/>
      <c r="G941" s="163"/>
      <c r="H941" s="163"/>
      <c r="I941" s="163"/>
      <c r="J941" s="163"/>
      <c r="K941" s="163"/>
      <c r="L941" s="163"/>
      <c r="M941" s="163"/>
      <c r="N941" s="163"/>
    </row>
    <row r="942" spans="2:14" x14ac:dyDescent="0.25">
      <c r="B942" s="163"/>
      <c r="C942" s="163"/>
      <c r="D942" s="163"/>
      <c r="E942" s="163"/>
      <c r="F942" s="163"/>
      <c r="G942" s="163"/>
      <c r="H942" s="163"/>
      <c r="I942" s="163"/>
      <c r="J942" s="163"/>
      <c r="K942" s="163"/>
      <c r="L942" s="163"/>
      <c r="M942" s="163"/>
      <c r="N942" s="163"/>
    </row>
    <row r="943" spans="2:14" x14ac:dyDescent="0.25">
      <c r="B943" s="163"/>
      <c r="C943" s="163"/>
      <c r="D943" s="163"/>
      <c r="E943" s="163"/>
      <c r="F943" s="163"/>
      <c r="G943" s="163"/>
      <c r="H943" s="163"/>
      <c r="I943" s="163"/>
      <c r="J943" s="163"/>
      <c r="K943" s="163"/>
      <c r="L943" s="163"/>
      <c r="M943" s="163"/>
      <c r="N943" s="163"/>
    </row>
    <row r="944" spans="2:14" x14ac:dyDescent="0.25">
      <c r="B944" s="163"/>
      <c r="C944" s="163"/>
      <c r="D944" s="163"/>
      <c r="E944" s="163"/>
      <c r="F944" s="163"/>
      <c r="G944" s="163"/>
      <c r="H944" s="163"/>
      <c r="I944" s="163"/>
      <c r="J944" s="163"/>
      <c r="K944" s="163"/>
      <c r="L944" s="163"/>
      <c r="M944" s="163"/>
      <c r="N944" s="163"/>
    </row>
    <row r="945" spans="2:14" x14ac:dyDescent="0.25">
      <c r="B945" s="163"/>
      <c r="C945" s="163"/>
      <c r="D945" s="163"/>
      <c r="E945" s="163"/>
      <c r="F945" s="163"/>
      <c r="G945" s="163"/>
      <c r="H945" s="163"/>
      <c r="I945" s="163"/>
      <c r="J945" s="163"/>
      <c r="K945" s="163"/>
      <c r="L945" s="163"/>
      <c r="M945" s="163"/>
      <c r="N945" s="163"/>
    </row>
    <row r="946" spans="2:14" x14ac:dyDescent="0.25">
      <c r="B946" s="163"/>
      <c r="C946" s="163"/>
      <c r="D946" s="163"/>
      <c r="E946" s="163"/>
      <c r="F946" s="163"/>
      <c r="G946" s="163"/>
      <c r="H946" s="163"/>
      <c r="I946" s="163"/>
      <c r="J946" s="163"/>
      <c r="K946" s="163"/>
      <c r="L946" s="163"/>
      <c r="M946" s="163"/>
      <c r="N946" s="163"/>
    </row>
    <row r="947" spans="2:14" x14ac:dyDescent="0.25">
      <c r="B947" s="163"/>
      <c r="C947" s="163"/>
      <c r="D947" s="163"/>
      <c r="E947" s="163"/>
      <c r="F947" s="163"/>
      <c r="G947" s="163"/>
      <c r="H947" s="163"/>
      <c r="I947" s="163"/>
      <c r="J947" s="163"/>
      <c r="K947" s="163"/>
      <c r="L947" s="163"/>
      <c r="M947" s="163"/>
      <c r="N947" s="163"/>
    </row>
    <row r="948" spans="2:14" x14ac:dyDescent="0.25">
      <c r="B948" s="163"/>
      <c r="C948" s="163"/>
      <c r="D948" s="163"/>
      <c r="E948" s="163"/>
      <c r="F948" s="163"/>
      <c r="G948" s="163"/>
      <c r="H948" s="163"/>
      <c r="I948" s="163"/>
      <c r="J948" s="163"/>
      <c r="K948" s="163"/>
      <c r="L948" s="163"/>
      <c r="M948" s="163"/>
      <c r="N948" s="163"/>
    </row>
    <row r="949" spans="2:14" x14ac:dyDescent="0.25">
      <c r="B949" s="163"/>
      <c r="C949" s="163"/>
      <c r="D949" s="163"/>
      <c r="E949" s="163"/>
      <c r="F949" s="163"/>
      <c r="G949" s="163"/>
      <c r="H949" s="163"/>
      <c r="I949" s="163"/>
      <c r="J949" s="163"/>
      <c r="K949" s="163"/>
      <c r="L949" s="163"/>
      <c r="M949" s="163"/>
      <c r="N949" s="163"/>
    </row>
    <row r="950" spans="2:14" x14ac:dyDescent="0.25">
      <c r="B950" s="163"/>
      <c r="C950" s="163"/>
      <c r="D950" s="163"/>
      <c r="E950" s="163"/>
      <c r="F950" s="163"/>
      <c r="G950" s="163"/>
      <c r="H950" s="163"/>
      <c r="I950" s="163"/>
      <c r="J950" s="163"/>
      <c r="K950" s="163"/>
      <c r="L950" s="163"/>
      <c r="M950" s="163"/>
      <c r="N950" s="163"/>
    </row>
    <row r="951" spans="2:14" x14ac:dyDescent="0.25">
      <c r="B951" s="163"/>
      <c r="C951" s="163"/>
      <c r="D951" s="163"/>
      <c r="E951" s="163"/>
      <c r="F951" s="163"/>
      <c r="G951" s="163"/>
      <c r="H951" s="163"/>
      <c r="I951" s="163"/>
      <c r="J951" s="163"/>
      <c r="K951" s="163"/>
      <c r="L951" s="163"/>
      <c r="M951" s="163"/>
      <c r="N951" s="163"/>
    </row>
    <row r="952" spans="2:14" x14ac:dyDescent="0.25">
      <c r="B952" s="163"/>
      <c r="C952" s="163"/>
      <c r="D952" s="163"/>
      <c r="E952" s="163"/>
      <c r="F952" s="163"/>
      <c r="G952" s="163"/>
      <c r="H952" s="163"/>
      <c r="I952" s="163"/>
      <c r="J952" s="163"/>
      <c r="K952" s="163"/>
      <c r="L952" s="163"/>
      <c r="M952" s="163"/>
      <c r="N952" s="163"/>
    </row>
    <row r="953" spans="2:14" x14ac:dyDescent="0.25">
      <c r="B953" s="163"/>
      <c r="C953" s="163"/>
      <c r="D953" s="163"/>
      <c r="E953" s="163"/>
      <c r="F953" s="163"/>
      <c r="G953" s="163"/>
      <c r="H953" s="163"/>
      <c r="I953" s="163"/>
      <c r="J953" s="163"/>
      <c r="K953" s="163"/>
      <c r="L953" s="163"/>
      <c r="M953" s="163"/>
      <c r="N953" s="163"/>
    </row>
    <row r="954" spans="2:14" x14ac:dyDescent="0.25">
      <c r="B954" s="163"/>
      <c r="C954" s="163"/>
      <c r="D954" s="163"/>
      <c r="E954" s="163"/>
      <c r="F954" s="163"/>
      <c r="G954" s="163"/>
      <c r="H954" s="163"/>
      <c r="I954" s="163"/>
      <c r="J954" s="163"/>
      <c r="K954" s="163"/>
      <c r="L954" s="163"/>
      <c r="M954" s="163"/>
      <c r="N954" s="163"/>
    </row>
    <row r="955" spans="2:14" x14ac:dyDescent="0.25">
      <c r="B955" s="163"/>
      <c r="C955" s="163"/>
      <c r="D955" s="163"/>
      <c r="E955" s="163"/>
      <c r="F955" s="163"/>
      <c r="G955" s="163"/>
      <c r="H955" s="163"/>
      <c r="I955" s="163"/>
      <c r="J955" s="163"/>
      <c r="K955" s="163"/>
      <c r="L955" s="163"/>
      <c r="M955" s="163"/>
      <c r="N955" s="163"/>
    </row>
    <row r="956" spans="2:14" x14ac:dyDescent="0.25">
      <c r="B956" s="163"/>
      <c r="C956" s="163"/>
      <c r="D956" s="163"/>
      <c r="E956" s="163"/>
      <c r="F956" s="163"/>
      <c r="G956" s="163"/>
      <c r="H956" s="163"/>
      <c r="I956" s="163"/>
      <c r="J956" s="163"/>
      <c r="K956" s="163"/>
      <c r="L956" s="163"/>
      <c r="M956" s="163"/>
      <c r="N956" s="163"/>
    </row>
    <row r="957" spans="2:14" x14ac:dyDescent="0.25">
      <c r="B957" s="163"/>
      <c r="C957" s="163"/>
      <c r="D957" s="163"/>
      <c r="E957" s="163"/>
      <c r="F957" s="163"/>
      <c r="G957" s="163"/>
      <c r="H957" s="163"/>
      <c r="I957" s="163"/>
      <c r="J957" s="163"/>
      <c r="K957" s="163"/>
      <c r="L957" s="163"/>
      <c r="M957" s="163"/>
      <c r="N957" s="163"/>
    </row>
    <row r="958" spans="2:14" x14ac:dyDescent="0.25">
      <c r="B958" s="163"/>
      <c r="C958" s="163"/>
      <c r="D958" s="163"/>
      <c r="E958" s="163"/>
      <c r="F958" s="163"/>
      <c r="G958" s="163"/>
      <c r="H958" s="163"/>
      <c r="I958" s="163"/>
      <c r="J958" s="163"/>
      <c r="K958" s="163"/>
      <c r="L958" s="163"/>
      <c r="M958" s="163"/>
      <c r="N958" s="163"/>
    </row>
    <row r="959" spans="2:14" x14ac:dyDescent="0.25">
      <c r="B959" s="163"/>
      <c r="C959" s="163"/>
      <c r="D959" s="163"/>
      <c r="E959" s="163"/>
      <c r="F959" s="163"/>
      <c r="G959" s="163"/>
      <c r="H959" s="163"/>
      <c r="I959" s="163"/>
      <c r="J959" s="163"/>
      <c r="K959" s="163"/>
      <c r="L959" s="163"/>
      <c r="M959" s="163"/>
      <c r="N959" s="163"/>
    </row>
    <row r="960" spans="2:14" x14ac:dyDescent="0.25">
      <c r="B960" s="163"/>
      <c r="C960" s="163"/>
      <c r="D960" s="163"/>
      <c r="E960" s="163"/>
      <c r="F960" s="163"/>
      <c r="G960" s="163"/>
      <c r="H960" s="163"/>
      <c r="I960" s="163"/>
      <c r="J960" s="163"/>
      <c r="K960" s="163"/>
      <c r="L960" s="163"/>
      <c r="M960" s="163"/>
      <c r="N960" s="163"/>
    </row>
    <row r="961" spans="2:14" x14ac:dyDescent="0.25">
      <c r="B961" s="163"/>
      <c r="C961" s="163"/>
      <c r="D961" s="163"/>
      <c r="E961" s="163"/>
      <c r="F961" s="163"/>
      <c r="G961" s="163"/>
      <c r="H961" s="163"/>
      <c r="I961" s="163"/>
      <c r="J961" s="163"/>
      <c r="K961" s="163"/>
      <c r="L961" s="163"/>
      <c r="M961" s="163"/>
      <c r="N961" s="163"/>
    </row>
    <row r="962" spans="2:14" x14ac:dyDescent="0.25">
      <c r="B962" s="163"/>
      <c r="C962" s="163"/>
      <c r="D962" s="163"/>
      <c r="E962" s="163"/>
      <c r="F962" s="163"/>
      <c r="G962" s="163"/>
      <c r="H962" s="163"/>
      <c r="I962" s="163"/>
      <c r="J962" s="163"/>
      <c r="K962" s="163"/>
      <c r="L962" s="163"/>
      <c r="M962" s="163"/>
      <c r="N962" s="163"/>
    </row>
    <row r="963" spans="2:14" x14ac:dyDescent="0.25">
      <c r="B963" s="163"/>
      <c r="C963" s="163"/>
      <c r="D963" s="163"/>
      <c r="E963" s="163"/>
      <c r="F963" s="163"/>
      <c r="G963" s="163"/>
      <c r="H963" s="163"/>
      <c r="I963" s="163"/>
      <c r="J963" s="163"/>
      <c r="K963" s="163"/>
      <c r="L963" s="163"/>
      <c r="M963" s="163"/>
      <c r="N963" s="163"/>
    </row>
    <row r="964" spans="2:14" x14ac:dyDescent="0.25">
      <c r="B964" s="163"/>
      <c r="C964" s="163"/>
      <c r="D964" s="163"/>
      <c r="E964" s="163"/>
      <c r="F964" s="163"/>
      <c r="G964" s="163"/>
      <c r="H964" s="163"/>
      <c r="I964" s="163"/>
      <c r="J964" s="163"/>
      <c r="K964" s="163"/>
      <c r="L964" s="163"/>
      <c r="M964" s="163"/>
      <c r="N964" s="163"/>
    </row>
    <row r="965" spans="2:14" x14ac:dyDescent="0.25">
      <c r="B965" s="163"/>
      <c r="C965" s="163"/>
      <c r="D965" s="163"/>
      <c r="E965" s="163"/>
      <c r="F965" s="163"/>
      <c r="G965" s="163"/>
      <c r="H965" s="163"/>
      <c r="I965" s="163"/>
      <c r="J965" s="163"/>
      <c r="K965" s="163"/>
      <c r="L965" s="163"/>
      <c r="M965" s="163"/>
      <c r="N965" s="163"/>
    </row>
    <row r="966" spans="2:14" x14ac:dyDescent="0.25">
      <c r="B966" s="163"/>
      <c r="C966" s="163"/>
      <c r="D966" s="163"/>
      <c r="E966" s="163"/>
      <c r="F966" s="163"/>
      <c r="G966" s="163"/>
      <c r="H966" s="163"/>
      <c r="I966" s="163"/>
      <c r="J966" s="163"/>
      <c r="K966" s="163"/>
      <c r="L966" s="163"/>
      <c r="M966" s="163"/>
      <c r="N966" s="163"/>
    </row>
    <row r="967" spans="2:14" x14ac:dyDescent="0.25">
      <c r="B967" s="163"/>
      <c r="C967" s="163"/>
      <c r="D967" s="163"/>
      <c r="E967" s="163"/>
      <c r="F967" s="163"/>
      <c r="G967" s="163"/>
      <c r="H967" s="163"/>
      <c r="I967" s="163"/>
      <c r="J967" s="163"/>
      <c r="K967" s="163"/>
      <c r="L967" s="163"/>
      <c r="M967" s="163"/>
      <c r="N967" s="163"/>
    </row>
    <row r="968" spans="2:14" x14ac:dyDescent="0.25">
      <c r="B968" s="163"/>
      <c r="C968" s="163"/>
      <c r="D968" s="163"/>
      <c r="E968" s="163"/>
      <c r="F968" s="163"/>
      <c r="G968" s="163"/>
      <c r="H968" s="163"/>
      <c r="I968" s="163"/>
      <c r="J968" s="163"/>
      <c r="K968" s="163"/>
      <c r="L968" s="163"/>
      <c r="M968" s="163"/>
      <c r="N968" s="163"/>
    </row>
    <row r="969" spans="2:14" x14ac:dyDescent="0.25">
      <c r="B969" s="163"/>
      <c r="C969" s="163"/>
      <c r="D969" s="163"/>
      <c r="E969" s="163"/>
      <c r="F969" s="163"/>
      <c r="G969" s="163"/>
      <c r="H969" s="163"/>
      <c r="I969" s="163"/>
      <c r="J969" s="163"/>
      <c r="K969" s="163"/>
      <c r="L969" s="163"/>
      <c r="M969" s="163"/>
      <c r="N969" s="163"/>
    </row>
    <row r="970" spans="2:14" x14ac:dyDescent="0.25">
      <c r="B970" s="163"/>
      <c r="C970" s="163"/>
      <c r="D970" s="163"/>
      <c r="E970" s="163"/>
      <c r="F970" s="163"/>
      <c r="G970" s="163"/>
      <c r="H970" s="163"/>
      <c r="I970" s="163"/>
      <c r="J970" s="163"/>
      <c r="K970" s="163"/>
      <c r="L970" s="163"/>
      <c r="M970" s="163"/>
      <c r="N970" s="163"/>
    </row>
    <row r="971" spans="2:14" x14ac:dyDescent="0.25">
      <c r="B971" s="163"/>
      <c r="C971" s="163"/>
      <c r="D971" s="163"/>
      <c r="E971" s="163"/>
      <c r="F971" s="163"/>
      <c r="G971" s="163"/>
      <c r="H971" s="163"/>
      <c r="I971" s="163"/>
      <c r="J971" s="163"/>
      <c r="K971" s="163"/>
      <c r="L971" s="163"/>
      <c r="M971" s="163"/>
      <c r="N971" s="163"/>
    </row>
    <row r="972" spans="2:14" x14ac:dyDescent="0.25">
      <c r="B972" s="163"/>
      <c r="C972" s="163"/>
      <c r="D972" s="163"/>
      <c r="E972" s="163"/>
      <c r="F972" s="163"/>
      <c r="G972" s="163"/>
      <c r="H972" s="163"/>
      <c r="I972" s="163"/>
      <c r="J972" s="163"/>
      <c r="K972" s="163"/>
      <c r="L972" s="163"/>
      <c r="M972" s="163"/>
      <c r="N972" s="163"/>
    </row>
    <row r="973" spans="2:14" x14ac:dyDescent="0.25">
      <c r="B973" s="163"/>
      <c r="C973" s="163"/>
      <c r="D973" s="163"/>
      <c r="E973" s="163"/>
      <c r="F973" s="163"/>
      <c r="G973" s="163"/>
      <c r="H973" s="163"/>
      <c r="I973" s="163"/>
      <c r="J973" s="163"/>
      <c r="K973" s="163"/>
      <c r="L973" s="163"/>
      <c r="M973" s="163"/>
      <c r="N973" s="163"/>
    </row>
    <row r="974" spans="2:14" x14ac:dyDescent="0.25">
      <c r="B974" s="163"/>
      <c r="C974" s="163"/>
      <c r="D974" s="163"/>
      <c r="E974" s="163"/>
      <c r="F974" s="163"/>
      <c r="G974" s="163"/>
      <c r="H974" s="163"/>
      <c r="I974" s="163"/>
      <c r="J974" s="163"/>
      <c r="K974" s="163"/>
      <c r="L974" s="163"/>
      <c r="M974" s="163"/>
      <c r="N974" s="163"/>
    </row>
    <row r="975" spans="2:14" x14ac:dyDescent="0.25">
      <c r="B975" s="163"/>
      <c r="C975" s="163"/>
      <c r="D975" s="163"/>
      <c r="E975" s="163"/>
      <c r="F975" s="163"/>
      <c r="G975" s="163"/>
      <c r="H975" s="163"/>
      <c r="I975" s="163"/>
      <c r="J975" s="163"/>
      <c r="K975" s="163"/>
      <c r="L975" s="163"/>
      <c r="M975" s="163"/>
      <c r="N975" s="163"/>
    </row>
    <row r="976" spans="2:14" x14ac:dyDescent="0.25">
      <c r="B976" s="163"/>
      <c r="C976" s="163"/>
      <c r="D976" s="163"/>
      <c r="E976" s="163"/>
      <c r="F976" s="163"/>
      <c r="G976" s="163"/>
      <c r="H976" s="163"/>
      <c r="I976" s="163"/>
      <c r="J976" s="163"/>
      <c r="K976" s="163"/>
      <c r="L976" s="163"/>
      <c r="M976" s="163"/>
      <c r="N976" s="163"/>
    </row>
    <row r="977" spans="2:14" x14ac:dyDescent="0.25">
      <c r="B977" s="163"/>
      <c r="C977" s="163"/>
      <c r="D977" s="163"/>
      <c r="E977" s="163"/>
      <c r="F977" s="163"/>
      <c r="G977" s="163"/>
      <c r="H977" s="163"/>
      <c r="I977" s="163"/>
      <c r="J977" s="163"/>
      <c r="K977" s="163"/>
      <c r="L977" s="163"/>
      <c r="M977" s="163"/>
      <c r="N977" s="163"/>
    </row>
    <row r="978" spans="2:14" x14ac:dyDescent="0.25">
      <c r="B978" s="163"/>
      <c r="C978" s="163"/>
      <c r="D978" s="163"/>
      <c r="E978" s="163"/>
      <c r="F978" s="163"/>
      <c r="G978" s="163"/>
      <c r="H978" s="163"/>
      <c r="I978" s="163"/>
      <c r="J978" s="163"/>
      <c r="K978" s="163"/>
      <c r="L978" s="163"/>
      <c r="M978" s="163"/>
      <c r="N978" s="163"/>
    </row>
    <row r="979" spans="2:14" x14ac:dyDescent="0.25">
      <c r="B979" s="163"/>
      <c r="C979" s="163"/>
      <c r="D979" s="163"/>
      <c r="E979" s="163"/>
      <c r="F979" s="163"/>
      <c r="G979" s="163"/>
      <c r="H979" s="163"/>
      <c r="I979" s="163"/>
      <c r="J979" s="163"/>
      <c r="K979" s="163"/>
      <c r="L979" s="163"/>
      <c r="M979" s="163"/>
      <c r="N979" s="163"/>
    </row>
    <row r="980" spans="2:14" x14ac:dyDescent="0.25">
      <c r="B980" s="163"/>
      <c r="C980" s="163"/>
      <c r="D980" s="163"/>
      <c r="E980" s="163"/>
      <c r="F980" s="163"/>
      <c r="G980" s="163"/>
      <c r="H980" s="163"/>
      <c r="I980" s="163"/>
      <c r="J980" s="163"/>
      <c r="K980" s="163"/>
      <c r="L980" s="163"/>
      <c r="M980" s="163"/>
      <c r="N980" s="163"/>
    </row>
    <row r="981" spans="2:14" x14ac:dyDescent="0.25">
      <c r="B981" s="163"/>
      <c r="C981" s="163"/>
      <c r="D981" s="163"/>
      <c r="E981" s="163"/>
      <c r="F981" s="163"/>
      <c r="G981" s="163"/>
      <c r="H981" s="163"/>
      <c r="I981" s="163"/>
      <c r="J981" s="163"/>
      <c r="K981" s="163"/>
      <c r="L981" s="163"/>
      <c r="M981" s="163"/>
      <c r="N981" s="163"/>
    </row>
    <row r="982" spans="2:14" x14ac:dyDescent="0.25">
      <c r="B982" s="163"/>
      <c r="C982" s="163"/>
      <c r="D982" s="163"/>
      <c r="E982" s="163"/>
      <c r="F982" s="163"/>
      <c r="G982" s="163"/>
      <c r="H982" s="163"/>
      <c r="I982" s="163"/>
      <c r="J982" s="163"/>
      <c r="K982" s="163"/>
      <c r="L982" s="163"/>
      <c r="M982" s="163"/>
      <c r="N982" s="163"/>
    </row>
    <row r="983" spans="2:14" x14ac:dyDescent="0.25">
      <c r="B983" s="163"/>
      <c r="C983" s="163"/>
      <c r="D983" s="163"/>
      <c r="E983" s="163"/>
      <c r="F983" s="163"/>
      <c r="G983" s="163"/>
      <c r="H983" s="163"/>
      <c r="I983" s="163"/>
      <c r="J983" s="163"/>
      <c r="K983" s="163"/>
      <c r="L983" s="163"/>
      <c r="M983" s="163"/>
      <c r="N983" s="163"/>
    </row>
    <row r="984" spans="2:14" x14ac:dyDescent="0.25">
      <c r="B984" s="163"/>
      <c r="C984" s="163"/>
      <c r="D984" s="163"/>
      <c r="E984" s="163"/>
      <c r="F984" s="163"/>
      <c r="G984" s="163"/>
      <c r="H984" s="163"/>
      <c r="I984" s="163"/>
      <c r="J984" s="163"/>
      <c r="K984" s="163"/>
      <c r="L984" s="163"/>
      <c r="M984" s="163"/>
      <c r="N984" s="163"/>
    </row>
    <row r="985" spans="2:14" x14ac:dyDescent="0.25">
      <c r="B985" s="163"/>
      <c r="C985" s="163"/>
      <c r="D985" s="163"/>
      <c r="E985" s="163"/>
      <c r="F985" s="163"/>
      <c r="G985" s="163"/>
      <c r="H985" s="163"/>
      <c r="I985" s="163"/>
      <c r="J985" s="163"/>
      <c r="K985" s="163"/>
      <c r="L985" s="163"/>
      <c r="M985" s="163"/>
      <c r="N985" s="163"/>
    </row>
    <row r="986" spans="2:14" x14ac:dyDescent="0.25">
      <c r="B986" s="163"/>
      <c r="C986" s="163"/>
      <c r="D986" s="163"/>
      <c r="E986" s="163"/>
      <c r="F986" s="163"/>
      <c r="G986" s="163"/>
      <c r="H986" s="163"/>
      <c r="I986" s="163"/>
      <c r="J986" s="163"/>
      <c r="K986" s="163"/>
      <c r="L986" s="163"/>
      <c r="M986" s="163"/>
      <c r="N986" s="163"/>
    </row>
    <row r="987" spans="2:14" x14ac:dyDescent="0.25">
      <c r="B987" s="163"/>
      <c r="C987" s="163"/>
      <c r="D987" s="163"/>
      <c r="E987" s="163"/>
      <c r="F987" s="163"/>
      <c r="G987" s="163"/>
      <c r="H987" s="163"/>
      <c r="I987" s="163"/>
      <c r="J987" s="163"/>
      <c r="K987" s="163"/>
      <c r="L987" s="163"/>
      <c r="M987" s="163"/>
      <c r="N987" s="163"/>
    </row>
    <row r="988" spans="2:14" x14ac:dyDescent="0.25">
      <c r="B988" s="163"/>
      <c r="C988" s="163"/>
      <c r="D988" s="163"/>
      <c r="E988" s="163"/>
      <c r="F988" s="163"/>
      <c r="G988" s="163"/>
      <c r="H988" s="163"/>
      <c r="I988" s="163"/>
      <c r="J988" s="163"/>
      <c r="K988" s="163"/>
      <c r="L988" s="163"/>
      <c r="M988" s="163"/>
      <c r="N988" s="163"/>
    </row>
    <row r="989" spans="2:14" x14ac:dyDescent="0.25">
      <c r="B989" s="163"/>
      <c r="C989" s="163"/>
      <c r="D989" s="163"/>
      <c r="E989" s="163"/>
      <c r="F989" s="163"/>
      <c r="G989" s="163"/>
      <c r="H989" s="163"/>
      <c r="I989" s="163"/>
      <c r="J989" s="163"/>
      <c r="K989" s="163"/>
      <c r="L989" s="163"/>
      <c r="M989" s="163"/>
      <c r="N989" s="163"/>
    </row>
    <row r="990" spans="2:14" x14ac:dyDescent="0.25">
      <c r="B990" s="163"/>
      <c r="C990" s="163"/>
      <c r="D990" s="163"/>
      <c r="E990" s="163"/>
      <c r="F990" s="163"/>
      <c r="G990" s="163"/>
      <c r="H990" s="163"/>
      <c r="I990" s="163"/>
      <c r="J990" s="163"/>
      <c r="K990" s="163"/>
      <c r="L990" s="163"/>
      <c r="M990" s="163"/>
      <c r="N990" s="163"/>
    </row>
    <row r="991" spans="2:14" x14ac:dyDescent="0.25">
      <c r="B991" s="163"/>
      <c r="C991" s="163"/>
      <c r="D991" s="163"/>
      <c r="E991" s="163"/>
      <c r="F991" s="163"/>
      <c r="G991" s="163"/>
      <c r="H991" s="163"/>
      <c r="I991" s="163"/>
      <c r="J991" s="163"/>
      <c r="K991" s="163"/>
      <c r="L991" s="163"/>
      <c r="M991" s="163"/>
      <c r="N991" s="163"/>
    </row>
    <row r="992" spans="2:14" x14ac:dyDescent="0.25">
      <c r="B992" s="163"/>
      <c r="C992" s="163"/>
      <c r="D992" s="163"/>
      <c r="E992" s="163"/>
      <c r="F992" s="163"/>
      <c r="G992" s="163"/>
      <c r="H992" s="163"/>
      <c r="I992" s="163"/>
      <c r="J992" s="163"/>
      <c r="K992" s="163"/>
      <c r="L992" s="163"/>
      <c r="M992" s="163"/>
      <c r="N992" s="163"/>
    </row>
    <row r="993" spans="2:14" x14ac:dyDescent="0.25">
      <c r="B993" s="163"/>
      <c r="C993" s="163"/>
      <c r="D993" s="163"/>
      <c r="E993" s="163"/>
      <c r="F993" s="163"/>
      <c r="G993" s="163"/>
      <c r="H993" s="163"/>
      <c r="I993" s="163"/>
      <c r="J993" s="163"/>
      <c r="K993" s="163"/>
      <c r="L993" s="163"/>
      <c r="M993" s="163"/>
      <c r="N993" s="163"/>
    </row>
    <row r="994" spans="2:14" x14ac:dyDescent="0.25">
      <c r="B994" s="163"/>
      <c r="C994" s="163"/>
      <c r="D994" s="163"/>
      <c r="E994" s="163"/>
      <c r="F994" s="163"/>
      <c r="G994" s="163"/>
      <c r="H994" s="163"/>
      <c r="I994" s="163"/>
      <c r="J994" s="163"/>
      <c r="K994" s="163"/>
      <c r="L994" s="163"/>
      <c r="M994" s="163"/>
      <c r="N994" s="163"/>
    </row>
    <row r="995" spans="2:14" x14ac:dyDescent="0.25">
      <c r="B995" s="163"/>
      <c r="C995" s="163"/>
      <c r="D995" s="163"/>
      <c r="E995" s="163"/>
      <c r="F995" s="163"/>
      <c r="G995" s="163"/>
      <c r="H995" s="163"/>
      <c r="I995" s="163"/>
      <c r="J995" s="163"/>
      <c r="K995" s="163"/>
      <c r="L995" s="163"/>
      <c r="M995" s="163"/>
      <c r="N995" s="163"/>
    </row>
    <row r="996" spans="2:14" x14ac:dyDescent="0.25">
      <c r="B996" s="163"/>
      <c r="C996" s="163"/>
      <c r="D996" s="163"/>
      <c r="E996" s="163"/>
      <c r="F996" s="163"/>
      <c r="G996" s="163"/>
      <c r="H996" s="163"/>
      <c r="I996" s="163"/>
      <c r="J996" s="163"/>
      <c r="K996" s="163"/>
      <c r="L996" s="163"/>
      <c r="M996" s="163"/>
      <c r="N996" s="163"/>
    </row>
    <row r="997" spans="2:14" x14ac:dyDescent="0.25">
      <c r="B997" s="163"/>
      <c r="C997" s="163"/>
      <c r="D997" s="163"/>
      <c r="E997" s="163"/>
      <c r="F997" s="163"/>
      <c r="G997" s="163"/>
      <c r="H997" s="163"/>
      <c r="I997" s="163"/>
      <c r="J997" s="163"/>
      <c r="K997" s="163"/>
      <c r="L997" s="163"/>
      <c r="M997" s="163"/>
      <c r="N997" s="163"/>
    </row>
    <row r="998" spans="2:14" x14ac:dyDescent="0.25">
      <c r="B998" s="163"/>
      <c r="C998" s="163"/>
      <c r="D998" s="163"/>
      <c r="E998" s="163"/>
      <c r="F998" s="163"/>
      <c r="G998" s="163"/>
      <c r="H998" s="163"/>
      <c r="I998" s="163"/>
      <c r="J998" s="163"/>
      <c r="K998" s="163"/>
      <c r="L998" s="163"/>
      <c r="M998" s="163"/>
      <c r="N998" s="163"/>
    </row>
    <row r="999" spans="2:14" x14ac:dyDescent="0.25">
      <c r="B999" s="163"/>
      <c r="C999" s="163"/>
      <c r="D999" s="163"/>
      <c r="E999" s="163"/>
      <c r="F999" s="163"/>
      <c r="G999" s="163"/>
      <c r="H999" s="163"/>
      <c r="I999" s="163"/>
      <c r="J999" s="163"/>
      <c r="K999" s="163"/>
      <c r="L999" s="163"/>
      <c r="M999" s="163"/>
      <c r="N999" s="163"/>
    </row>
    <row r="1000" spans="2:14" x14ac:dyDescent="0.25">
      <c r="B1000" s="163"/>
      <c r="C1000" s="163"/>
      <c r="D1000" s="163"/>
      <c r="E1000" s="163"/>
      <c r="F1000" s="163"/>
      <c r="G1000" s="163"/>
      <c r="H1000" s="163"/>
      <c r="I1000" s="163"/>
      <c r="J1000" s="163"/>
      <c r="K1000" s="163"/>
      <c r="L1000" s="163"/>
      <c r="M1000" s="163"/>
      <c r="N1000" s="163"/>
    </row>
    <row r="1001" spans="2:14" x14ac:dyDescent="0.25">
      <c r="B1001" s="163"/>
      <c r="C1001" s="163"/>
      <c r="D1001" s="163"/>
      <c r="E1001" s="163"/>
      <c r="F1001" s="163"/>
      <c r="G1001" s="163"/>
      <c r="H1001" s="163"/>
      <c r="I1001" s="163"/>
      <c r="J1001" s="163"/>
      <c r="K1001" s="163"/>
      <c r="L1001" s="163"/>
      <c r="M1001" s="163"/>
      <c r="N1001" s="163"/>
    </row>
    <row r="1002" spans="2:14" x14ac:dyDescent="0.25">
      <c r="B1002" s="163"/>
      <c r="C1002" s="163"/>
      <c r="D1002" s="163"/>
      <c r="E1002" s="163"/>
      <c r="F1002" s="163"/>
      <c r="G1002" s="163"/>
      <c r="H1002" s="163"/>
      <c r="I1002" s="163"/>
      <c r="J1002" s="163"/>
      <c r="K1002" s="163"/>
      <c r="L1002" s="163"/>
      <c r="M1002" s="163"/>
      <c r="N1002" s="163"/>
    </row>
    <row r="1003" spans="2:14" x14ac:dyDescent="0.25">
      <c r="B1003" s="163"/>
      <c r="C1003" s="163"/>
      <c r="D1003" s="163"/>
      <c r="E1003" s="163"/>
      <c r="F1003" s="163"/>
      <c r="G1003" s="163"/>
      <c r="H1003" s="163"/>
      <c r="I1003" s="163"/>
      <c r="J1003" s="163"/>
      <c r="K1003" s="163"/>
      <c r="L1003" s="163"/>
      <c r="M1003" s="163"/>
      <c r="N1003" s="163"/>
    </row>
    <row r="1004" spans="2:14" x14ac:dyDescent="0.25">
      <c r="B1004" s="163"/>
      <c r="C1004" s="163"/>
      <c r="D1004" s="163"/>
      <c r="E1004" s="163"/>
      <c r="F1004" s="163"/>
      <c r="G1004" s="163"/>
      <c r="H1004" s="163"/>
      <c r="I1004" s="163"/>
      <c r="J1004" s="163"/>
      <c r="K1004" s="163"/>
      <c r="L1004" s="163"/>
      <c r="M1004" s="163"/>
      <c r="N1004" s="163"/>
    </row>
    <row r="1005" spans="2:14" x14ac:dyDescent="0.25">
      <c r="B1005" s="163"/>
      <c r="C1005" s="163"/>
      <c r="D1005" s="163"/>
      <c r="E1005" s="163"/>
      <c r="F1005" s="163"/>
      <c r="G1005" s="163"/>
      <c r="H1005" s="163"/>
      <c r="I1005" s="163"/>
      <c r="J1005" s="163"/>
      <c r="K1005" s="163"/>
      <c r="L1005" s="163"/>
      <c r="M1005" s="163"/>
      <c r="N1005" s="163"/>
    </row>
    <row r="1006" spans="2:14" x14ac:dyDescent="0.25">
      <c r="B1006" s="163"/>
      <c r="C1006" s="163"/>
      <c r="D1006" s="163"/>
      <c r="E1006" s="163"/>
      <c r="F1006" s="163"/>
      <c r="G1006" s="163"/>
      <c r="H1006" s="163"/>
      <c r="I1006" s="163"/>
      <c r="J1006" s="163"/>
      <c r="K1006" s="163"/>
      <c r="L1006" s="163"/>
      <c r="M1006" s="163"/>
      <c r="N1006" s="163"/>
    </row>
    <row r="1007" spans="2:14" x14ac:dyDescent="0.25">
      <c r="B1007" s="163"/>
      <c r="C1007" s="163"/>
      <c r="D1007" s="163"/>
      <c r="E1007" s="163"/>
      <c r="F1007" s="163"/>
      <c r="G1007" s="163"/>
      <c r="H1007" s="163"/>
      <c r="I1007" s="163"/>
      <c r="J1007" s="163"/>
      <c r="K1007" s="163"/>
      <c r="L1007" s="163"/>
      <c r="M1007" s="163"/>
      <c r="N1007" s="163"/>
    </row>
    <row r="1008" spans="2:14" x14ac:dyDescent="0.25">
      <c r="B1008" s="163"/>
      <c r="C1008" s="163"/>
      <c r="D1008" s="163"/>
      <c r="E1008" s="163"/>
      <c r="F1008" s="163"/>
      <c r="G1008" s="163"/>
      <c r="H1008" s="163"/>
      <c r="I1008" s="163"/>
      <c r="J1008" s="163"/>
      <c r="K1008" s="163"/>
      <c r="L1008" s="163"/>
      <c r="M1008" s="163"/>
      <c r="N1008" s="163"/>
    </row>
    <row r="1009" spans="2:14" x14ac:dyDescent="0.25">
      <c r="B1009" s="163"/>
      <c r="C1009" s="163"/>
      <c r="D1009" s="163"/>
      <c r="E1009" s="163"/>
      <c r="F1009" s="163"/>
      <c r="G1009" s="163"/>
      <c r="H1009" s="163"/>
      <c r="I1009" s="163"/>
      <c r="J1009" s="163"/>
      <c r="K1009" s="163"/>
      <c r="L1009" s="163"/>
      <c r="M1009" s="163"/>
      <c r="N1009" s="163"/>
    </row>
    <row r="1010" spans="2:14" x14ac:dyDescent="0.25">
      <c r="B1010" s="163"/>
      <c r="C1010" s="163"/>
      <c r="D1010" s="163"/>
      <c r="E1010" s="163"/>
      <c r="F1010" s="163"/>
      <c r="G1010" s="163"/>
      <c r="H1010" s="163"/>
      <c r="I1010" s="163"/>
      <c r="J1010" s="163"/>
      <c r="K1010" s="163"/>
      <c r="L1010" s="163"/>
      <c r="M1010" s="163"/>
      <c r="N1010" s="163"/>
    </row>
    <row r="1011" spans="2:14" x14ac:dyDescent="0.25">
      <c r="B1011" s="163"/>
      <c r="C1011" s="163"/>
      <c r="D1011" s="163"/>
      <c r="E1011" s="163"/>
      <c r="F1011" s="163"/>
      <c r="G1011" s="163"/>
      <c r="H1011" s="163"/>
      <c r="I1011" s="163"/>
      <c r="J1011" s="163"/>
      <c r="K1011" s="163"/>
      <c r="L1011" s="163"/>
      <c r="M1011" s="163"/>
      <c r="N1011" s="163"/>
    </row>
    <row r="1012" spans="2:14" x14ac:dyDescent="0.25">
      <c r="B1012" s="163"/>
      <c r="C1012" s="163"/>
      <c r="D1012" s="163"/>
      <c r="E1012" s="163"/>
      <c r="F1012" s="163"/>
      <c r="G1012" s="163"/>
      <c r="H1012" s="163"/>
      <c r="I1012" s="163"/>
      <c r="J1012" s="163"/>
      <c r="K1012" s="163"/>
      <c r="L1012" s="163"/>
      <c r="M1012" s="163"/>
      <c r="N1012" s="163"/>
    </row>
    <row r="1013" spans="2:14" x14ac:dyDescent="0.25">
      <c r="B1013" s="163"/>
      <c r="C1013" s="163"/>
      <c r="D1013" s="163"/>
      <c r="E1013" s="163"/>
      <c r="F1013" s="163"/>
      <c r="G1013" s="163"/>
      <c r="H1013" s="163"/>
      <c r="I1013" s="163"/>
      <c r="J1013" s="163"/>
      <c r="K1013" s="163"/>
      <c r="L1013" s="163"/>
      <c r="M1013" s="163"/>
      <c r="N1013" s="163"/>
    </row>
    <row r="1014" spans="2:14" x14ac:dyDescent="0.25">
      <c r="B1014" s="163"/>
      <c r="C1014" s="163"/>
      <c r="D1014" s="163"/>
      <c r="E1014" s="163"/>
      <c r="F1014" s="163"/>
      <c r="G1014" s="163"/>
      <c r="H1014" s="163"/>
      <c r="I1014" s="163"/>
      <c r="J1014" s="163"/>
      <c r="K1014" s="163"/>
      <c r="L1014" s="163"/>
      <c r="M1014" s="163"/>
      <c r="N1014" s="163"/>
    </row>
    <row r="1015" spans="2:14" x14ac:dyDescent="0.25">
      <c r="B1015" s="163"/>
      <c r="C1015" s="163"/>
      <c r="D1015" s="163"/>
      <c r="E1015" s="163"/>
      <c r="F1015" s="163"/>
      <c r="G1015" s="163"/>
      <c r="H1015" s="163"/>
      <c r="I1015" s="163"/>
      <c r="J1015" s="163"/>
      <c r="K1015" s="163"/>
      <c r="L1015" s="163"/>
      <c r="M1015" s="163"/>
      <c r="N1015" s="163"/>
    </row>
    <row r="1016" spans="2:14" x14ac:dyDescent="0.25">
      <c r="B1016" s="163"/>
      <c r="C1016" s="163"/>
      <c r="D1016" s="163"/>
      <c r="E1016" s="163"/>
      <c r="F1016" s="163"/>
      <c r="G1016" s="163"/>
      <c r="H1016" s="163"/>
      <c r="I1016" s="163"/>
      <c r="J1016" s="163"/>
      <c r="K1016" s="163"/>
      <c r="L1016" s="163"/>
      <c r="M1016" s="163"/>
      <c r="N1016" s="163"/>
    </row>
    <row r="1017" spans="2:14" x14ac:dyDescent="0.25">
      <c r="B1017" s="163"/>
      <c r="C1017" s="163"/>
      <c r="D1017" s="163"/>
      <c r="E1017" s="163"/>
      <c r="F1017" s="163"/>
      <c r="G1017" s="163"/>
      <c r="H1017" s="163"/>
      <c r="I1017" s="163"/>
      <c r="J1017" s="163"/>
      <c r="K1017" s="163"/>
      <c r="L1017" s="163"/>
      <c r="M1017" s="163"/>
      <c r="N1017" s="163"/>
    </row>
    <row r="1018" spans="2:14" x14ac:dyDescent="0.25">
      <c r="B1018" s="163"/>
      <c r="C1018" s="163"/>
      <c r="D1018" s="163"/>
      <c r="E1018" s="163"/>
      <c r="F1018" s="163"/>
      <c r="G1018" s="163"/>
      <c r="H1018" s="163"/>
      <c r="I1018" s="163"/>
      <c r="J1018" s="163"/>
      <c r="K1018" s="163"/>
      <c r="L1018" s="163"/>
      <c r="M1018" s="163"/>
      <c r="N1018" s="163"/>
    </row>
    <row r="1019" spans="2:14" x14ac:dyDescent="0.25">
      <c r="B1019" s="163"/>
      <c r="C1019" s="163"/>
      <c r="D1019" s="163"/>
      <c r="E1019" s="163"/>
      <c r="F1019" s="163"/>
      <c r="G1019" s="163"/>
      <c r="H1019" s="163"/>
      <c r="I1019" s="163"/>
      <c r="J1019" s="163"/>
      <c r="K1019" s="163"/>
      <c r="L1019" s="163"/>
      <c r="M1019" s="163"/>
      <c r="N1019" s="163"/>
    </row>
    <row r="1020" spans="2:14" x14ac:dyDescent="0.25">
      <c r="B1020" s="163"/>
      <c r="C1020" s="163"/>
      <c r="D1020" s="163"/>
      <c r="E1020" s="163"/>
      <c r="F1020" s="163"/>
      <c r="G1020" s="163"/>
      <c r="H1020" s="163"/>
      <c r="I1020" s="163"/>
      <c r="J1020" s="163"/>
      <c r="K1020" s="163"/>
      <c r="L1020" s="163"/>
      <c r="M1020" s="163"/>
      <c r="N1020" s="163"/>
    </row>
    <row r="1021" spans="2:14" x14ac:dyDescent="0.25">
      <c r="B1021" s="163"/>
      <c r="C1021" s="163"/>
      <c r="D1021" s="163"/>
      <c r="E1021" s="163"/>
      <c r="F1021" s="163"/>
      <c r="G1021" s="163"/>
      <c r="H1021" s="163"/>
      <c r="I1021" s="163"/>
      <c r="J1021" s="163"/>
      <c r="K1021" s="163"/>
      <c r="L1021" s="163"/>
      <c r="M1021" s="163"/>
      <c r="N1021" s="163"/>
    </row>
    <row r="1022" spans="2:14" x14ac:dyDescent="0.25">
      <c r="B1022" s="163"/>
      <c r="C1022" s="163"/>
      <c r="D1022" s="163"/>
      <c r="E1022" s="163"/>
      <c r="F1022" s="163"/>
      <c r="G1022" s="163"/>
      <c r="H1022" s="163"/>
      <c r="I1022" s="163"/>
      <c r="J1022" s="163"/>
      <c r="K1022" s="163"/>
      <c r="L1022" s="163"/>
      <c r="M1022" s="163"/>
      <c r="N1022" s="163"/>
    </row>
    <row r="1023" spans="2:14" x14ac:dyDescent="0.25">
      <c r="B1023" s="163"/>
      <c r="C1023" s="163"/>
      <c r="D1023" s="163"/>
      <c r="E1023" s="163"/>
      <c r="F1023" s="163"/>
      <c r="G1023" s="163"/>
      <c r="H1023" s="163"/>
      <c r="I1023" s="163"/>
      <c r="J1023" s="163"/>
      <c r="K1023" s="163"/>
      <c r="L1023" s="163"/>
      <c r="M1023" s="163"/>
      <c r="N1023" s="163"/>
    </row>
    <row r="1024" spans="2:14" x14ac:dyDescent="0.25">
      <c r="B1024" s="163"/>
      <c r="C1024" s="163"/>
      <c r="D1024" s="163"/>
      <c r="E1024" s="163"/>
      <c r="F1024" s="163"/>
      <c r="G1024" s="163"/>
      <c r="H1024" s="163"/>
      <c r="I1024" s="163"/>
      <c r="J1024" s="163"/>
      <c r="K1024" s="163"/>
      <c r="L1024" s="163"/>
      <c r="M1024" s="163"/>
      <c r="N1024" s="163"/>
    </row>
    <row r="1025" spans="2:14" x14ac:dyDescent="0.25">
      <c r="B1025" s="163"/>
      <c r="C1025" s="163"/>
      <c r="D1025" s="163"/>
      <c r="E1025" s="163"/>
      <c r="F1025" s="163"/>
      <c r="G1025" s="163"/>
      <c r="H1025" s="163"/>
      <c r="I1025" s="163"/>
      <c r="J1025" s="163"/>
      <c r="K1025" s="163"/>
      <c r="L1025" s="163"/>
      <c r="M1025" s="163"/>
      <c r="N1025" s="163"/>
    </row>
    <row r="1026" spans="2:14" x14ac:dyDescent="0.25">
      <c r="B1026" s="163"/>
      <c r="C1026" s="163"/>
      <c r="D1026" s="163"/>
      <c r="E1026" s="163"/>
      <c r="F1026" s="163"/>
      <c r="G1026" s="163"/>
      <c r="H1026" s="163"/>
      <c r="I1026" s="163"/>
      <c r="J1026" s="163"/>
      <c r="K1026" s="163"/>
      <c r="L1026" s="163"/>
      <c r="M1026" s="163"/>
      <c r="N1026" s="163"/>
    </row>
    <row r="1027" spans="2:14" x14ac:dyDescent="0.25">
      <c r="B1027" s="163"/>
      <c r="C1027" s="163"/>
      <c r="D1027" s="163"/>
      <c r="E1027" s="163"/>
      <c r="F1027" s="163"/>
      <c r="G1027" s="163"/>
      <c r="H1027" s="163"/>
      <c r="I1027" s="163"/>
      <c r="J1027" s="163"/>
      <c r="K1027" s="163"/>
      <c r="L1027" s="163"/>
      <c r="M1027" s="163"/>
      <c r="N1027" s="163"/>
    </row>
    <row r="1028" spans="2:14" x14ac:dyDescent="0.25">
      <c r="B1028" s="163"/>
      <c r="C1028" s="163"/>
      <c r="D1028" s="163"/>
      <c r="E1028" s="163"/>
      <c r="F1028" s="163"/>
      <c r="G1028" s="163"/>
      <c r="H1028" s="163"/>
      <c r="I1028" s="163"/>
      <c r="J1028" s="163"/>
      <c r="K1028" s="163"/>
      <c r="L1028" s="163"/>
      <c r="M1028" s="163"/>
      <c r="N1028" s="163"/>
    </row>
    <row r="1029" spans="2:14" x14ac:dyDescent="0.25">
      <c r="B1029" s="163"/>
      <c r="C1029" s="163"/>
      <c r="D1029" s="163"/>
      <c r="E1029" s="163"/>
      <c r="F1029" s="163"/>
      <c r="G1029" s="163"/>
      <c r="H1029" s="163"/>
      <c r="I1029" s="163"/>
      <c r="J1029" s="163"/>
      <c r="K1029" s="163"/>
      <c r="L1029" s="163"/>
      <c r="M1029" s="163"/>
      <c r="N1029" s="163"/>
    </row>
    <row r="1030" spans="2:14" x14ac:dyDescent="0.25">
      <c r="B1030" s="163"/>
      <c r="C1030" s="163"/>
      <c r="D1030" s="163"/>
      <c r="E1030" s="163"/>
      <c r="F1030" s="163"/>
      <c r="G1030" s="163"/>
      <c r="H1030" s="163"/>
      <c r="I1030" s="163"/>
      <c r="J1030" s="163"/>
      <c r="K1030" s="163"/>
      <c r="L1030" s="163"/>
      <c r="M1030" s="163"/>
      <c r="N1030" s="163"/>
    </row>
    <row r="1031" spans="2:14" x14ac:dyDescent="0.25">
      <c r="B1031" s="163"/>
      <c r="C1031" s="163"/>
      <c r="D1031" s="163"/>
      <c r="E1031" s="163"/>
      <c r="F1031" s="163"/>
      <c r="G1031" s="163"/>
      <c r="H1031" s="163"/>
      <c r="I1031" s="163"/>
      <c r="J1031" s="163"/>
      <c r="K1031" s="163"/>
      <c r="L1031" s="163"/>
      <c r="M1031" s="163"/>
      <c r="N1031" s="163"/>
    </row>
    <row r="1032" spans="2:14" x14ac:dyDescent="0.25">
      <c r="B1032" s="163"/>
      <c r="C1032" s="163"/>
      <c r="D1032" s="163"/>
      <c r="E1032" s="163"/>
      <c r="F1032" s="163"/>
      <c r="G1032" s="163"/>
      <c r="H1032" s="163"/>
      <c r="I1032" s="163"/>
      <c r="J1032" s="163"/>
      <c r="K1032" s="163"/>
      <c r="L1032" s="163"/>
      <c r="M1032" s="163"/>
      <c r="N1032" s="163"/>
    </row>
    <row r="1033" spans="2:14" x14ac:dyDescent="0.25">
      <c r="B1033" s="163"/>
      <c r="C1033" s="163"/>
      <c r="D1033" s="163"/>
      <c r="E1033" s="163"/>
      <c r="F1033" s="163"/>
      <c r="G1033" s="163"/>
      <c r="H1033" s="163"/>
      <c r="I1033" s="163"/>
      <c r="J1033" s="163"/>
      <c r="K1033" s="163"/>
      <c r="L1033" s="163"/>
      <c r="M1033" s="163"/>
      <c r="N1033" s="163"/>
    </row>
    <row r="1034" spans="2:14" x14ac:dyDescent="0.25">
      <c r="B1034" s="163"/>
      <c r="C1034" s="163"/>
      <c r="D1034" s="163"/>
      <c r="E1034" s="163"/>
      <c r="F1034" s="163"/>
      <c r="G1034" s="163"/>
      <c r="H1034" s="163"/>
      <c r="I1034" s="163"/>
      <c r="J1034" s="163"/>
      <c r="K1034" s="163"/>
      <c r="L1034" s="163"/>
      <c r="M1034" s="163"/>
      <c r="N1034" s="163"/>
    </row>
    <row r="1035" spans="2:14" x14ac:dyDescent="0.25">
      <c r="B1035" s="163"/>
      <c r="C1035" s="163"/>
      <c r="D1035" s="163"/>
      <c r="E1035" s="163"/>
      <c r="F1035" s="163"/>
      <c r="G1035" s="163"/>
      <c r="H1035" s="163"/>
      <c r="I1035" s="163"/>
      <c r="J1035" s="163"/>
      <c r="K1035" s="163"/>
      <c r="L1035" s="163"/>
      <c r="M1035" s="163"/>
      <c r="N1035" s="163"/>
    </row>
    <row r="1036" spans="2:14" x14ac:dyDescent="0.25">
      <c r="B1036" s="163"/>
      <c r="C1036" s="163"/>
      <c r="D1036" s="163"/>
      <c r="E1036" s="163"/>
      <c r="F1036" s="163"/>
      <c r="G1036" s="163"/>
      <c r="H1036" s="163"/>
      <c r="I1036" s="163"/>
      <c r="J1036" s="163"/>
      <c r="K1036" s="163"/>
      <c r="L1036" s="163"/>
      <c r="M1036" s="163"/>
      <c r="N1036" s="163"/>
    </row>
    <row r="1037" spans="2:14" x14ac:dyDescent="0.25">
      <c r="B1037" s="163"/>
      <c r="C1037" s="163"/>
      <c r="D1037" s="163"/>
      <c r="E1037" s="163"/>
      <c r="F1037" s="163"/>
      <c r="G1037" s="163"/>
      <c r="H1037" s="163"/>
      <c r="I1037" s="163"/>
      <c r="J1037" s="163"/>
      <c r="K1037" s="163"/>
      <c r="L1037" s="163"/>
      <c r="M1037" s="163"/>
      <c r="N1037" s="163"/>
    </row>
    <row r="1038" spans="2:14" x14ac:dyDescent="0.25">
      <c r="B1038" s="163"/>
      <c r="C1038" s="163"/>
      <c r="D1038" s="163"/>
      <c r="E1038" s="163"/>
      <c r="F1038" s="163"/>
      <c r="G1038" s="163"/>
      <c r="H1038" s="163"/>
      <c r="I1038" s="163"/>
      <c r="J1038" s="163"/>
      <c r="K1038" s="163"/>
      <c r="L1038" s="163"/>
      <c r="M1038" s="163"/>
      <c r="N1038" s="163"/>
    </row>
    <row r="1039" spans="2:14" x14ac:dyDescent="0.25">
      <c r="B1039" s="163"/>
      <c r="C1039" s="163"/>
      <c r="D1039" s="163"/>
      <c r="E1039" s="163"/>
      <c r="F1039" s="163"/>
      <c r="G1039" s="163"/>
      <c r="H1039" s="163"/>
      <c r="I1039" s="163"/>
      <c r="J1039" s="163"/>
      <c r="K1039" s="163"/>
      <c r="L1039" s="163"/>
      <c r="M1039" s="163"/>
      <c r="N1039" s="163"/>
    </row>
    <row r="1040" spans="2:14" x14ac:dyDescent="0.25">
      <c r="B1040" s="163"/>
      <c r="C1040" s="163"/>
      <c r="D1040" s="163"/>
      <c r="E1040" s="163"/>
      <c r="F1040" s="163"/>
      <c r="G1040" s="163"/>
      <c r="H1040" s="163"/>
      <c r="I1040" s="163"/>
      <c r="J1040" s="163"/>
      <c r="K1040" s="163"/>
      <c r="L1040" s="163"/>
      <c r="M1040" s="163"/>
      <c r="N1040" s="163"/>
    </row>
    <row r="1041" spans="2:14" x14ac:dyDescent="0.25">
      <c r="B1041" s="163"/>
      <c r="C1041" s="163"/>
      <c r="D1041" s="163"/>
      <c r="E1041" s="163"/>
      <c r="F1041" s="163"/>
      <c r="G1041" s="163"/>
      <c r="H1041" s="163"/>
      <c r="I1041" s="163"/>
      <c r="J1041" s="163"/>
      <c r="K1041" s="163"/>
      <c r="L1041" s="163"/>
      <c r="M1041" s="163"/>
      <c r="N1041" s="163"/>
    </row>
    <row r="1042" spans="2:14" x14ac:dyDescent="0.25">
      <c r="B1042" s="163"/>
      <c r="C1042" s="163"/>
      <c r="D1042" s="163"/>
      <c r="E1042" s="163"/>
      <c r="F1042" s="163"/>
      <c r="G1042" s="163"/>
      <c r="H1042" s="163"/>
      <c r="I1042" s="163"/>
      <c r="J1042" s="163"/>
      <c r="K1042" s="163"/>
      <c r="L1042" s="163"/>
      <c r="M1042" s="163"/>
      <c r="N1042" s="163"/>
    </row>
    <row r="1043" spans="2:14" x14ac:dyDescent="0.25">
      <c r="B1043" s="163"/>
      <c r="C1043" s="163"/>
      <c r="D1043" s="163"/>
      <c r="E1043" s="163"/>
      <c r="F1043" s="163"/>
      <c r="G1043" s="163"/>
      <c r="H1043" s="163"/>
      <c r="I1043" s="163"/>
      <c r="J1043" s="163"/>
      <c r="K1043" s="163"/>
      <c r="L1043" s="163"/>
      <c r="M1043" s="163"/>
      <c r="N1043" s="163"/>
    </row>
    <row r="1044" spans="2:14" x14ac:dyDescent="0.25">
      <c r="B1044" s="163"/>
      <c r="C1044" s="163"/>
      <c r="D1044" s="163"/>
      <c r="E1044" s="163"/>
      <c r="F1044" s="163"/>
      <c r="G1044" s="163"/>
      <c r="H1044" s="163"/>
      <c r="I1044" s="163"/>
      <c r="J1044" s="163"/>
      <c r="K1044" s="163"/>
      <c r="L1044" s="163"/>
      <c r="M1044" s="163"/>
      <c r="N1044" s="163"/>
    </row>
    <row r="1045" spans="2:14" x14ac:dyDescent="0.25">
      <c r="B1045" s="163"/>
      <c r="C1045" s="163"/>
      <c r="D1045" s="163"/>
      <c r="E1045" s="163"/>
      <c r="F1045" s="163"/>
      <c r="G1045" s="163"/>
      <c r="H1045" s="163"/>
      <c r="I1045" s="163"/>
      <c r="J1045" s="163"/>
      <c r="K1045" s="163"/>
      <c r="L1045" s="163"/>
      <c r="M1045" s="163"/>
      <c r="N1045" s="163"/>
    </row>
    <row r="1046" spans="2:14" x14ac:dyDescent="0.25">
      <c r="B1046" s="163"/>
      <c r="C1046" s="163"/>
      <c r="D1046" s="163"/>
      <c r="E1046" s="163"/>
      <c r="F1046" s="163"/>
      <c r="G1046" s="163"/>
      <c r="H1046" s="163"/>
      <c r="I1046" s="163"/>
      <c r="J1046" s="163"/>
      <c r="K1046" s="163"/>
      <c r="L1046" s="163"/>
      <c r="M1046" s="163"/>
      <c r="N1046" s="163"/>
    </row>
    <row r="1047" spans="2:14" x14ac:dyDescent="0.25">
      <c r="B1047" s="163"/>
      <c r="C1047" s="163"/>
      <c r="D1047" s="163"/>
      <c r="E1047" s="163"/>
      <c r="F1047" s="163"/>
      <c r="G1047" s="163"/>
      <c r="H1047" s="163"/>
      <c r="I1047" s="163"/>
      <c r="J1047" s="163"/>
      <c r="K1047" s="163"/>
      <c r="L1047" s="163"/>
      <c r="M1047" s="163"/>
      <c r="N1047" s="163"/>
    </row>
    <row r="1048" spans="2:14" x14ac:dyDescent="0.25">
      <c r="B1048" s="163"/>
      <c r="C1048" s="163"/>
      <c r="D1048" s="163"/>
      <c r="E1048" s="163"/>
      <c r="F1048" s="163"/>
      <c r="G1048" s="163"/>
      <c r="H1048" s="163"/>
      <c r="I1048" s="163"/>
      <c r="J1048" s="163"/>
      <c r="K1048" s="163"/>
      <c r="L1048" s="163"/>
      <c r="M1048" s="163"/>
      <c r="N1048" s="163"/>
    </row>
    <row r="1049" spans="2:14" x14ac:dyDescent="0.25">
      <c r="B1049" s="163"/>
      <c r="C1049" s="163"/>
      <c r="D1049" s="163"/>
      <c r="E1049" s="163"/>
      <c r="F1049" s="163"/>
      <c r="G1049" s="163"/>
      <c r="H1049" s="163"/>
      <c r="I1049" s="163"/>
      <c r="J1049" s="163"/>
      <c r="K1049" s="163"/>
      <c r="L1049" s="163"/>
      <c r="M1049" s="163"/>
      <c r="N1049" s="163"/>
    </row>
    <row r="1050" spans="2:14" x14ac:dyDescent="0.25">
      <c r="B1050" s="163"/>
      <c r="C1050" s="163"/>
      <c r="D1050" s="163"/>
      <c r="E1050" s="163"/>
      <c r="F1050" s="163"/>
      <c r="G1050" s="163"/>
      <c r="H1050" s="163"/>
      <c r="I1050" s="163"/>
      <c r="J1050" s="163"/>
      <c r="K1050" s="163"/>
      <c r="L1050" s="163"/>
      <c r="M1050" s="163"/>
      <c r="N1050" s="163"/>
    </row>
    <row r="1051" spans="2:14" x14ac:dyDescent="0.25">
      <c r="B1051" s="163"/>
      <c r="C1051" s="163"/>
      <c r="D1051" s="163"/>
      <c r="E1051" s="163"/>
      <c r="F1051" s="163"/>
      <c r="G1051" s="163"/>
      <c r="H1051" s="163"/>
      <c r="I1051" s="163"/>
      <c r="J1051" s="163"/>
      <c r="K1051" s="163"/>
      <c r="L1051" s="163"/>
      <c r="M1051" s="163"/>
      <c r="N1051" s="163"/>
    </row>
    <row r="1052" spans="2:14" x14ac:dyDescent="0.25">
      <c r="B1052" s="163"/>
      <c r="C1052" s="163"/>
      <c r="D1052" s="163"/>
      <c r="E1052" s="163"/>
      <c r="F1052" s="163"/>
      <c r="G1052" s="163"/>
      <c r="H1052" s="163"/>
      <c r="I1052" s="163"/>
      <c r="J1052" s="163"/>
      <c r="K1052" s="163"/>
      <c r="L1052" s="163"/>
      <c r="M1052" s="163"/>
      <c r="N1052" s="163"/>
    </row>
    <row r="1053" spans="2:14" x14ac:dyDescent="0.25">
      <c r="B1053" s="163"/>
      <c r="C1053" s="163"/>
      <c r="D1053" s="163"/>
      <c r="E1053" s="163"/>
      <c r="F1053" s="163"/>
      <c r="G1053" s="163"/>
      <c r="H1053" s="163"/>
      <c r="I1053" s="163"/>
      <c r="J1053" s="163"/>
      <c r="K1053" s="163"/>
      <c r="L1053" s="163"/>
      <c r="M1053" s="163"/>
      <c r="N1053" s="163"/>
    </row>
    <row r="1054" spans="2:14" x14ac:dyDescent="0.25">
      <c r="B1054" s="163"/>
      <c r="C1054" s="163"/>
      <c r="D1054" s="163"/>
      <c r="E1054" s="163"/>
      <c r="F1054" s="163"/>
      <c r="G1054" s="163"/>
      <c r="H1054" s="163"/>
      <c r="I1054" s="163"/>
      <c r="J1054" s="163"/>
      <c r="K1054" s="163"/>
      <c r="L1054" s="163"/>
      <c r="M1054" s="163"/>
      <c r="N1054" s="163"/>
    </row>
    <row r="1055" spans="2:14" x14ac:dyDescent="0.25">
      <c r="B1055" s="163"/>
      <c r="C1055" s="163"/>
      <c r="D1055" s="163"/>
      <c r="E1055" s="163"/>
      <c r="F1055" s="163"/>
      <c r="G1055" s="163"/>
      <c r="H1055" s="163"/>
      <c r="I1055" s="163"/>
      <c r="J1055" s="163"/>
      <c r="K1055" s="163"/>
      <c r="L1055" s="163"/>
      <c r="M1055" s="163"/>
      <c r="N1055" s="163"/>
    </row>
    <row r="1056" spans="2:14" x14ac:dyDescent="0.25">
      <c r="B1056" s="163"/>
      <c r="C1056" s="163"/>
      <c r="D1056" s="163"/>
      <c r="E1056" s="163"/>
      <c r="F1056" s="163"/>
      <c r="G1056" s="163"/>
      <c r="H1056" s="163"/>
      <c r="I1056" s="163"/>
      <c r="J1056" s="163"/>
      <c r="K1056" s="163"/>
      <c r="L1056" s="163"/>
      <c r="M1056" s="163"/>
      <c r="N1056" s="163"/>
    </row>
    <row r="1057" spans="2:14" x14ac:dyDescent="0.25">
      <c r="B1057" s="163"/>
      <c r="C1057" s="163"/>
      <c r="D1057" s="163"/>
      <c r="E1057" s="163"/>
      <c r="F1057" s="163"/>
      <c r="G1057" s="163"/>
      <c r="H1057" s="163"/>
      <c r="I1057" s="163"/>
      <c r="J1057" s="163"/>
      <c r="K1057" s="163"/>
      <c r="L1057" s="163"/>
      <c r="M1057" s="163"/>
      <c r="N1057" s="163"/>
    </row>
    <row r="1058" spans="2:14" x14ac:dyDescent="0.25">
      <c r="B1058" s="163"/>
      <c r="C1058" s="163"/>
      <c r="D1058" s="163"/>
      <c r="E1058" s="163"/>
      <c r="F1058" s="163"/>
      <c r="G1058" s="163"/>
      <c r="H1058" s="163"/>
      <c r="I1058" s="163"/>
      <c r="J1058" s="163"/>
      <c r="K1058" s="163"/>
      <c r="L1058" s="163"/>
      <c r="M1058" s="163"/>
      <c r="N1058" s="163"/>
    </row>
    <row r="1059" spans="2:14" x14ac:dyDescent="0.25">
      <c r="B1059" s="163"/>
      <c r="C1059" s="163"/>
      <c r="D1059" s="163"/>
      <c r="E1059" s="163"/>
      <c r="F1059" s="163"/>
      <c r="G1059" s="163"/>
      <c r="H1059" s="163"/>
      <c r="I1059" s="163"/>
      <c r="J1059" s="163"/>
      <c r="K1059" s="163"/>
      <c r="L1059" s="163"/>
      <c r="M1059" s="163"/>
      <c r="N1059" s="163"/>
    </row>
    <row r="1060" spans="2:14" x14ac:dyDescent="0.25">
      <c r="B1060" s="163"/>
      <c r="C1060" s="163"/>
      <c r="D1060" s="163"/>
      <c r="E1060" s="163"/>
      <c r="F1060" s="163"/>
      <c r="G1060" s="163"/>
      <c r="H1060" s="163"/>
      <c r="I1060" s="163"/>
      <c r="J1060" s="163"/>
      <c r="K1060" s="163"/>
      <c r="L1060" s="163"/>
      <c r="M1060" s="163"/>
      <c r="N1060" s="163"/>
    </row>
    <row r="1061" spans="2:14" x14ac:dyDescent="0.25">
      <c r="B1061" s="163"/>
      <c r="C1061" s="163"/>
      <c r="D1061" s="163"/>
      <c r="E1061" s="163"/>
      <c r="F1061" s="163"/>
      <c r="G1061" s="163"/>
      <c r="H1061" s="163"/>
      <c r="I1061" s="163"/>
      <c r="J1061" s="163"/>
      <c r="K1061" s="163"/>
      <c r="L1061" s="163"/>
      <c r="M1061" s="163"/>
      <c r="N1061" s="163"/>
    </row>
    <row r="1062" spans="2:14" x14ac:dyDescent="0.25">
      <c r="B1062" s="163"/>
      <c r="C1062" s="163"/>
      <c r="D1062" s="163"/>
      <c r="E1062" s="163"/>
      <c r="F1062" s="163"/>
      <c r="G1062" s="163"/>
      <c r="H1062" s="163"/>
      <c r="I1062" s="163"/>
      <c r="J1062" s="163"/>
      <c r="K1062" s="163"/>
      <c r="L1062" s="163"/>
      <c r="M1062" s="163"/>
      <c r="N1062" s="163"/>
    </row>
    <row r="1063" spans="2:14" x14ac:dyDescent="0.25">
      <c r="B1063" s="163"/>
      <c r="C1063" s="163"/>
      <c r="D1063" s="163"/>
      <c r="E1063" s="163"/>
      <c r="F1063" s="163"/>
      <c r="G1063" s="163"/>
      <c r="H1063" s="163"/>
      <c r="I1063" s="163"/>
      <c r="J1063" s="163"/>
      <c r="K1063" s="163"/>
      <c r="L1063" s="163"/>
      <c r="M1063" s="163"/>
      <c r="N1063" s="163"/>
    </row>
    <row r="1064" spans="2:14" x14ac:dyDescent="0.25">
      <c r="B1064" s="163"/>
      <c r="C1064" s="163"/>
      <c r="D1064" s="163"/>
      <c r="E1064" s="163"/>
      <c r="F1064" s="163"/>
      <c r="G1064" s="163"/>
      <c r="H1064" s="163"/>
      <c r="I1064" s="163"/>
      <c r="J1064" s="163"/>
      <c r="K1064" s="163"/>
      <c r="L1064" s="163"/>
      <c r="M1064" s="163"/>
      <c r="N1064" s="163"/>
    </row>
    <row r="1065" spans="2:14" x14ac:dyDescent="0.25">
      <c r="B1065" s="163"/>
      <c r="C1065" s="163"/>
      <c r="D1065" s="163"/>
      <c r="E1065" s="163"/>
      <c r="F1065" s="163"/>
      <c r="G1065" s="163"/>
      <c r="H1065" s="163"/>
      <c r="I1065" s="163"/>
      <c r="J1065" s="163"/>
      <c r="K1065" s="163"/>
      <c r="L1065" s="163"/>
      <c r="M1065" s="163"/>
      <c r="N1065" s="163"/>
    </row>
    <row r="1066" spans="2:14" x14ac:dyDescent="0.25">
      <c r="B1066" s="163"/>
      <c r="C1066" s="163"/>
      <c r="D1066" s="163"/>
      <c r="E1066" s="163"/>
      <c r="F1066" s="163"/>
      <c r="G1066" s="163"/>
      <c r="H1066" s="163"/>
      <c r="I1066" s="163"/>
      <c r="J1066" s="163"/>
      <c r="K1066" s="163"/>
      <c r="L1066" s="163"/>
      <c r="M1066" s="163"/>
      <c r="N1066" s="163"/>
    </row>
    <row r="1067" spans="2:14" x14ac:dyDescent="0.25">
      <c r="B1067" s="163"/>
      <c r="C1067" s="163"/>
      <c r="D1067" s="163"/>
      <c r="E1067" s="163"/>
      <c r="F1067" s="163"/>
      <c r="G1067" s="163"/>
      <c r="H1067" s="163"/>
      <c r="I1067" s="163"/>
      <c r="J1067" s="163"/>
      <c r="K1067" s="163"/>
      <c r="L1067" s="163"/>
      <c r="M1067" s="163"/>
      <c r="N1067" s="163"/>
    </row>
    <row r="1068" spans="2:14" x14ac:dyDescent="0.25">
      <c r="B1068" s="163"/>
      <c r="C1068" s="163"/>
      <c r="D1068" s="163"/>
      <c r="E1068" s="163"/>
      <c r="F1068" s="163"/>
      <c r="G1068" s="163"/>
      <c r="H1068" s="163"/>
      <c r="I1068" s="163"/>
      <c r="J1068" s="163"/>
      <c r="K1068" s="163"/>
      <c r="L1068" s="163"/>
      <c r="M1068" s="163"/>
      <c r="N1068" s="163"/>
    </row>
    <row r="1069" spans="2:14" x14ac:dyDescent="0.25">
      <c r="B1069" s="163"/>
      <c r="C1069" s="163"/>
      <c r="D1069" s="163"/>
      <c r="E1069" s="163"/>
      <c r="F1069" s="163"/>
      <c r="G1069" s="163"/>
      <c r="H1069" s="163"/>
      <c r="I1069" s="163"/>
      <c r="J1069" s="163"/>
      <c r="K1069" s="163"/>
      <c r="L1069" s="163"/>
      <c r="M1069" s="163"/>
      <c r="N1069" s="163"/>
    </row>
    <row r="1070" spans="2:14" x14ac:dyDescent="0.25">
      <c r="B1070" s="163"/>
      <c r="C1070" s="163"/>
      <c r="D1070" s="163"/>
      <c r="E1070" s="163"/>
      <c r="F1070" s="163"/>
      <c r="G1070" s="163"/>
      <c r="H1070" s="163"/>
      <c r="I1070" s="163"/>
      <c r="J1070" s="163"/>
      <c r="K1070" s="163"/>
      <c r="L1070" s="163"/>
      <c r="M1070" s="163"/>
      <c r="N1070" s="163"/>
    </row>
    <row r="1071" spans="2:14" x14ac:dyDescent="0.25">
      <c r="B1071" s="163"/>
      <c r="C1071" s="163"/>
      <c r="D1071" s="163"/>
      <c r="E1071" s="163"/>
      <c r="F1071" s="163"/>
      <c r="G1071" s="163"/>
      <c r="H1071" s="163"/>
      <c r="I1071" s="163"/>
      <c r="J1071" s="163"/>
      <c r="K1071" s="163"/>
      <c r="L1071" s="163"/>
      <c r="M1071" s="163"/>
      <c r="N1071" s="163"/>
    </row>
    <row r="1072" spans="2:14" x14ac:dyDescent="0.25">
      <c r="B1072" s="163"/>
      <c r="C1072" s="163"/>
      <c r="D1072" s="163"/>
      <c r="E1072" s="163"/>
      <c r="F1072" s="163"/>
      <c r="G1072" s="163"/>
      <c r="H1072" s="163"/>
      <c r="I1072" s="163"/>
      <c r="J1072" s="163"/>
      <c r="K1072" s="163"/>
      <c r="L1072" s="163"/>
      <c r="M1072" s="163"/>
      <c r="N1072" s="163"/>
    </row>
    <row r="1073" spans="2:14" x14ac:dyDescent="0.25">
      <c r="B1073" s="163"/>
      <c r="C1073" s="163"/>
      <c r="D1073" s="163"/>
      <c r="E1073" s="163"/>
      <c r="F1073" s="163"/>
      <c r="G1073" s="163"/>
      <c r="H1073" s="163"/>
      <c r="I1073" s="163"/>
      <c r="J1073" s="163"/>
      <c r="K1073" s="163"/>
      <c r="L1073" s="163"/>
      <c r="M1073" s="163"/>
      <c r="N1073" s="163"/>
    </row>
    <row r="1074" spans="2:14" x14ac:dyDescent="0.25">
      <c r="B1074" s="163"/>
      <c r="C1074" s="163"/>
      <c r="D1074" s="163"/>
      <c r="E1074" s="163"/>
      <c r="F1074" s="163"/>
      <c r="G1074" s="163"/>
      <c r="H1074" s="163"/>
      <c r="I1074" s="163"/>
      <c r="J1074" s="163"/>
      <c r="K1074" s="163"/>
      <c r="L1074" s="163"/>
      <c r="M1074" s="163"/>
      <c r="N1074" s="163"/>
    </row>
    <row r="1075" spans="2:14" x14ac:dyDescent="0.25">
      <c r="B1075" s="163"/>
      <c r="C1075" s="163"/>
      <c r="D1075" s="163"/>
      <c r="E1075" s="163"/>
      <c r="F1075" s="163"/>
      <c r="G1075" s="163"/>
      <c r="H1075" s="163"/>
      <c r="I1075" s="163"/>
      <c r="J1075" s="163"/>
      <c r="K1075" s="163"/>
      <c r="L1075" s="163"/>
      <c r="M1075" s="163"/>
      <c r="N1075" s="163"/>
    </row>
    <row r="1076" spans="2:14" x14ac:dyDescent="0.25">
      <c r="B1076" s="163"/>
      <c r="C1076" s="163"/>
      <c r="D1076" s="163"/>
      <c r="E1076" s="163"/>
      <c r="F1076" s="163"/>
      <c r="G1076" s="163"/>
      <c r="H1076" s="163"/>
      <c r="I1076" s="163"/>
      <c r="J1076" s="163"/>
      <c r="K1076" s="163"/>
      <c r="L1076" s="163"/>
      <c r="M1076" s="163"/>
      <c r="N1076" s="163"/>
    </row>
    <row r="1077" spans="2:14" x14ac:dyDescent="0.25">
      <c r="B1077" s="163"/>
      <c r="C1077" s="163"/>
      <c r="D1077" s="163"/>
      <c r="E1077" s="163"/>
      <c r="F1077" s="163"/>
      <c r="G1077" s="163"/>
      <c r="H1077" s="163"/>
      <c r="I1077" s="163"/>
      <c r="J1077" s="163"/>
      <c r="K1077" s="163"/>
      <c r="L1077" s="163"/>
      <c r="M1077" s="163"/>
      <c r="N1077" s="163"/>
    </row>
    <row r="1078" spans="2:14" x14ac:dyDescent="0.25">
      <c r="B1078" s="163"/>
      <c r="C1078" s="163"/>
      <c r="D1078" s="163"/>
      <c r="E1078" s="163"/>
      <c r="F1078" s="163"/>
      <c r="G1078" s="163"/>
      <c r="H1078" s="163"/>
      <c r="I1078" s="163"/>
      <c r="J1078" s="163"/>
      <c r="K1078" s="163"/>
      <c r="L1078" s="163"/>
      <c r="M1078" s="163"/>
      <c r="N1078" s="163"/>
    </row>
    <row r="1079" spans="2:14" x14ac:dyDescent="0.25">
      <c r="B1079" s="163"/>
      <c r="C1079" s="163"/>
      <c r="D1079" s="163"/>
      <c r="E1079" s="163"/>
      <c r="F1079" s="163"/>
      <c r="G1079" s="163"/>
      <c r="H1079" s="163"/>
      <c r="I1079" s="163"/>
      <c r="J1079" s="163"/>
      <c r="K1079" s="163"/>
      <c r="L1079" s="163"/>
      <c r="M1079" s="163"/>
      <c r="N1079" s="163"/>
    </row>
    <row r="1080" spans="2:14" x14ac:dyDescent="0.25">
      <c r="B1080" s="163"/>
      <c r="C1080" s="163"/>
      <c r="D1080" s="163"/>
      <c r="E1080" s="163"/>
      <c r="F1080" s="163"/>
      <c r="G1080" s="163"/>
      <c r="H1080" s="163"/>
      <c r="I1080" s="163"/>
      <c r="J1080" s="163"/>
      <c r="K1080" s="163"/>
      <c r="L1080" s="163"/>
      <c r="M1080" s="163"/>
      <c r="N1080" s="163"/>
    </row>
    <row r="1081" spans="2:14" x14ac:dyDescent="0.25">
      <c r="B1081" s="163"/>
      <c r="C1081" s="163"/>
      <c r="D1081" s="163"/>
      <c r="E1081" s="163"/>
      <c r="F1081" s="163"/>
      <c r="G1081" s="163"/>
      <c r="H1081" s="163"/>
      <c r="I1081" s="163"/>
      <c r="J1081" s="163"/>
      <c r="K1081" s="163"/>
      <c r="L1081" s="163"/>
      <c r="M1081" s="163"/>
      <c r="N1081" s="163"/>
    </row>
    <row r="1082" spans="2:14" x14ac:dyDescent="0.25">
      <c r="B1082" s="163"/>
      <c r="C1082" s="163"/>
      <c r="D1082" s="163"/>
      <c r="E1082" s="163"/>
      <c r="F1082" s="163"/>
      <c r="G1082" s="163"/>
      <c r="H1082" s="163"/>
      <c r="I1082" s="163"/>
      <c r="J1082" s="163"/>
      <c r="K1082" s="163"/>
      <c r="L1082" s="163"/>
      <c r="M1082" s="163"/>
      <c r="N1082" s="163"/>
    </row>
    <row r="1083" spans="2:14" x14ac:dyDescent="0.25">
      <c r="B1083" s="163"/>
      <c r="C1083" s="163"/>
      <c r="D1083" s="163"/>
      <c r="E1083" s="163"/>
      <c r="F1083" s="163"/>
      <c r="G1083" s="163"/>
      <c r="H1083" s="163"/>
      <c r="I1083" s="163"/>
      <c r="J1083" s="163"/>
      <c r="K1083" s="163"/>
      <c r="L1083" s="163"/>
      <c r="M1083" s="163"/>
      <c r="N1083" s="163"/>
    </row>
    <row r="1084" spans="2:14" x14ac:dyDescent="0.25">
      <c r="B1084" s="163"/>
      <c r="C1084" s="163"/>
      <c r="D1084" s="163"/>
      <c r="E1084" s="163"/>
      <c r="F1084" s="163"/>
      <c r="G1084" s="163"/>
      <c r="H1084" s="163"/>
      <c r="I1084" s="163"/>
      <c r="J1084" s="163"/>
      <c r="K1084" s="163"/>
      <c r="L1084" s="163"/>
      <c r="M1084" s="163"/>
      <c r="N1084" s="163"/>
    </row>
    <row r="1085" spans="2:14" x14ac:dyDescent="0.25">
      <c r="B1085" s="163"/>
      <c r="C1085" s="163"/>
      <c r="D1085" s="163"/>
      <c r="E1085" s="163"/>
      <c r="F1085" s="163"/>
      <c r="G1085" s="163"/>
      <c r="H1085" s="163"/>
      <c r="I1085" s="163"/>
      <c r="J1085" s="163"/>
      <c r="K1085" s="163"/>
      <c r="L1085" s="163"/>
      <c r="M1085" s="163"/>
      <c r="N1085" s="163"/>
    </row>
    <row r="1086" spans="2:14" x14ac:dyDescent="0.25">
      <c r="B1086" s="163"/>
      <c r="C1086" s="163"/>
      <c r="D1086" s="163"/>
      <c r="E1086" s="163"/>
      <c r="F1086" s="163"/>
      <c r="G1086" s="163"/>
      <c r="H1086" s="163"/>
      <c r="I1086" s="163"/>
      <c r="J1086" s="163"/>
      <c r="K1086" s="163"/>
      <c r="L1086" s="163"/>
      <c r="M1086" s="163"/>
      <c r="N1086" s="163"/>
    </row>
    <row r="1087" spans="2:14" x14ac:dyDescent="0.25">
      <c r="B1087" s="163"/>
      <c r="C1087" s="163"/>
      <c r="D1087" s="163"/>
      <c r="E1087" s="163"/>
      <c r="F1087" s="163"/>
      <c r="G1087" s="163"/>
      <c r="H1087" s="163"/>
      <c r="I1087" s="163"/>
      <c r="J1087" s="163"/>
      <c r="K1087" s="163"/>
      <c r="L1087" s="163"/>
      <c r="M1087" s="163"/>
      <c r="N1087" s="163"/>
    </row>
    <row r="1088" spans="2:14" x14ac:dyDescent="0.25">
      <c r="B1088" s="163"/>
      <c r="C1088" s="163"/>
      <c r="D1088" s="163"/>
      <c r="E1088" s="163"/>
      <c r="F1088" s="163"/>
      <c r="G1088" s="163"/>
      <c r="H1088" s="163"/>
      <c r="I1088" s="163"/>
      <c r="J1088" s="163"/>
      <c r="K1088" s="163"/>
      <c r="L1088" s="163"/>
      <c r="M1088" s="163"/>
      <c r="N1088" s="163"/>
    </row>
    <row r="1089" spans="2:14" x14ac:dyDescent="0.25">
      <c r="B1089" s="163"/>
      <c r="C1089" s="163"/>
      <c r="D1089" s="163"/>
      <c r="E1089" s="163"/>
      <c r="F1089" s="163"/>
      <c r="G1089" s="163"/>
      <c r="H1089" s="163"/>
      <c r="I1089" s="163"/>
      <c r="J1089" s="163"/>
      <c r="K1089" s="163"/>
      <c r="L1089" s="163"/>
      <c r="M1089" s="163"/>
      <c r="N1089" s="163"/>
    </row>
    <row r="1090" spans="2:14" x14ac:dyDescent="0.25">
      <c r="B1090" s="163"/>
      <c r="C1090" s="163"/>
      <c r="D1090" s="163"/>
      <c r="E1090" s="163"/>
      <c r="F1090" s="163"/>
      <c r="G1090" s="163"/>
      <c r="H1090" s="163"/>
      <c r="I1090" s="163"/>
      <c r="J1090" s="163"/>
      <c r="K1090" s="163"/>
      <c r="L1090" s="163"/>
      <c r="M1090" s="163"/>
      <c r="N1090" s="163"/>
    </row>
    <row r="1091" spans="2:14" x14ac:dyDescent="0.25">
      <c r="B1091" s="163"/>
      <c r="C1091" s="163"/>
      <c r="D1091" s="163"/>
      <c r="E1091" s="163"/>
      <c r="F1091" s="163"/>
      <c r="G1091" s="163"/>
      <c r="H1091" s="163"/>
      <c r="I1091" s="163"/>
      <c r="J1091" s="163"/>
      <c r="K1091" s="163"/>
      <c r="L1091" s="163"/>
      <c r="M1091" s="163"/>
      <c r="N1091" s="163"/>
    </row>
    <row r="1092" spans="2:14" x14ac:dyDescent="0.25">
      <c r="B1092" s="163"/>
      <c r="C1092" s="163"/>
      <c r="D1092" s="163"/>
      <c r="E1092" s="163"/>
      <c r="F1092" s="163"/>
      <c r="G1092" s="163"/>
      <c r="H1092" s="163"/>
      <c r="I1092" s="163"/>
      <c r="J1092" s="163"/>
      <c r="K1092" s="163"/>
      <c r="L1092" s="163"/>
      <c r="M1092" s="163"/>
      <c r="N1092" s="163"/>
    </row>
    <row r="1093" spans="2:14" x14ac:dyDescent="0.25">
      <c r="B1093" s="163"/>
      <c r="C1093" s="163"/>
      <c r="D1093" s="163"/>
      <c r="E1093" s="163"/>
      <c r="F1093" s="163"/>
      <c r="G1093" s="163"/>
      <c r="H1093" s="163"/>
      <c r="I1093" s="163"/>
      <c r="J1093" s="163"/>
      <c r="K1093" s="163"/>
      <c r="L1093" s="163"/>
      <c r="M1093" s="163"/>
      <c r="N1093" s="163"/>
    </row>
    <row r="1094" spans="2:14" x14ac:dyDescent="0.25">
      <c r="B1094" s="163"/>
      <c r="C1094" s="163"/>
      <c r="D1094" s="163"/>
      <c r="E1094" s="163"/>
      <c r="F1094" s="163"/>
      <c r="G1094" s="163"/>
      <c r="H1094" s="163"/>
      <c r="I1094" s="163"/>
      <c r="J1094" s="163"/>
      <c r="K1094" s="163"/>
      <c r="L1094" s="163"/>
      <c r="M1094" s="163"/>
      <c r="N1094" s="163"/>
    </row>
    <row r="1095" spans="2:14" x14ac:dyDescent="0.25">
      <c r="B1095" s="163"/>
      <c r="C1095" s="163"/>
      <c r="D1095" s="163"/>
      <c r="E1095" s="163"/>
      <c r="F1095" s="163"/>
      <c r="G1095" s="163"/>
      <c r="H1095" s="163"/>
      <c r="I1095" s="163"/>
      <c r="J1095" s="163"/>
      <c r="K1095" s="163"/>
      <c r="L1095" s="163"/>
      <c r="M1095" s="163"/>
      <c r="N1095" s="163"/>
    </row>
    <row r="1096" spans="2:14" x14ac:dyDescent="0.25">
      <c r="B1096" s="163"/>
      <c r="C1096" s="163"/>
      <c r="D1096" s="163"/>
      <c r="E1096" s="163"/>
      <c r="F1096" s="163"/>
      <c r="G1096" s="163"/>
      <c r="H1096" s="163"/>
      <c r="I1096" s="163"/>
      <c r="J1096" s="163"/>
      <c r="K1096" s="163"/>
      <c r="L1096" s="163"/>
      <c r="M1096" s="163"/>
      <c r="N1096" s="163"/>
    </row>
    <row r="1097" spans="2:14" x14ac:dyDescent="0.25">
      <c r="B1097" s="163"/>
      <c r="C1097" s="163"/>
      <c r="D1097" s="163"/>
      <c r="E1097" s="163"/>
      <c r="F1097" s="163"/>
      <c r="G1097" s="163"/>
      <c r="H1097" s="163"/>
      <c r="I1097" s="163"/>
      <c r="J1097" s="163"/>
      <c r="K1097" s="163"/>
      <c r="L1097" s="163"/>
      <c r="M1097" s="163"/>
      <c r="N1097" s="163"/>
    </row>
    <row r="1098" spans="2:14" x14ac:dyDescent="0.25">
      <c r="B1098" s="163"/>
      <c r="C1098" s="163"/>
      <c r="D1098" s="163"/>
      <c r="E1098" s="163"/>
      <c r="F1098" s="163"/>
      <c r="G1098" s="163"/>
      <c r="H1098" s="163"/>
      <c r="I1098" s="163"/>
      <c r="J1098" s="163"/>
      <c r="K1098" s="163"/>
      <c r="L1098" s="163"/>
      <c r="M1098" s="163"/>
      <c r="N1098" s="163"/>
    </row>
    <row r="1099" spans="2:14" x14ac:dyDescent="0.25">
      <c r="B1099" s="163"/>
      <c r="C1099" s="163"/>
      <c r="D1099" s="163"/>
      <c r="E1099" s="163"/>
      <c r="F1099" s="163"/>
      <c r="G1099" s="163"/>
      <c r="H1099" s="163"/>
      <c r="I1099" s="163"/>
      <c r="J1099" s="163"/>
      <c r="K1099" s="163"/>
      <c r="L1099" s="163"/>
      <c r="M1099" s="163"/>
      <c r="N1099" s="163"/>
    </row>
    <row r="1100" spans="2:14" x14ac:dyDescent="0.25">
      <c r="B1100" s="163"/>
      <c r="C1100" s="163"/>
      <c r="D1100" s="163"/>
      <c r="E1100" s="163"/>
      <c r="F1100" s="163"/>
      <c r="G1100" s="163"/>
      <c r="H1100" s="163"/>
      <c r="I1100" s="163"/>
      <c r="J1100" s="163"/>
      <c r="K1100" s="163"/>
      <c r="L1100" s="163"/>
      <c r="M1100" s="163"/>
      <c r="N1100" s="163"/>
    </row>
    <row r="1101" spans="2:14" x14ac:dyDescent="0.25">
      <c r="B1101" s="163"/>
      <c r="C1101" s="163"/>
      <c r="D1101" s="163"/>
      <c r="E1101" s="163"/>
      <c r="F1101" s="163"/>
      <c r="G1101" s="163"/>
      <c r="H1101" s="163"/>
      <c r="I1101" s="163"/>
      <c r="J1101" s="163"/>
      <c r="K1101" s="163"/>
      <c r="L1101" s="163"/>
      <c r="M1101" s="163"/>
      <c r="N1101" s="163"/>
    </row>
    <row r="1102" spans="2:14" x14ac:dyDescent="0.25">
      <c r="B1102" s="163"/>
      <c r="C1102" s="163"/>
      <c r="D1102" s="163"/>
      <c r="E1102" s="163"/>
      <c r="F1102" s="163"/>
      <c r="G1102" s="163"/>
      <c r="H1102" s="163"/>
      <c r="I1102" s="163"/>
      <c r="J1102" s="163"/>
      <c r="K1102" s="163"/>
      <c r="L1102" s="163"/>
      <c r="M1102" s="163"/>
      <c r="N1102" s="163"/>
    </row>
    <row r="1103" spans="2:14" x14ac:dyDescent="0.25">
      <c r="B1103" s="163"/>
      <c r="C1103" s="163"/>
      <c r="D1103" s="163"/>
      <c r="E1103" s="163"/>
      <c r="F1103" s="163"/>
      <c r="G1103" s="163"/>
      <c r="H1103" s="163"/>
      <c r="I1103" s="163"/>
      <c r="J1103" s="163"/>
      <c r="K1103" s="163"/>
      <c r="L1103" s="163"/>
      <c r="M1103" s="163"/>
      <c r="N1103" s="163"/>
    </row>
    <row r="1104" spans="2:14" x14ac:dyDescent="0.25">
      <c r="B1104" s="163"/>
      <c r="C1104" s="163"/>
      <c r="D1104" s="163"/>
      <c r="E1104" s="163"/>
      <c r="F1104" s="163"/>
      <c r="G1104" s="163"/>
      <c r="H1104" s="163"/>
      <c r="I1104" s="163"/>
      <c r="J1104" s="163"/>
      <c r="K1104" s="163"/>
      <c r="L1104" s="163"/>
      <c r="M1104" s="163"/>
      <c r="N1104" s="163"/>
    </row>
    <row r="1105" spans="2:14" x14ac:dyDescent="0.25">
      <c r="B1105" s="163"/>
      <c r="C1105" s="163"/>
      <c r="D1105" s="163"/>
      <c r="E1105" s="163"/>
      <c r="F1105" s="163"/>
      <c r="G1105" s="163"/>
      <c r="H1105" s="163"/>
      <c r="I1105" s="163"/>
      <c r="J1105" s="163"/>
      <c r="K1105" s="163"/>
      <c r="L1105" s="163"/>
      <c r="M1105" s="163"/>
      <c r="N1105" s="163"/>
    </row>
    <row r="1106" spans="2:14" x14ac:dyDescent="0.25">
      <c r="B1106" s="163"/>
      <c r="C1106" s="163"/>
      <c r="D1106" s="163"/>
      <c r="E1106" s="163"/>
      <c r="F1106" s="163"/>
      <c r="G1106" s="163"/>
      <c r="H1106" s="163"/>
      <c r="I1106" s="163"/>
      <c r="J1106" s="163"/>
      <c r="K1106" s="163"/>
      <c r="L1106" s="163"/>
      <c r="M1106" s="163"/>
      <c r="N1106" s="163"/>
    </row>
    <row r="1107" spans="2:14" x14ac:dyDescent="0.25">
      <c r="B1107" s="163"/>
      <c r="C1107" s="163"/>
      <c r="D1107" s="163"/>
      <c r="E1107" s="163"/>
      <c r="F1107" s="163"/>
      <c r="G1107" s="163"/>
      <c r="H1107" s="163"/>
      <c r="I1107" s="163"/>
      <c r="J1107" s="163"/>
      <c r="K1107" s="163"/>
      <c r="L1107" s="163"/>
      <c r="M1107" s="163"/>
      <c r="N1107" s="163"/>
    </row>
    <row r="1108" spans="2:14" x14ac:dyDescent="0.25">
      <c r="B1108" s="163"/>
      <c r="C1108" s="163"/>
      <c r="D1108" s="163"/>
      <c r="E1108" s="163"/>
      <c r="F1108" s="163"/>
      <c r="G1108" s="163"/>
      <c r="H1108" s="163"/>
      <c r="I1108" s="163"/>
      <c r="J1108" s="163"/>
      <c r="K1108" s="163"/>
      <c r="L1108" s="163"/>
      <c r="M1108" s="163"/>
      <c r="N1108" s="163"/>
    </row>
    <row r="1109" spans="2:14" x14ac:dyDescent="0.25">
      <c r="B1109" s="163"/>
      <c r="C1109" s="163"/>
      <c r="D1109" s="163"/>
      <c r="E1109" s="163"/>
      <c r="F1109" s="163"/>
      <c r="G1109" s="163"/>
      <c r="H1109" s="163"/>
      <c r="I1109" s="163"/>
      <c r="J1109" s="163"/>
      <c r="K1109" s="163"/>
      <c r="L1109" s="163"/>
      <c r="M1109" s="163"/>
      <c r="N1109" s="163"/>
    </row>
    <row r="1110" spans="2:14" x14ac:dyDescent="0.25">
      <c r="B1110" s="163"/>
      <c r="C1110" s="163"/>
      <c r="D1110" s="163"/>
      <c r="E1110" s="163"/>
      <c r="F1110" s="163"/>
      <c r="G1110" s="163"/>
      <c r="H1110" s="163"/>
      <c r="I1110" s="163"/>
      <c r="J1110" s="163"/>
      <c r="K1110" s="163"/>
      <c r="L1110" s="163"/>
      <c r="M1110" s="163"/>
      <c r="N1110" s="163"/>
    </row>
    <row r="1111" spans="2:14" x14ac:dyDescent="0.25">
      <c r="B1111" s="163"/>
      <c r="C1111" s="163"/>
      <c r="D1111" s="163"/>
      <c r="E1111" s="163"/>
      <c r="F1111" s="163"/>
      <c r="G1111" s="163"/>
      <c r="H1111" s="163"/>
      <c r="I1111" s="163"/>
      <c r="J1111" s="163"/>
      <c r="K1111" s="163"/>
      <c r="L1111" s="163"/>
      <c r="M1111" s="163"/>
      <c r="N1111" s="163"/>
    </row>
    <row r="1112" spans="2:14" x14ac:dyDescent="0.25">
      <c r="B1112" s="163"/>
      <c r="C1112" s="163"/>
      <c r="D1112" s="163"/>
      <c r="E1112" s="163"/>
      <c r="F1112" s="163"/>
      <c r="G1112" s="163"/>
      <c r="H1112" s="163"/>
      <c r="I1112" s="163"/>
      <c r="J1112" s="163"/>
      <c r="K1112" s="163"/>
      <c r="L1112" s="163"/>
      <c r="M1112" s="163"/>
      <c r="N1112" s="163"/>
    </row>
    <row r="1113" spans="2:14" x14ac:dyDescent="0.25">
      <c r="B1113" s="163"/>
      <c r="C1113" s="163"/>
      <c r="D1113" s="163"/>
      <c r="E1113" s="163"/>
      <c r="F1113" s="163"/>
      <c r="G1113" s="163"/>
      <c r="H1113" s="163"/>
      <c r="I1113" s="163"/>
      <c r="J1113" s="163"/>
      <c r="K1113" s="163"/>
      <c r="L1113" s="163"/>
      <c r="M1113" s="163"/>
      <c r="N1113" s="163"/>
    </row>
    <row r="1114" spans="2:14" x14ac:dyDescent="0.25">
      <c r="B1114" s="163"/>
      <c r="C1114" s="163"/>
      <c r="D1114" s="163"/>
      <c r="E1114" s="163"/>
      <c r="F1114" s="163"/>
      <c r="G1114" s="163"/>
      <c r="H1114" s="163"/>
      <c r="I1114" s="163"/>
      <c r="J1114" s="163"/>
      <c r="K1114" s="163"/>
      <c r="L1114" s="163"/>
      <c r="M1114" s="163"/>
      <c r="N1114" s="163"/>
    </row>
    <row r="1115" spans="2:14" x14ac:dyDescent="0.25">
      <c r="B1115" s="163"/>
      <c r="C1115" s="163"/>
      <c r="D1115" s="163"/>
      <c r="E1115" s="163"/>
      <c r="F1115" s="163"/>
      <c r="G1115" s="163"/>
      <c r="H1115" s="163"/>
      <c r="I1115" s="163"/>
      <c r="J1115" s="163"/>
      <c r="K1115" s="163"/>
      <c r="L1115" s="163"/>
      <c r="M1115" s="163"/>
      <c r="N1115" s="163"/>
    </row>
    <row r="1116" spans="2:14" x14ac:dyDescent="0.25">
      <c r="B1116" s="163"/>
      <c r="C1116" s="163"/>
      <c r="D1116" s="163"/>
      <c r="E1116" s="163"/>
      <c r="F1116" s="163"/>
      <c r="G1116" s="163"/>
      <c r="H1116" s="163"/>
      <c r="I1116" s="163"/>
      <c r="J1116" s="163"/>
      <c r="K1116" s="163"/>
      <c r="L1116" s="163"/>
      <c r="M1116" s="163"/>
      <c r="N1116" s="163"/>
    </row>
    <row r="1117" spans="2:14" x14ac:dyDescent="0.25">
      <c r="B1117" s="163"/>
      <c r="C1117" s="163"/>
      <c r="D1117" s="163"/>
      <c r="E1117" s="163"/>
      <c r="F1117" s="163"/>
      <c r="G1117" s="163"/>
      <c r="H1117" s="163"/>
      <c r="I1117" s="163"/>
      <c r="J1117" s="163"/>
      <c r="K1117" s="163"/>
      <c r="L1117" s="163"/>
      <c r="M1117" s="163"/>
      <c r="N1117" s="163"/>
    </row>
    <row r="1118" spans="2:14" x14ac:dyDescent="0.25">
      <c r="B1118" s="163"/>
      <c r="C1118" s="163"/>
      <c r="D1118" s="163"/>
      <c r="E1118" s="163"/>
      <c r="F1118" s="163"/>
      <c r="G1118" s="163"/>
      <c r="H1118" s="163"/>
      <c r="I1118" s="163"/>
      <c r="J1118" s="163"/>
      <c r="K1118" s="163"/>
      <c r="L1118" s="163"/>
      <c r="M1118" s="163"/>
      <c r="N1118" s="163"/>
    </row>
    <row r="1119" spans="2:14" x14ac:dyDescent="0.25">
      <c r="B1119" s="163"/>
      <c r="C1119" s="163"/>
      <c r="D1119" s="163"/>
      <c r="E1119" s="163"/>
      <c r="F1119" s="163"/>
      <c r="G1119" s="163"/>
      <c r="H1119" s="163"/>
      <c r="I1119" s="163"/>
      <c r="J1119" s="163"/>
      <c r="K1119" s="163"/>
      <c r="L1119" s="163"/>
      <c r="M1119" s="163"/>
      <c r="N1119" s="163"/>
    </row>
    <row r="1120" spans="2:14" x14ac:dyDescent="0.25">
      <c r="B1120" s="163"/>
      <c r="C1120" s="163"/>
      <c r="D1120" s="163"/>
      <c r="E1120" s="163"/>
      <c r="F1120" s="163"/>
      <c r="G1120" s="163"/>
      <c r="H1120" s="163"/>
      <c r="I1120" s="163"/>
      <c r="J1120" s="163"/>
      <c r="K1120" s="163"/>
      <c r="L1120" s="163"/>
      <c r="M1120" s="163"/>
      <c r="N1120" s="163"/>
    </row>
    <row r="1121" spans="2:14" x14ac:dyDescent="0.25">
      <c r="B1121" s="163"/>
      <c r="C1121" s="163"/>
      <c r="D1121" s="163"/>
      <c r="E1121" s="163"/>
      <c r="F1121" s="163"/>
      <c r="G1121" s="163"/>
      <c r="H1121" s="163"/>
      <c r="I1121" s="163"/>
      <c r="J1121" s="163"/>
      <c r="K1121" s="163"/>
      <c r="L1121" s="163"/>
      <c r="M1121" s="163"/>
      <c r="N1121" s="163"/>
    </row>
    <row r="1122" spans="2:14" x14ac:dyDescent="0.25">
      <c r="B1122" s="163"/>
      <c r="C1122" s="163"/>
      <c r="D1122" s="163"/>
      <c r="E1122" s="163"/>
      <c r="F1122" s="163"/>
      <c r="G1122" s="163"/>
      <c r="H1122" s="163"/>
      <c r="I1122" s="163"/>
      <c r="J1122" s="163"/>
      <c r="K1122" s="163"/>
      <c r="L1122" s="163"/>
      <c r="M1122" s="163"/>
      <c r="N1122" s="163"/>
    </row>
    <row r="1123" spans="2:14" x14ac:dyDescent="0.25">
      <c r="B1123" s="163"/>
      <c r="C1123" s="163"/>
      <c r="D1123" s="163"/>
      <c r="E1123" s="163"/>
      <c r="F1123" s="163"/>
      <c r="G1123" s="163"/>
      <c r="H1123" s="163"/>
      <c r="I1123" s="163"/>
      <c r="J1123" s="163"/>
      <c r="K1123" s="163"/>
      <c r="L1123" s="163"/>
      <c r="M1123" s="163"/>
      <c r="N1123" s="163"/>
    </row>
    <row r="1124" spans="2:14" x14ac:dyDescent="0.25">
      <c r="B1124" s="163"/>
      <c r="C1124" s="163"/>
      <c r="D1124" s="163"/>
      <c r="E1124" s="163"/>
      <c r="F1124" s="163"/>
      <c r="G1124" s="163"/>
      <c r="H1124" s="163"/>
      <c r="I1124" s="163"/>
      <c r="J1124" s="163"/>
      <c r="K1124" s="163"/>
      <c r="L1124" s="163"/>
      <c r="M1124" s="163"/>
      <c r="N1124" s="163"/>
    </row>
    <row r="1125" spans="2:14" x14ac:dyDescent="0.25">
      <c r="B1125" s="163"/>
      <c r="C1125" s="163"/>
      <c r="D1125" s="163"/>
      <c r="E1125" s="163"/>
      <c r="F1125" s="163"/>
      <c r="G1125" s="163"/>
      <c r="H1125" s="163"/>
      <c r="I1125" s="163"/>
      <c r="J1125" s="163"/>
      <c r="K1125" s="163"/>
      <c r="L1125" s="163"/>
      <c r="M1125" s="163"/>
      <c r="N1125" s="163"/>
    </row>
    <row r="1126" spans="2:14" x14ac:dyDescent="0.25">
      <c r="B1126" s="163"/>
      <c r="C1126" s="163"/>
      <c r="D1126" s="163"/>
      <c r="E1126" s="163"/>
      <c r="F1126" s="163"/>
      <c r="G1126" s="163"/>
      <c r="H1126" s="163"/>
      <c r="I1126" s="163"/>
      <c r="J1126" s="163"/>
      <c r="K1126" s="163"/>
      <c r="L1126" s="163"/>
      <c r="M1126" s="163"/>
      <c r="N1126" s="163"/>
    </row>
    <row r="1127" spans="2:14" x14ac:dyDescent="0.25">
      <c r="B1127" s="163"/>
      <c r="C1127" s="163"/>
      <c r="D1127" s="163"/>
      <c r="E1127" s="163"/>
      <c r="F1127" s="163"/>
      <c r="G1127" s="163"/>
      <c r="H1127" s="163"/>
      <c r="I1127" s="163"/>
      <c r="J1127" s="163"/>
      <c r="K1127" s="163"/>
      <c r="L1127" s="163"/>
      <c r="M1127" s="163"/>
      <c r="N1127" s="163"/>
    </row>
    <row r="1128" spans="2:14" x14ac:dyDescent="0.25">
      <c r="B1128" s="163"/>
      <c r="C1128" s="163"/>
      <c r="D1128" s="163"/>
      <c r="E1128" s="163"/>
      <c r="F1128" s="163"/>
      <c r="G1128" s="163"/>
      <c r="H1128" s="163"/>
      <c r="I1128" s="163"/>
      <c r="J1128" s="163"/>
      <c r="K1128" s="163"/>
      <c r="L1128" s="163"/>
      <c r="M1128" s="163"/>
      <c r="N1128" s="163"/>
    </row>
    <row r="1129" spans="2:14" x14ac:dyDescent="0.25">
      <c r="B1129" s="163"/>
      <c r="C1129" s="163"/>
      <c r="D1129" s="163"/>
      <c r="E1129" s="163"/>
      <c r="F1129" s="163"/>
      <c r="G1129" s="163"/>
      <c r="H1129" s="163"/>
      <c r="I1129" s="163"/>
      <c r="J1129" s="163"/>
      <c r="K1129" s="163"/>
      <c r="L1129" s="163"/>
      <c r="M1129" s="163"/>
      <c r="N1129" s="163"/>
    </row>
    <row r="1130" spans="2:14" x14ac:dyDescent="0.25">
      <c r="B1130" s="163"/>
      <c r="C1130" s="163"/>
      <c r="D1130" s="163"/>
      <c r="E1130" s="163"/>
      <c r="F1130" s="163"/>
      <c r="G1130" s="163"/>
      <c r="H1130" s="163"/>
      <c r="I1130" s="163"/>
      <c r="J1130" s="163"/>
      <c r="K1130" s="163"/>
      <c r="L1130" s="163"/>
      <c r="M1130" s="163"/>
      <c r="N1130" s="163"/>
    </row>
    <row r="1131" spans="2:14" x14ac:dyDescent="0.25">
      <c r="B1131" s="163"/>
      <c r="C1131" s="163"/>
      <c r="D1131" s="163"/>
      <c r="E1131" s="163"/>
      <c r="F1131" s="163"/>
      <c r="G1131" s="163"/>
      <c r="H1131" s="163"/>
      <c r="I1131" s="163"/>
      <c r="J1131" s="163"/>
      <c r="K1131" s="163"/>
      <c r="L1131" s="163"/>
      <c r="M1131" s="163"/>
      <c r="N1131" s="163"/>
    </row>
    <row r="1132" spans="2:14" x14ac:dyDescent="0.25">
      <c r="B1132" s="163"/>
      <c r="C1132" s="163"/>
      <c r="D1132" s="163"/>
      <c r="E1132" s="163"/>
      <c r="F1132" s="163"/>
      <c r="G1132" s="163"/>
      <c r="H1132" s="163"/>
      <c r="I1132" s="163"/>
      <c r="J1132" s="163"/>
      <c r="K1132" s="163"/>
      <c r="L1132" s="163"/>
      <c r="M1132" s="163"/>
      <c r="N1132" s="163"/>
    </row>
    <row r="1133" spans="2:14" x14ac:dyDescent="0.25">
      <c r="B1133" s="163"/>
      <c r="C1133" s="163"/>
      <c r="D1133" s="163"/>
      <c r="E1133" s="163"/>
      <c r="F1133" s="163"/>
      <c r="G1133" s="163"/>
      <c r="H1133" s="163"/>
      <c r="I1133" s="163"/>
      <c r="J1133" s="163"/>
      <c r="K1133" s="163"/>
      <c r="L1133" s="163"/>
      <c r="M1133" s="163"/>
      <c r="N1133" s="163"/>
    </row>
    <row r="1134" spans="2:14" x14ac:dyDescent="0.25">
      <c r="B1134" s="163"/>
      <c r="C1134" s="163"/>
      <c r="D1134" s="163"/>
      <c r="E1134" s="163"/>
      <c r="F1134" s="163"/>
      <c r="G1134" s="163"/>
      <c r="H1134" s="163"/>
      <c r="I1134" s="163"/>
      <c r="J1134" s="163"/>
      <c r="K1134" s="163"/>
      <c r="L1134" s="163"/>
      <c r="M1134" s="163"/>
      <c r="N1134" s="163"/>
    </row>
    <row r="1135" spans="2:14" x14ac:dyDescent="0.25">
      <c r="B1135" s="163"/>
      <c r="C1135" s="163"/>
      <c r="D1135" s="163"/>
      <c r="E1135" s="163"/>
      <c r="F1135" s="163"/>
      <c r="G1135" s="163"/>
      <c r="H1135" s="163"/>
      <c r="I1135" s="163"/>
      <c r="J1135" s="163"/>
      <c r="K1135" s="163"/>
      <c r="L1135" s="163"/>
      <c r="M1135" s="163"/>
      <c r="N1135" s="163"/>
    </row>
    <row r="1136" spans="2:14" x14ac:dyDescent="0.25">
      <c r="B1136" s="163"/>
      <c r="C1136" s="163"/>
      <c r="D1136" s="163"/>
      <c r="E1136" s="163"/>
      <c r="F1136" s="163"/>
      <c r="G1136" s="163"/>
      <c r="H1136" s="163"/>
      <c r="I1136" s="163"/>
      <c r="J1136" s="163"/>
      <c r="K1136" s="163"/>
      <c r="L1136" s="163"/>
      <c r="M1136" s="163"/>
      <c r="N1136" s="163"/>
    </row>
    <row r="1137" spans="2:14" x14ac:dyDescent="0.25">
      <c r="B1137" s="163"/>
      <c r="C1137" s="163"/>
      <c r="D1137" s="163"/>
      <c r="E1137" s="163"/>
      <c r="F1137" s="163"/>
      <c r="G1137" s="163"/>
      <c r="H1137" s="163"/>
      <c r="I1137" s="163"/>
      <c r="J1137" s="163"/>
      <c r="K1137" s="163"/>
      <c r="L1137" s="163"/>
      <c r="M1137" s="163"/>
      <c r="N1137" s="163"/>
    </row>
    <row r="1138" spans="2:14" x14ac:dyDescent="0.25">
      <c r="B1138" s="163"/>
      <c r="C1138" s="163"/>
      <c r="D1138" s="163"/>
      <c r="E1138" s="163"/>
      <c r="F1138" s="163"/>
      <c r="G1138" s="163"/>
      <c r="H1138" s="163"/>
      <c r="I1138" s="163"/>
      <c r="J1138" s="163"/>
      <c r="K1138" s="163"/>
      <c r="L1138" s="163"/>
      <c r="M1138" s="163"/>
      <c r="N1138" s="163"/>
    </row>
    <row r="1139" spans="2:14" x14ac:dyDescent="0.25">
      <c r="B1139" s="163"/>
      <c r="C1139" s="163"/>
      <c r="D1139" s="163"/>
      <c r="E1139" s="163"/>
      <c r="F1139" s="163"/>
      <c r="G1139" s="163"/>
      <c r="H1139" s="163"/>
      <c r="I1139" s="163"/>
      <c r="J1139" s="163"/>
      <c r="K1139" s="163"/>
      <c r="L1139" s="163"/>
      <c r="M1139" s="163"/>
      <c r="N1139" s="163"/>
    </row>
    <row r="1140" spans="2:14" x14ac:dyDescent="0.25">
      <c r="B1140" s="163"/>
      <c r="C1140" s="163"/>
      <c r="D1140" s="163"/>
      <c r="E1140" s="163"/>
      <c r="F1140" s="163"/>
      <c r="G1140" s="163"/>
      <c r="H1140" s="163"/>
      <c r="I1140" s="163"/>
      <c r="J1140" s="163"/>
      <c r="K1140" s="163"/>
      <c r="L1140" s="163"/>
      <c r="M1140" s="163"/>
      <c r="N1140" s="163"/>
    </row>
    <row r="1141" spans="2:14" x14ac:dyDescent="0.25">
      <c r="B1141" s="163"/>
      <c r="C1141" s="163"/>
      <c r="D1141" s="163"/>
      <c r="E1141" s="163"/>
      <c r="F1141" s="163"/>
      <c r="G1141" s="163"/>
      <c r="H1141" s="163"/>
      <c r="I1141" s="163"/>
      <c r="J1141" s="163"/>
      <c r="K1141" s="163"/>
      <c r="L1141" s="163"/>
      <c r="M1141" s="163"/>
      <c r="N1141" s="163"/>
    </row>
    <row r="1142" spans="2:14" x14ac:dyDescent="0.25">
      <c r="B1142" s="163"/>
      <c r="C1142" s="163"/>
      <c r="D1142" s="163"/>
      <c r="E1142" s="163"/>
      <c r="F1142" s="163"/>
      <c r="G1142" s="163"/>
      <c r="H1142" s="163"/>
      <c r="I1142" s="163"/>
      <c r="J1142" s="163"/>
      <c r="K1142" s="163"/>
      <c r="L1142" s="163"/>
      <c r="M1142" s="163"/>
      <c r="N1142" s="163"/>
    </row>
    <row r="1143" spans="2:14" x14ac:dyDescent="0.25">
      <c r="B1143" s="163"/>
      <c r="C1143" s="163"/>
      <c r="D1143" s="163"/>
      <c r="E1143" s="163"/>
      <c r="F1143" s="163"/>
      <c r="G1143" s="163"/>
      <c r="H1143" s="163"/>
      <c r="I1143" s="163"/>
      <c r="J1143" s="163"/>
      <c r="K1143" s="163"/>
      <c r="L1143" s="163"/>
      <c r="M1143" s="163"/>
      <c r="N1143" s="163"/>
    </row>
    <row r="1144" spans="2:14" x14ac:dyDescent="0.25">
      <c r="B1144" s="163"/>
      <c r="C1144" s="163"/>
      <c r="D1144" s="163"/>
      <c r="E1144" s="163"/>
      <c r="F1144" s="163"/>
      <c r="G1144" s="163"/>
      <c r="H1144" s="163"/>
      <c r="I1144" s="163"/>
      <c r="J1144" s="163"/>
      <c r="K1144" s="163"/>
      <c r="L1144" s="163"/>
      <c r="M1144" s="163"/>
      <c r="N1144" s="163"/>
    </row>
    <row r="1145" spans="2:14" x14ac:dyDescent="0.25">
      <c r="B1145" s="163"/>
      <c r="C1145" s="163"/>
      <c r="D1145" s="163"/>
      <c r="E1145" s="163"/>
      <c r="F1145" s="163"/>
      <c r="G1145" s="163"/>
      <c r="H1145" s="163"/>
      <c r="I1145" s="163"/>
      <c r="J1145" s="163"/>
      <c r="K1145" s="163"/>
      <c r="L1145" s="163"/>
      <c r="M1145" s="163"/>
      <c r="N1145" s="163"/>
    </row>
    <row r="1146" spans="2:14" x14ac:dyDescent="0.25">
      <c r="B1146" s="163"/>
      <c r="C1146" s="163"/>
      <c r="D1146" s="163"/>
      <c r="E1146" s="163"/>
      <c r="F1146" s="163"/>
      <c r="G1146" s="163"/>
      <c r="H1146" s="163"/>
      <c r="I1146" s="163"/>
      <c r="J1146" s="163"/>
      <c r="K1146" s="163"/>
      <c r="L1146" s="163"/>
      <c r="M1146" s="163"/>
      <c r="N1146" s="163"/>
    </row>
    <row r="1147" spans="2:14" x14ac:dyDescent="0.25">
      <c r="B1147" s="163"/>
      <c r="C1147" s="163"/>
      <c r="D1147" s="163"/>
      <c r="E1147" s="163"/>
      <c r="F1147" s="163"/>
      <c r="G1147" s="163"/>
      <c r="H1147" s="163"/>
      <c r="I1147" s="163"/>
      <c r="J1147" s="163"/>
      <c r="K1147" s="163"/>
      <c r="L1147" s="163"/>
      <c r="M1147" s="163"/>
      <c r="N1147" s="163"/>
    </row>
    <row r="1148" spans="2:14" x14ac:dyDescent="0.25">
      <c r="B1148" s="163"/>
      <c r="C1148" s="163"/>
      <c r="D1148" s="163"/>
      <c r="E1148" s="163"/>
      <c r="F1148" s="163"/>
      <c r="G1148" s="163"/>
      <c r="H1148" s="163"/>
      <c r="I1148" s="163"/>
      <c r="J1148" s="163"/>
      <c r="K1148" s="163"/>
      <c r="L1148" s="163"/>
      <c r="M1148" s="163"/>
      <c r="N1148" s="163"/>
    </row>
    <row r="1149" spans="2:14" x14ac:dyDescent="0.25">
      <c r="B1149" s="163"/>
      <c r="C1149" s="163"/>
      <c r="D1149" s="163"/>
      <c r="E1149" s="163"/>
      <c r="F1149" s="163"/>
      <c r="G1149" s="163"/>
      <c r="H1149" s="163"/>
      <c r="I1149" s="163"/>
      <c r="J1149" s="163"/>
      <c r="K1149" s="163"/>
      <c r="L1149" s="163"/>
      <c r="M1149" s="163"/>
      <c r="N1149" s="163"/>
    </row>
    <row r="1150" spans="2:14" x14ac:dyDescent="0.25">
      <c r="B1150" s="163"/>
      <c r="C1150" s="163"/>
      <c r="D1150" s="163"/>
      <c r="E1150" s="163"/>
      <c r="F1150" s="163"/>
      <c r="G1150" s="163"/>
      <c r="H1150" s="163"/>
      <c r="I1150" s="163"/>
      <c r="J1150" s="163"/>
      <c r="K1150" s="163"/>
      <c r="L1150" s="163"/>
      <c r="M1150" s="163"/>
      <c r="N1150" s="163"/>
    </row>
    <row r="1151" spans="2:14" x14ac:dyDescent="0.25">
      <c r="B1151" s="163"/>
      <c r="C1151" s="163"/>
      <c r="D1151" s="163"/>
      <c r="E1151" s="163"/>
      <c r="F1151" s="163"/>
      <c r="G1151" s="163"/>
      <c r="H1151" s="163"/>
      <c r="I1151" s="163"/>
      <c r="J1151" s="163"/>
      <c r="K1151" s="163"/>
      <c r="L1151" s="163"/>
      <c r="M1151" s="163"/>
      <c r="N1151" s="163"/>
    </row>
    <row r="1152" spans="2:14" x14ac:dyDescent="0.25">
      <c r="B1152" s="163"/>
      <c r="C1152" s="163"/>
      <c r="D1152" s="163"/>
      <c r="E1152" s="163"/>
      <c r="F1152" s="163"/>
      <c r="G1152" s="163"/>
      <c r="H1152" s="163"/>
      <c r="I1152" s="163"/>
      <c r="J1152" s="163"/>
      <c r="K1152" s="163"/>
      <c r="L1152" s="163"/>
      <c r="M1152" s="163"/>
      <c r="N1152" s="163"/>
    </row>
    <row r="1153" spans="2:14" x14ac:dyDescent="0.25">
      <c r="B1153" s="163"/>
      <c r="C1153" s="163"/>
      <c r="D1153" s="163"/>
      <c r="E1153" s="163"/>
      <c r="F1153" s="163"/>
      <c r="G1153" s="163"/>
      <c r="H1153" s="163"/>
      <c r="I1153" s="163"/>
      <c r="J1153" s="163"/>
      <c r="K1153" s="163"/>
      <c r="L1153" s="163"/>
      <c r="M1153" s="163"/>
      <c r="N1153" s="163"/>
    </row>
    <row r="1154" spans="2:14" x14ac:dyDescent="0.25">
      <c r="B1154" s="163"/>
      <c r="C1154" s="163"/>
      <c r="D1154" s="163"/>
      <c r="E1154" s="163"/>
      <c r="F1154" s="163"/>
      <c r="G1154" s="163"/>
      <c r="H1154" s="163"/>
      <c r="I1154" s="163"/>
      <c r="J1154" s="163"/>
      <c r="K1154" s="163"/>
      <c r="L1154" s="163"/>
      <c r="M1154" s="163"/>
      <c r="N1154" s="163"/>
    </row>
    <row r="1155" spans="2:14" x14ac:dyDescent="0.25">
      <c r="B1155" s="163"/>
      <c r="C1155" s="163"/>
      <c r="D1155" s="163"/>
      <c r="E1155" s="163"/>
      <c r="F1155" s="163"/>
      <c r="G1155" s="163"/>
      <c r="H1155" s="163"/>
      <c r="I1155" s="163"/>
      <c r="J1155" s="163"/>
      <c r="K1155" s="163"/>
      <c r="L1155" s="163"/>
      <c r="M1155" s="163"/>
      <c r="N1155" s="163"/>
    </row>
    <row r="1156" spans="2:14" x14ac:dyDescent="0.25">
      <c r="B1156" s="163"/>
      <c r="C1156" s="163"/>
      <c r="D1156" s="163"/>
      <c r="E1156" s="163"/>
      <c r="F1156" s="163"/>
      <c r="G1156" s="163"/>
      <c r="H1156" s="163"/>
      <c r="I1156" s="163"/>
      <c r="J1156" s="163"/>
      <c r="K1156" s="163"/>
      <c r="L1156" s="163"/>
      <c r="M1156" s="163"/>
      <c r="N1156" s="163"/>
    </row>
    <row r="1157" spans="2:14" x14ac:dyDescent="0.25">
      <c r="B1157" s="163"/>
      <c r="C1157" s="163"/>
      <c r="D1157" s="163"/>
      <c r="E1157" s="163"/>
      <c r="F1157" s="163"/>
      <c r="G1157" s="163"/>
      <c r="H1157" s="163"/>
      <c r="I1157" s="163"/>
      <c r="J1157" s="163"/>
      <c r="K1157" s="163"/>
      <c r="L1157" s="163"/>
      <c r="M1157" s="163"/>
      <c r="N1157" s="163"/>
    </row>
    <row r="1158" spans="2:14" x14ac:dyDescent="0.25">
      <c r="B1158" s="163"/>
      <c r="C1158" s="163"/>
      <c r="D1158" s="163"/>
      <c r="E1158" s="163"/>
      <c r="F1158" s="163"/>
      <c r="G1158" s="163"/>
      <c r="H1158" s="163"/>
      <c r="I1158" s="163"/>
      <c r="J1158" s="163"/>
      <c r="K1158" s="163"/>
      <c r="L1158" s="163"/>
      <c r="M1158" s="163"/>
      <c r="N1158" s="163"/>
    </row>
    <row r="1159" spans="2:14" x14ac:dyDescent="0.25">
      <c r="B1159" s="163"/>
      <c r="C1159" s="163"/>
      <c r="D1159" s="163"/>
      <c r="E1159" s="163"/>
      <c r="F1159" s="163"/>
      <c r="G1159" s="163"/>
      <c r="H1159" s="163"/>
      <c r="I1159" s="163"/>
      <c r="J1159" s="163"/>
      <c r="K1159" s="163"/>
      <c r="L1159" s="163"/>
      <c r="M1159" s="163"/>
      <c r="N1159" s="163"/>
    </row>
    <row r="1160" spans="2:14" x14ac:dyDescent="0.25">
      <c r="B1160" s="163"/>
      <c r="C1160" s="163"/>
      <c r="D1160" s="163"/>
      <c r="E1160" s="163"/>
      <c r="F1160" s="163"/>
      <c r="G1160" s="163"/>
      <c r="H1160" s="163"/>
      <c r="I1160" s="163"/>
      <c r="J1160" s="163"/>
      <c r="K1160" s="163"/>
      <c r="L1160" s="163"/>
      <c r="M1160" s="163"/>
      <c r="N1160" s="163"/>
    </row>
    <row r="1161" spans="2:14" x14ac:dyDescent="0.25">
      <c r="B1161" s="163"/>
      <c r="C1161" s="163"/>
      <c r="D1161" s="163"/>
      <c r="E1161" s="163"/>
      <c r="F1161" s="163"/>
      <c r="G1161" s="163"/>
      <c r="H1161" s="163"/>
      <c r="I1161" s="163"/>
      <c r="J1161" s="163"/>
      <c r="K1161" s="163"/>
      <c r="L1161" s="163"/>
      <c r="M1161" s="163"/>
      <c r="N1161" s="163"/>
    </row>
    <row r="1162" spans="2:14" x14ac:dyDescent="0.25">
      <c r="B1162" s="163"/>
      <c r="C1162" s="163"/>
      <c r="D1162" s="163"/>
      <c r="E1162" s="163"/>
      <c r="F1162" s="163"/>
      <c r="G1162" s="163"/>
      <c r="H1162" s="163"/>
      <c r="I1162" s="163"/>
      <c r="J1162" s="163"/>
      <c r="K1162" s="163"/>
      <c r="L1162" s="163"/>
      <c r="M1162" s="163"/>
      <c r="N1162" s="163"/>
    </row>
    <row r="1163" spans="2:14" x14ac:dyDescent="0.25">
      <c r="B1163" s="163"/>
      <c r="C1163" s="163"/>
      <c r="D1163" s="163"/>
      <c r="E1163" s="163"/>
      <c r="F1163" s="163"/>
      <c r="G1163" s="163"/>
      <c r="H1163" s="163"/>
      <c r="I1163" s="163"/>
      <c r="J1163" s="163"/>
      <c r="K1163" s="163"/>
      <c r="L1163" s="163"/>
      <c r="M1163" s="163"/>
      <c r="N1163" s="163"/>
    </row>
    <row r="1164" spans="2:14" x14ac:dyDescent="0.25">
      <c r="B1164" s="163"/>
      <c r="C1164" s="163"/>
      <c r="D1164" s="163"/>
      <c r="E1164" s="163"/>
      <c r="F1164" s="163"/>
      <c r="G1164" s="163"/>
      <c r="H1164" s="163"/>
      <c r="I1164" s="163"/>
      <c r="J1164" s="163"/>
      <c r="K1164" s="163"/>
      <c r="L1164" s="163"/>
      <c r="M1164" s="163"/>
      <c r="N1164" s="163"/>
    </row>
    <row r="1165" spans="2:14" x14ac:dyDescent="0.25">
      <c r="B1165" s="163"/>
      <c r="C1165" s="163"/>
      <c r="D1165" s="163"/>
      <c r="E1165" s="163"/>
      <c r="F1165" s="163"/>
      <c r="G1165" s="163"/>
      <c r="H1165" s="163"/>
      <c r="I1165" s="163"/>
      <c r="J1165" s="163"/>
      <c r="K1165" s="163"/>
      <c r="L1165" s="163"/>
      <c r="M1165" s="163"/>
      <c r="N1165" s="163"/>
    </row>
    <row r="1166" spans="2:14" x14ac:dyDescent="0.25">
      <c r="B1166" s="163"/>
      <c r="C1166" s="163"/>
      <c r="D1166" s="163"/>
      <c r="E1166" s="163"/>
      <c r="F1166" s="163"/>
      <c r="G1166" s="163"/>
      <c r="H1166" s="163"/>
      <c r="I1166" s="163"/>
      <c r="J1166" s="163"/>
      <c r="K1166" s="163"/>
      <c r="L1166" s="163"/>
      <c r="M1166" s="163"/>
      <c r="N1166" s="163"/>
    </row>
    <row r="1167" spans="2:14" x14ac:dyDescent="0.25">
      <c r="B1167" s="163"/>
      <c r="C1167" s="163"/>
      <c r="D1167" s="163"/>
      <c r="E1167" s="163"/>
      <c r="F1167" s="163"/>
      <c r="G1167" s="163"/>
      <c r="H1167" s="163"/>
      <c r="I1167" s="163"/>
      <c r="J1167" s="163"/>
      <c r="K1167" s="163"/>
      <c r="L1167" s="163"/>
      <c r="M1167" s="163"/>
      <c r="N1167" s="163"/>
    </row>
    <row r="1168" spans="2:14" x14ac:dyDescent="0.25">
      <c r="B1168" s="163"/>
      <c r="C1168" s="163"/>
      <c r="D1168" s="163"/>
      <c r="E1168" s="163"/>
      <c r="F1168" s="163"/>
      <c r="G1168" s="163"/>
      <c r="H1168" s="163"/>
      <c r="I1168" s="163"/>
      <c r="J1168" s="163"/>
      <c r="K1168" s="163"/>
      <c r="L1168" s="163"/>
      <c r="M1168" s="163"/>
      <c r="N1168" s="163"/>
    </row>
    <row r="1169" spans="2:14" x14ac:dyDescent="0.25">
      <c r="B1169" s="163"/>
      <c r="C1169" s="163"/>
      <c r="D1169" s="163"/>
      <c r="E1169" s="163"/>
      <c r="F1169" s="163"/>
      <c r="G1169" s="163"/>
      <c r="H1169" s="163"/>
      <c r="I1169" s="163"/>
      <c r="J1169" s="163"/>
      <c r="K1169" s="163"/>
      <c r="L1169" s="163"/>
      <c r="M1169" s="163"/>
      <c r="N1169" s="163"/>
    </row>
    <row r="1170" spans="2:14" x14ac:dyDescent="0.25">
      <c r="B1170" s="163"/>
      <c r="C1170" s="163"/>
      <c r="D1170" s="163"/>
      <c r="E1170" s="163"/>
      <c r="F1170" s="163"/>
      <c r="G1170" s="163"/>
      <c r="H1170" s="163"/>
      <c r="I1170" s="163"/>
      <c r="J1170" s="163"/>
      <c r="K1170" s="163"/>
      <c r="L1170" s="163"/>
      <c r="M1170" s="163"/>
      <c r="N1170" s="163"/>
    </row>
    <row r="1171" spans="2:14" x14ac:dyDescent="0.25">
      <c r="B1171" s="163"/>
      <c r="C1171" s="163"/>
      <c r="D1171" s="163"/>
      <c r="E1171" s="163"/>
      <c r="F1171" s="163"/>
      <c r="G1171" s="163"/>
      <c r="H1171" s="163"/>
      <c r="I1171" s="163"/>
      <c r="J1171" s="163"/>
      <c r="K1171" s="163"/>
      <c r="L1171" s="163"/>
      <c r="M1171" s="163"/>
      <c r="N1171" s="163"/>
    </row>
    <row r="1172" spans="2:14" x14ac:dyDescent="0.25">
      <c r="B1172" s="163"/>
      <c r="C1172" s="163"/>
      <c r="D1172" s="163"/>
      <c r="E1172" s="163"/>
      <c r="F1172" s="163"/>
      <c r="G1172" s="163"/>
      <c r="H1172" s="163"/>
      <c r="I1172" s="163"/>
      <c r="J1172" s="163"/>
      <c r="K1172" s="163"/>
      <c r="L1172" s="163"/>
      <c r="M1172" s="163"/>
      <c r="N1172" s="163"/>
    </row>
    <row r="1173" spans="2:14" x14ac:dyDescent="0.25">
      <c r="B1173" s="163"/>
      <c r="C1173" s="163"/>
      <c r="D1173" s="163"/>
      <c r="E1173" s="163"/>
      <c r="F1173" s="163"/>
      <c r="G1173" s="163"/>
      <c r="H1173" s="163"/>
      <c r="I1173" s="163"/>
      <c r="J1173" s="163"/>
      <c r="K1173" s="163"/>
      <c r="L1173" s="163"/>
      <c r="M1173" s="163"/>
      <c r="N1173" s="163"/>
    </row>
    <row r="1174" spans="2:14" x14ac:dyDescent="0.25">
      <c r="B1174" s="163"/>
      <c r="C1174" s="163"/>
      <c r="D1174" s="163"/>
      <c r="E1174" s="163"/>
      <c r="F1174" s="163"/>
      <c r="G1174" s="163"/>
      <c r="H1174" s="163"/>
      <c r="I1174" s="163"/>
      <c r="J1174" s="163"/>
      <c r="K1174" s="163"/>
      <c r="L1174" s="163"/>
      <c r="M1174" s="163"/>
      <c r="N1174" s="163"/>
    </row>
    <row r="1175" spans="2:14" x14ac:dyDescent="0.25">
      <c r="B1175" s="163"/>
      <c r="C1175" s="163"/>
      <c r="D1175" s="163"/>
      <c r="E1175" s="163"/>
      <c r="F1175" s="163"/>
      <c r="G1175" s="163"/>
      <c r="H1175" s="163"/>
      <c r="I1175" s="163"/>
      <c r="J1175" s="163"/>
      <c r="K1175" s="163"/>
      <c r="L1175" s="163"/>
      <c r="M1175" s="163"/>
      <c r="N1175" s="163"/>
    </row>
    <row r="1176" spans="2:14" x14ac:dyDescent="0.25">
      <c r="B1176" s="163"/>
      <c r="C1176" s="163"/>
      <c r="D1176" s="163"/>
      <c r="E1176" s="163"/>
      <c r="F1176" s="163"/>
      <c r="G1176" s="163"/>
      <c r="H1176" s="163"/>
      <c r="I1176" s="163"/>
      <c r="J1176" s="163"/>
      <c r="K1176" s="163"/>
      <c r="L1176" s="163"/>
      <c r="M1176" s="163"/>
      <c r="N1176" s="163"/>
    </row>
    <row r="1177" spans="2:14" x14ac:dyDescent="0.25">
      <c r="B1177" s="163"/>
      <c r="C1177" s="163"/>
      <c r="D1177" s="163"/>
      <c r="E1177" s="163"/>
      <c r="F1177" s="163"/>
      <c r="G1177" s="163"/>
      <c r="H1177" s="163"/>
      <c r="I1177" s="163"/>
      <c r="J1177" s="163"/>
      <c r="K1177" s="163"/>
      <c r="L1177" s="163"/>
      <c r="M1177" s="163"/>
      <c r="N1177" s="163"/>
    </row>
    <row r="1178" spans="2:14" x14ac:dyDescent="0.25">
      <c r="B1178" s="163"/>
      <c r="C1178" s="163"/>
      <c r="D1178" s="163"/>
      <c r="E1178" s="163"/>
      <c r="F1178" s="163"/>
      <c r="G1178" s="163"/>
      <c r="H1178" s="163"/>
      <c r="I1178" s="163"/>
      <c r="J1178" s="163"/>
      <c r="K1178" s="163"/>
      <c r="L1178" s="163"/>
      <c r="M1178" s="163"/>
      <c r="N1178" s="163"/>
    </row>
    <row r="1179" spans="2:14" x14ac:dyDescent="0.25">
      <c r="B1179" s="163"/>
      <c r="C1179" s="163"/>
      <c r="D1179" s="163"/>
      <c r="E1179" s="163"/>
      <c r="F1179" s="163"/>
      <c r="G1179" s="163"/>
      <c r="H1179" s="163"/>
      <c r="I1179" s="163"/>
      <c r="J1179" s="163"/>
      <c r="K1179" s="163"/>
      <c r="L1179" s="163"/>
      <c r="M1179" s="163"/>
      <c r="N1179" s="163"/>
    </row>
    <row r="1180" spans="2:14" x14ac:dyDescent="0.25">
      <c r="B1180" s="163"/>
      <c r="C1180" s="163"/>
      <c r="D1180" s="163"/>
      <c r="E1180" s="163"/>
      <c r="F1180" s="163"/>
      <c r="G1180" s="163"/>
      <c r="H1180" s="163"/>
      <c r="I1180" s="163"/>
      <c r="J1180" s="163"/>
      <c r="K1180" s="163"/>
      <c r="L1180" s="163"/>
      <c r="M1180" s="163"/>
      <c r="N1180" s="163"/>
    </row>
    <row r="1181" spans="2:14" x14ac:dyDescent="0.25">
      <c r="B1181" s="163"/>
      <c r="C1181" s="163"/>
      <c r="D1181" s="163"/>
      <c r="E1181" s="163"/>
      <c r="F1181" s="163"/>
      <c r="G1181" s="163"/>
      <c r="H1181" s="163"/>
      <c r="I1181" s="163"/>
      <c r="J1181" s="163"/>
      <c r="K1181" s="163"/>
      <c r="L1181" s="163"/>
      <c r="M1181" s="163"/>
      <c r="N1181" s="163"/>
    </row>
    <row r="1182" spans="2:14" x14ac:dyDescent="0.25">
      <c r="B1182" s="163"/>
      <c r="C1182" s="163"/>
      <c r="D1182" s="163"/>
      <c r="E1182" s="163"/>
      <c r="F1182" s="163"/>
      <c r="G1182" s="163"/>
      <c r="H1182" s="163"/>
      <c r="I1182" s="163"/>
      <c r="J1182" s="163"/>
      <c r="K1182" s="163"/>
      <c r="L1182" s="163"/>
      <c r="M1182" s="163"/>
      <c r="N1182" s="163"/>
    </row>
    <row r="1183" spans="2:14" x14ac:dyDescent="0.25">
      <c r="B1183" s="163"/>
      <c r="C1183" s="163"/>
      <c r="D1183" s="163"/>
      <c r="E1183" s="163"/>
      <c r="F1183" s="163"/>
      <c r="G1183" s="163"/>
      <c r="H1183" s="163"/>
      <c r="I1183" s="163"/>
      <c r="J1183" s="163"/>
      <c r="K1183" s="163"/>
      <c r="L1183" s="163"/>
      <c r="M1183" s="163"/>
      <c r="N1183" s="163"/>
    </row>
    <row r="1184" spans="2:14" x14ac:dyDescent="0.25">
      <c r="B1184" s="163"/>
      <c r="C1184" s="163"/>
      <c r="D1184" s="163"/>
      <c r="E1184" s="163"/>
      <c r="F1184" s="163"/>
      <c r="G1184" s="163"/>
      <c r="H1184" s="163"/>
      <c r="I1184" s="163"/>
      <c r="J1184" s="163"/>
      <c r="K1184" s="163"/>
      <c r="L1184" s="163"/>
      <c r="M1184" s="163"/>
      <c r="N1184" s="163"/>
    </row>
    <row r="1185" spans="2:14" x14ac:dyDescent="0.25">
      <c r="B1185" s="163"/>
      <c r="C1185" s="163"/>
      <c r="D1185" s="163"/>
      <c r="E1185" s="163"/>
      <c r="F1185" s="163"/>
      <c r="G1185" s="163"/>
      <c r="H1185" s="163"/>
      <c r="I1185" s="163"/>
      <c r="J1185" s="163"/>
      <c r="K1185" s="163"/>
      <c r="L1185" s="163"/>
      <c r="M1185" s="163"/>
      <c r="N1185" s="163"/>
    </row>
    <row r="1186" spans="2:14" x14ac:dyDescent="0.25">
      <c r="B1186" s="163"/>
      <c r="C1186" s="163"/>
      <c r="D1186" s="163"/>
      <c r="E1186" s="163"/>
      <c r="F1186" s="163"/>
      <c r="G1186" s="163"/>
      <c r="H1186" s="163"/>
      <c r="I1186" s="163"/>
      <c r="J1186" s="163"/>
      <c r="K1186" s="163"/>
      <c r="L1186" s="163"/>
      <c r="M1186" s="163"/>
      <c r="N1186" s="163"/>
    </row>
    <row r="1187" spans="2:14" x14ac:dyDescent="0.25">
      <c r="B1187" s="163"/>
      <c r="C1187" s="163"/>
      <c r="D1187" s="163"/>
      <c r="E1187" s="163"/>
      <c r="F1187" s="163"/>
      <c r="G1187" s="163"/>
      <c r="H1187" s="163"/>
      <c r="I1187" s="163"/>
      <c r="J1187" s="163"/>
      <c r="K1187" s="163"/>
      <c r="L1187" s="163"/>
      <c r="M1187" s="163"/>
      <c r="N1187" s="163"/>
    </row>
    <row r="1188" spans="2:14" x14ac:dyDescent="0.25">
      <c r="B1188" s="163"/>
      <c r="C1188" s="163"/>
      <c r="D1188" s="163"/>
      <c r="E1188" s="163"/>
      <c r="F1188" s="163"/>
      <c r="G1188" s="163"/>
      <c r="H1188" s="163"/>
      <c r="I1188" s="163"/>
      <c r="J1188" s="163"/>
      <c r="K1188" s="163"/>
      <c r="L1188" s="163"/>
      <c r="M1188" s="163"/>
      <c r="N1188" s="163"/>
    </row>
    <row r="1189" spans="2:14" x14ac:dyDescent="0.25">
      <c r="B1189" s="163"/>
      <c r="C1189" s="163"/>
      <c r="D1189" s="163"/>
      <c r="E1189" s="163"/>
      <c r="F1189" s="163"/>
      <c r="G1189" s="163"/>
      <c r="H1189" s="163"/>
      <c r="I1189" s="163"/>
      <c r="J1189" s="163"/>
      <c r="K1189" s="163"/>
      <c r="L1189" s="163"/>
      <c r="M1189" s="163"/>
      <c r="N1189" s="163"/>
    </row>
    <row r="1190" spans="2:14" x14ac:dyDescent="0.25">
      <c r="B1190" s="163"/>
      <c r="C1190" s="163"/>
      <c r="D1190" s="163"/>
      <c r="E1190" s="163"/>
      <c r="F1190" s="163"/>
      <c r="G1190" s="163"/>
      <c r="H1190" s="163"/>
      <c r="I1190" s="163"/>
      <c r="J1190" s="163"/>
      <c r="K1190" s="163"/>
      <c r="L1190" s="163"/>
      <c r="M1190" s="163"/>
      <c r="N1190" s="163"/>
    </row>
    <row r="1191" spans="2:14" x14ac:dyDescent="0.25">
      <c r="B1191" s="163"/>
      <c r="C1191" s="163"/>
      <c r="D1191" s="163"/>
      <c r="E1191" s="163"/>
      <c r="F1191" s="163"/>
      <c r="G1191" s="163"/>
      <c r="H1191" s="163"/>
      <c r="I1191" s="163"/>
      <c r="J1191" s="163"/>
      <c r="K1191" s="163"/>
      <c r="L1191" s="163"/>
      <c r="M1191" s="163"/>
      <c r="N1191" s="163"/>
    </row>
    <row r="1192" spans="2:14" x14ac:dyDescent="0.25">
      <c r="B1192" s="163"/>
      <c r="C1192" s="163"/>
      <c r="D1192" s="163"/>
      <c r="E1192" s="163"/>
      <c r="F1192" s="163"/>
      <c r="G1192" s="163"/>
      <c r="H1192" s="163"/>
      <c r="I1192" s="163"/>
      <c r="J1192" s="163"/>
      <c r="K1192" s="163"/>
      <c r="L1192" s="163"/>
      <c r="M1192" s="163"/>
      <c r="N1192" s="163"/>
    </row>
    <row r="1193" spans="2:14" x14ac:dyDescent="0.25">
      <c r="B1193" s="163"/>
      <c r="C1193" s="163"/>
      <c r="D1193" s="163"/>
      <c r="E1193" s="163"/>
      <c r="F1193" s="163"/>
      <c r="G1193" s="163"/>
      <c r="H1193" s="163"/>
      <c r="I1193" s="163"/>
      <c r="J1193" s="163"/>
      <c r="K1193" s="163"/>
      <c r="L1193" s="163"/>
      <c r="M1193" s="163"/>
      <c r="N1193" s="163"/>
    </row>
    <row r="1194" spans="2:14" x14ac:dyDescent="0.25">
      <c r="B1194" s="163"/>
      <c r="C1194" s="163"/>
      <c r="D1194" s="163"/>
      <c r="E1194" s="163"/>
      <c r="F1194" s="163"/>
      <c r="G1194" s="163"/>
      <c r="H1194" s="163"/>
      <c r="I1194" s="163"/>
      <c r="J1194" s="163"/>
      <c r="K1194" s="163"/>
      <c r="L1194" s="163"/>
      <c r="M1194" s="163"/>
      <c r="N1194" s="163"/>
    </row>
    <row r="1195" spans="2:14" x14ac:dyDescent="0.25">
      <c r="B1195" s="163"/>
      <c r="C1195" s="163"/>
      <c r="D1195" s="163"/>
      <c r="E1195" s="163"/>
      <c r="F1195" s="163"/>
      <c r="G1195" s="163"/>
      <c r="H1195" s="163"/>
      <c r="I1195" s="163"/>
      <c r="J1195" s="163"/>
      <c r="K1195" s="163"/>
      <c r="L1195" s="163"/>
      <c r="M1195" s="163"/>
      <c r="N1195" s="163"/>
    </row>
    <row r="1196" spans="2:14" x14ac:dyDescent="0.25">
      <c r="B1196" s="163"/>
      <c r="C1196" s="163"/>
      <c r="D1196" s="163"/>
      <c r="E1196" s="163"/>
      <c r="F1196" s="163"/>
      <c r="G1196" s="163"/>
      <c r="H1196" s="163"/>
      <c r="I1196" s="163"/>
      <c r="J1196" s="163"/>
      <c r="K1196" s="163"/>
      <c r="L1196" s="163"/>
      <c r="M1196" s="163"/>
      <c r="N1196" s="163"/>
    </row>
    <row r="1197" spans="2:14" x14ac:dyDescent="0.25">
      <c r="B1197" s="163"/>
      <c r="C1197" s="163"/>
      <c r="D1197" s="163"/>
      <c r="E1197" s="163"/>
      <c r="F1197" s="163"/>
      <c r="G1197" s="163"/>
      <c r="H1197" s="163"/>
      <c r="I1197" s="163"/>
      <c r="J1197" s="163"/>
      <c r="K1197" s="163"/>
      <c r="L1197" s="163"/>
      <c r="M1197" s="163"/>
      <c r="N1197" s="163"/>
    </row>
    <row r="1198" spans="2:14" x14ac:dyDescent="0.25">
      <c r="B1198" s="163"/>
      <c r="C1198" s="163"/>
      <c r="D1198" s="163"/>
      <c r="E1198" s="163"/>
      <c r="F1198" s="163"/>
      <c r="G1198" s="163"/>
      <c r="H1198" s="163"/>
      <c r="I1198" s="163"/>
      <c r="J1198" s="163"/>
      <c r="K1198" s="163"/>
      <c r="L1198" s="163"/>
      <c r="M1198" s="163"/>
      <c r="N1198" s="163"/>
    </row>
    <row r="1199" spans="2:14" x14ac:dyDescent="0.25">
      <c r="B1199" s="163"/>
      <c r="C1199" s="163"/>
      <c r="D1199" s="163"/>
      <c r="E1199" s="163"/>
      <c r="F1199" s="163"/>
      <c r="G1199" s="163"/>
      <c r="H1199" s="163"/>
      <c r="I1199" s="163"/>
      <c r="J1199" s="163"/>
      <c r="K1199" s="163"/>
      <c r="L1199" s="163"/>
      <c r="M1199" s="163"/>
      <c r="N1199" s="163"/>
    </row>
    <row r="1200" spans="2:14" x14ac:dyDescent="0.25">
      <c r="B1200" s="163"/>
      <c r="C1200" s="163"/>
      <c r="D1200" s="163"/>
      <c r="E1200" s="163"/>
      <c r="F1200" s="163"/>
      <c r="G1200" s="163"/>
      <c r="H1200" s="163"/>
      <c r="I1200" s="163"/>
      <c r="J1200" s="163"/>
      <c r="K1200" s="163"/>
      <c r="L1200" s="163"/>
      <c r="M1200" s="163"/>
      <c r="N1200" s="163"/>
    </row>
    <row r="1201" spans="2:14" x14ac:dyDescent="0.25">
      <c r="B1201" s="163"/>
      <c r="C1201" s="163"/>
      <c r="D1201" s="163"/>
      <c r="E1201" s="163"/>
      <c r="F1201" s="163"/>
      <c r="G1201" s="163"/>
      <c r="H1201" s="163"/>
      <c r="I1201" s="163"/>
      <c r="J1201" s="163"/>
      <c r="K1201" s="163"/>
      <c r="L1201" s="163"/>
      <c r="M1201" s="163"/>
      <c r="N1201" s="163"/>
    </row>
    <row r="1202" spans="2:14" x14ac:dyDescent="0.25">
      <c r="B1202" s="163"/>
      <c r="C1202" s="163"/>
      <c r="D1202" s="163"/>
      <c r="E1202" s="163"/>
      <c r="F1202" s="163"/>
      <c r="G1202" s="163"/>
      <c r="H1202" s="163"/>
      <c r="I1202" s="163"/>
      <c r="J1202" s="163"/>
      <c r="K1202" s="163"/>
      <c r="L1202" s="163"/>
      <c r="M1202" s="163"/>
      <c r="N1202" s="163"/>
    </row>
    <row r="1203" spans="2:14" x14ac:dyDescent="0.25">
      <c r="B1203" s="163"/>
      <c r="C1203" s="163"/>
      <c r="D1203" s="163"/>
      <c r="E1203" s="163"/>
      <c r="F1203" s="163"/>
      <c r="G1203" s="163"/>
      <c r="H1203" s="163"/>
      <c r="I1203" s="163"/>
      <c r="J1203" s="163"/>
      <c r="K1203" s="163"/>
      <c r="L1203" s="163"/>
      <c r="M1203" s="163"/>
      <c r="N1203" s="163"/>
    </row>
    <row r="1204" spans="2:14" x14ac:dyDescent="0.25">
      <c r="B1204" s="163"/>
      <c r="C1204" s="163"/>
      <c r="D1204" s="163"/>
      <c r="E1204" s="163"/>
      <c r="F1204" s="163"/>
      <c r="G1204" s="163"/>
      <c r="H1204" s="163"/>
      <c r="I1204" s="163"/>
      <c r="J1204" s="163"/>
      <c r="K1204" s="163"/>
      <c r="L1204" s="163"/>
      <c r="M1204" s="163"/>
      <c r="N1204" s="163"/>
    </row>
    <row r="1205" spans="2:14" x14ac:dyDescent="0.25">
      <c r="B1205" s="163"/>
      <c r="C1205" s="163"/>
      <c r="D1205" s="163"/>
      <c r="E1205" s="163"/>
      <c r="F1205" s="163"/>
      <c r="G1205" s="163"/>
      <c r="H1205" s="163"/>
      <c r="I1205" s="163"/>
      <c r="J1205" s="163"/>
      <c r="K1205" s="163"/>
      <c r="L1205" s="163"/>
      <c r="M1205" s="163"/>
      <c r="N1205" s="163"/>
    </row>
    <row r="1206" spans="2:14" x14ac:dyDescent="0.25">
      <c r="B1206" s="163"/>
      <c r="C1206" s="163"/>
      <c r="D1206" s="163"/>
      <c r="E1206" s="163"/>
      <c r="F1206" s="163"/>
      <c r="G1206" s="163"/>
      <c r="H1206" s="163"/>
      <c r="I1206" s="163"/>
      <c r="J1206" s="163"/>
      <c r="K1206" s="163"/>
      <c r="L1206" s="163"/>
      <c r="M1206" s="163"/>
      <c r="N1206" s="163"/>
    </row>
    <row r="1207" spans="2:14" x14ac:dyDescent="0.25">
      <c r="B1207" s="163"/>
      <c r="C1207" s="163"/>
      <c r="D1207" s="163"/>
      <c r="E1207" s="163"/>
      <c r="F1207" s="163"/>
      <c r="G1207" s="163"/>
      <c r="H1207" s="163"/>
      <c r="I1207" s="163"/>
      <c r="J1207" s="163"/>
      <c r="K1207" s="163"/>
      <c r="L1207" s="163"/>
      <c r="M1207" s="163"/>
      <c r="N1207" s="163"/>
    </row>
    <row r="1208" spans="2:14" x14ac:dyDescent="0.25">
      <c r="B1208" s="163"/>
      <c r="C1208" s="163"/>
      <c r="D1208" s="163"/>
      <c r="E1208" s="163"/>
      <c r="F1208" s="163"/>
      <c r="G1208" s="163"/>
      <c r="H1208" s="163"/>
      <c r="I1208" s="163"/>
      <c r="J1208" s="163"/>
      <c r="K1208" s="163"/>
      <c r="L1208" s="163"/>
      <c r="M1208" s="163"/>
      <c r="N1208" s="163"/>
    </row>
    <row r="1209" spans="2:14" x14ac:dyDescent="0.25">
      <c r="B1209" s="163"/>
      <c r="C1209" s="163"/>
      <c r="D1209" s="163"/>
      <c r="E1209" s="163"/>
      <c r="F1209" s="163"/>
      <c r="G1209" s="163"/>
      <c r="H1209" s="163"/>
      <c r="I1209" s="163"/>
      <c r="J1209" s="163"/>
      <c r="K1209" s="163"/>
      <c r="L1209" s="163"/>
      <c r="M1209" s="163"/>
      <c r="N1209" s="163"/>
    </row>
    <row r="1210" spans="2:14" x14ac:dyDescent="0.25">
      <c r="B1210" s="163"/>
      <c r="C1210" s="163"/>
      <c r="D1210" s="163"/>
      <c r="E1210" s="163"/>
      <c r="F1210" s="163"/>
      <c r="G1210" s="163"/>
      <c r="H1210" s="163"/>
      <c r="I1210" s="163"/>
      <c r="J1210" s="163"/>
      <c r="K1210" s="163"/>
      <c r="L1210" s="163"/>
      <c r="M1210" s="163"/>
      <c r="N1210" s="163"/>
    </row>
    <row r="1211" spans="2:14" x14ac:dyDescent="0.25">
      <c r="B1211" s="163"/>
      <c r="C1211" s="163"/>
      <c r="D1211" s="163"/>
      <c r="E1211" s="163"/>
      <c r="F1211" s="163"/>
      <c r="G1211" s="163"/>
      <c r="H1211" s="163"/>
      <c r="I1211" s="163"/>
      <c r="J1211" s="163"/>
      <c r="K1211" s="163"/>
      <c r="L1211" s="163"/>
      <c r="M1211" s="163"/>
      <c r="N1211" s="163"/>
    </row>
    <row r="1212" spans="2:14" x14ac:dyDescent="0.25">
      <c r="B1212" s="163"/>
      <c r="C1212" s="163"/>
      <c r="D1212" s="163"/>
      <c r="E1212" s="163"/>
      <c r="F1212" s="163"/>
      <c r="G1212" s="163"/>
      <c r="H1212" s="163"/>
      <c r="I1212" s="163"/>
      <c r="J1212" s="163"/>
      <c r="K1212" s="163"/>
      <c r="L1212" s="163"/>
      <c r="M1212" s="163"/>
      <c r="N1212" s="163"/>
    </row>
    <row r="1213" spans="2:14" x14ac:dyDescent="0.25">
      <c r="B1213" s="163"/>
      <c r="C1213" s="163"/>
      <c r="D1213" s="163"/>
      <c r="E1213" s="163"/>
      <c r="F1213" s="163"/>
      <c r="G1213" s="163"/>
      <c r="H1213" s="163"/>
      <c r="I1213" s="163"/>
      <c r="J1213" s="163"/>
      <c r="K1213" s="163"/>
      <c r="L1213" s="163"/>
      <c r="M1213" s="163"/>
      <c r="N1213" s="163"/>
    </row>
    <row r="1214" spans="2:14" x14ac:dyDescent="0.25">
      <c r="B1214" s="163"/>
      <c r="C1214" s="163"/>
      <c r="D1214" s="163"/>
      <c r="E1214" s="163"/>
      <c r="F1214" s="163"/>
      <c r="G1214" s="163"/>
      <c r="H1214" s="163"/>
      <c r="I1214" s="163"/>
      <c r="J1214" s="163"/>
      <c r="K1214" s="163"/>
      <c r="L1214" s="163"/>
      <c r="M1214" s="163"/>
      <c r="N1214" s="163"/>
    </row>
    <row r="1215" spans="2:14" x14ac:dyDescent="0.25">
      <c r="B1215" s="163"/>
      <c r="C1215" s="163"/>
      <c r="D1215" s="163"/>
      <c r="E1215" s="163"/>
      <c r="F1215" s="163"/>
      <c r="G1215" s="163"/>
      <c r="H1215" s="163"/>
      <c r="I1215" s="163"/>
      <c r="J1215" s="163"/>
      <c r="K1215" s="163"/>
      <c r="L1215" s="163"/>
      <c r="M1215" s="163"/>
      <c r="N1215" s="163"/>
    </row>
    <row r="1216" spans="2:14" x14ac:dyDescent="0.25">
      <c r="B1216" s="163"/>
      <c r="C1216" s="163"/>
      <c r="D1216" s="163"/>
      <c r="E1216" s="163"/>
      <c r="F1216" s="163"/>
      <c r="G1216" s="163"/>
      <c r="H1216" s="163"/>
      <c r="I1216" s="163"/>
      <c r="J1216" s="163"/>
      <c r="K1216" s="163"/>
      <c r="L1216" s="163"/>
      <c r="M1216" s="163"/>
      <c r="N1216" s="163"/>
    </row>
    <row r="1217" spans="2:14" x14ac:dyDescent="0.25">
      <c r="B1217" s="163"/>
      <c r="C1217" s="163"/>
      <c r="D1217" s="163"/>
      <c r="E1217" s="163"/>
      <c r="F1217" s="163"/>
      <c r="G1217" s="163"/>
      <c r="H1217" s="163"/>
      <c r="I1217" s="163"/>
      <c r="J1217" s="163"/>
      <c r="K1217" s="163"/>
      <c r="L1217" s="163"/>
      <c r="M1217" s="163"/>
      <c r="N1217" s="163"/>
    </row>
    <row r="1218" spans="2:14" x14ac:dyDescent="0.25">
      <c r="B1218" s="163"/>
      <c r="C1218" s="163"/>
      <c r="D1218" s="163"/>
      <c r="E1218" s="163"/>
      <c r="F1218" s="163"/>
      <c r="G1218" s="163"/>
      <c r="H1218" s="163"/>
      <c r="I1218" s="163"/>
      <c r="J1218" s="163"/>
      <c r="K1218" s="163"/>
      <c r="L1218" s="163"/>
      <c r="M1218" s="163"/>
      <c r="N1218" s="163"/>
    </row>
    <row r="1219" spans="2:14" x14ac:dyDescent="0.25">
      <c r="B1219" s="163"/>
      <c r="C1219" s="163"/>
      <c r="D1219" s="163"/>
      <c r="E1219" s="163"/>
      <c r="F1219" s="163"/>
      <c r="G1219" s="163"/>
      <c r="H1219" s="163"/>
      <c r="I1219" s="163"/>
      <c r="J1219" s="163"/>
      <c r="K1219" s="163"/>
      <c r="L1219" s="163"/>
      <c r="M1219" s="163"/>
      <c r="N1219" s="163"/>
    </row>
    <row r="1220" spans="2:14" x14ac:dyDescent="0.25">
      <c r="B1220" s="163"/>
      <c r="C1220" s="163"/>
      <c r="D1220" s="163"/>
      <c r="E1220" s="163"/>
      <c r="F1220" s="163"/>
      <c r="G1220" s="163"/>
      <c r="H1220" s="163"/>
      <c r="I1220" s="163"/>
      <c r="J1220" s="163"/>
      <c r="K1220" s="163"/>
      <c r="L1220" s="163"/>
      <c r="M1220" s="163"/>
      <c r="N1220" s="163"/>
    </row>
    <row r="1221" spans="2:14" x14ac:dyDescent="0.25">
      <c r="B1221" s="163"/>
      <c r="C1221" s="163"/>
      <c r="D1221" s="163"/>
      <c r="E1221" s="163"/>
      <c r="F1221" s="163"/>
      <c r="G1221" s="163"/>
      <c r="H1221" s="163"/>
      <c r="I1221" s="163"/>
      <c r="J1221" s="163"/>
      <c r="K1221" s="163"/>
      <c r="L1221" s="163"/>
      <c r="M1221" s="163"/>
      <c r="N1221" s="163"/>
    </row>
    <row r="1222" spans="2:14" x14ac:dyDescent="0.25">
      <c r="B1222" s="163"/>
      <c r="C1222" s="163"/>
      <c r="D1222" s="163"/>
      <c r="E1222" s="163"/>
      <c r="F1222" s="163"/>
      <c r="G1222" s="163"/>
      <c r="H1222" s="163"/>
      <c r="I1222" s="163"/>
      <c r="J1222" s="163"/>
      <c r="K1222" s="163"/>
      <c r="L1222" s="163"/>
      <c r="M1222" s="163"/>
      <c r="N1222" s="163"/>
    </row>
    <row r="1223" spans="2:14" x14ac:dyDescent="0.25">
      <c r="B1223" s="163"/>
      <c r="C1223" s="163"/>
      <c r="D1223" s="163"/>
      <c r="E1223" s="163"/>
      <c r="F1223" s="163"/>
      <c r="G1223" s="163"/>
      <c r="H1223" s="163"/>
      <c r="I1223" s="163"/>
      <c r="J1223" s="163"/>
      <c r="K1223" s="163"/>
      <c r="L1223" s="163"/>
      <c r="M1223" s="163"/>
      <c r="N1223" s="163"/>
    </row>
    <row r="1224" spans="2:14" x14ac:dyDescent="0.25">
      <c r="B1224" s="163"/>
      <c r="C1224" s="163"/>
      <c r="D1224" s="163"/>
      <c r="E1224" s="163"/>
      <c r="F1224" s="163"/>
      <c r="G1224" s="163"/>
      <c r="H1224" s="163"/>
      <c r="I1224" s="163"/>
      <c r="J1224" s="163"/>
      <c r="K1224" s="163"/>
      <c r="L1224" s="163"/>
      <c r="M1224" s="163"/>
      <c r="N1224" s="163"/>
    </row>
    <row r="1225" spans="2:14" x14ac:dyDescent="0.25">
      <c r="B1225" s="163"/>
      <c r="C1225" s="163"/>
      <c r="D1225" s="163"/>
      <c r="E1225" s="163"/>
      <c r="F1225" s="163"/>
      <c r="G1225" s="163"/>
      <c r="H1225" s="163"/>
      <c r="I1225" s="163"/>
      <c r="J1225" s="163"/>
      <c r="K1225" s="163"/>
      <c r="L1225" s="163"/>
      <c r="M1225" s="163"/>
      <c r="N1225" s="163"/>
    </row>
    <row r="1226" spans="2:14" x14ac:dyDescent="0.25">
      <c r="B1226" s="163"/>
      <c r="C1226" s="163"/>
      <c r="D1226" s="163"/>
      <c r="E1226" s="163"/>
      <c r="F1226" s="163"/>
      <c r="G1226" s="163"/>
      <c r="H1226" s="163"/>
      <c r="I1226" s="163"/>
      <c r="J1226" s="163"/>
      <c r="K1226" s="163"/>
      <c r="L1226" s="163"/>
      <c r="M1226" s="163"/>
      <c r="N1226" s="163"/>
    </row>
    <row r="1227" spans="2:14" x14ac:dyDescent="0.25">
      <c r="B1227" s="163"/>
      <c r="C1227" s="163"/>
      <c r="D1227" s="163"/>
      <c r="E1227" s="163"/>
      <c r="F1227" s="163"/>
      <c r="G1227" s="163"/>
      <c r="H1227" s="163"/>
      <c r="I1227" s="163"/>
      <c r="J1227" s="163"/>
      <c r="K1227" s="163"/>
      <c r="L1227" s="163"/>
      <c r="M1227" s="163"/>
      <c r="N1227" s="163"/>
    </row>
    <row r="1228" spans="2:14" x14ac:dyDescent="0.25">
      <c r="B1228" s="163"/>
      <c r="C1228" s="163"/>
      <c r="D1228" s="163"/>
      <c r="E1228" s="163"/>
      <c r="F1228" s="163"/>
      <c r="G1228" s="163"/>
      <c r="H1228" s="163"/>
      <c r="I1228" s="163"/>
      <c r="J1228" s="163"/>
      <c r="K1228" s="163"/>
      <c r="L1228" s="163"/>
      <c r="M1228" s="163"/>
      <c r="N1228" s="163"/>
    </row>
    <row r="1229" spans="2:14" x14ac:dyDescent="0.25">
      <c r="B1229" s="163"/>
      <c r="C1229" s="163"/>
      <c r="D1229" s="163"/>
      <c r="E1229" s="163"/>
      <c r="F1229" s="163"/>
      <c r="G1229" s="163"/>
      <c r="H1229" s="163"/>
      <c r="I1229" s="163"/>
      <c r="J1229" s="163"/>
      <c r="K1229" s="163"/>
      <c r="L1229" s="163"/>
      <c r="M1229" s="163"/>
      <c r="N1229" s="163"/>
    </row>
    <row r="1230" spans="2:14" x14ac:dyDescent="0.25">
      <c r="B1230" s="163"/>
      <c r="C1230" s="163"/>
      <c r="D1230" s="163"/>
      <c r="E1230" s="163"/>
      <c r="F1230" s="163"/>
      <c r="G1230" s="163"/>
      <c r="H1230" s="163"/>
      <c r="I1230" s="163"/>
      <c r="J1230" s="163"/>
      <c r="K1230" s="163"/>
      <c r="L1230" s="163"/>
      <c r="M1230" s="163"/>
      <c r="N1230" s="163"/>
    </row>
    <row r="1231" spans="2:14" x14ac:dyDescent="0.25">
      <c r="B1231" s="163"/>
      <c r="C1231" s="163"/>
      <c r="D1231" s="163"/>
      <c r="E1231" s="163"/>
      <c r="F1231" s="163"/>
      <c r="G1231" s="163"/>
      <c r="H1231" s="163"/>
      <c r="I1231" s="163"/>
      <c r="J1231" s="163"/>
      <c r="K1231" s="163"/>
      <c r="L1231" s="163"/>
      <c r="M1231" s="163"/>
      <c r="N1231" s="163"/>
    </row>
    <row r="1232" spans="2:14" x14ac:dyDescent="0.25">
      <c r="B1232" s="163"/>
      <c r="C1232" s="163"/>
      <c r="D1232" s="163"/>
      <c r="E1232" s="163"/>
      <c r="F1232" s="163"/>
      <c r="G1232" s="163"/>
      <c r="H1232" s="163"/>
      <c r="I1232" s="163"/>
      <c r="J1232" s="163"/>
      <c r="K1232" s="163"/>
      <c r="L1232" s="163"/>
      <c r="M1232" s="163"/>
      <c r="N1232" s="163"/>
    </row>
    <row r="1233" spans="2:14" x14ac:dyDescent="0.25">
      <c r="B1233" s="163"/>
      <c r="C1233" s="163"/>
      <c r="D1233" s="163"/>
      <c r="E1233" s="163"/>
      <c r="F1233" s="163"/>
      <c r="G1233" s="163"/>
      <c r="H1233" s="163"/>
      <c r="I1233" s="163"/>
      <c r="J1233" s="163"/>
      <c r="K1233" s="163"/>
      <c r="L1233" s="163"/>
      <c r="M1233" s="163"/>
      <c r="N1233" s="163"/>
    </row>
    <row r="1234" spans="2:14" x14ac:dyDescent="0.25">
      <c r="B1234" s="163"/>
      <c r="C1234" s="163"/>
      <c r="D1234" s="163"/>
      <c r="E1234" s="163"/>
      <c r="F1234" s="163"/>
      <c r="G1234" s="163"/>
      <c r="H1234" s="163"/>
      <c r="I1234" s="163"/>
      <c r="J1234" s="163"/>
      <c r="K1234" s="163"/>
      <c r="L1234" s="163"/>
      <c r="M1234" s="163"/>
      <c r="N1234" s="163"/>
    </row>
    <row r="1235" spans="2:14" x14ac:dyDescent="0.25">
      <c r="B1235" s="163"/>
      <c r="C1235" s="163"/>
      <c r="D1235" s="163"/>
      <c r="E1235" s="163"/>
      <c r="F1235" s="163"/>
      <c r="G1235" s="163"/>
      <c r="H1235" s="163"/>
      <c r="I1235" s="163"/>
      <c r="J1235" s="163"/>
      <c r="K1235" s="163"/>
      <c r="L1235" s="163"/>
      <c r="M1235" s="163"/>
      <c r="N1235" s="163"/>
    </row>
    <row r="1236" spans="2:14" x14ac:dyDescent="0.25">
      <c r="B1236" s="163"/>
      <c r="C1236" s="163"/>
      <c r="D1236" s="163"/>
      <c r="E1236" s="163"/>
      <c r="F1236" s="163"/>
      <c r="G1236" s="163"/>
      <c r="H1236" s="163"/>
      <c r="I1236" s="163"/>
      <c r="J1236" s="163"/>
      <c r="K1236" s="163"/>
      <c r="L1236" s="163"/>
      <c r="M1236" s="163"/>
      <c r="N1236" s="163"/>
    </row>
    <row r="1237" spans="2:14" x14ac:dyDescent="0.25">
      <c r="B1237" s="163"/>
      <c r="C1237" s="163"/>
      <c r="D1237" s="163"/>
      <c r="E1237" s="163"/>
      <c r="F1237" s="163"/>
      <c r="G1237" s="163"/>
      <c r="H1237" s="163"/>
      <c r="I1237" s="163"/>
      <c r="J1237" s="163"/>
      <c r="K1237" s="163"/>
      <c r="L1237" s="163"/>
      <c r="M1237" s="163"/>
      <c r="N1237" s="163"/>
    </row>
    <row r="1238" spans="2:14" x14ac:dyDescent="0.25">
      <c r="B1238" s="163"/>
      <c r="C1238" s="163"/>
      <c r="D1238" s="163"/>
      <c r="E1238" s="163"/>
      <c r="F1238" s="163"/>
      <c r="G1238" s="163"/>
      <c r="H1238" s="163"/>
      <c r="I1238" s="163"/>
      <c r="J1238" s="163"/>
      <c r="K1238" s="163"/>
      <c r="L1238" s="163"/>
      <c r="M1238" s="163"/>
      <c r="N1238" s="163"/>
    </row>
    <row r="1239" spans="2:14" x14ac:dyDescent="0.25">
      <c r="B1239" s="163"/>
      <c r="C1239" s="163"/>
      <c r="D1239" s="163"/>
      <c r="E1239" s="163"/>
      <c r="F1239" s="163"/>
      <c r="G1239" s="163"/>
      <c r="H1239" s="163"/>
      <c r="I1239" s="163"/>
      <c r="J1239" s="163"/>
      <c r="K1239" s="163"/>
      <c r="L1239" s="163"/>
      <c r="M1239" s="163"/>
      <c r="N1239" s="163"/>
    </row>
    <row r="1240" spans="2:14" x14ac:dyDescent="0.25">
      <c r="B1240" s="163"/>
      <c r="C1240" s="163"/>
      <c r="D1240" s="163"/>
      <c r="E1240" s="163"/>
      <c r="F1240" s="163"/>
      <c r="G1240" s="163"/>
      <c r="H1240" s="163"/>
      <c r="I1240" s="163"/>
      <c r="J1240" s="163"/>
      <c r="K1240" s="163"/>
      <c r="L1240" s="163"/>
      <c r="M1240" s="163"/>
      <c r="N1240" s="163"/>
    </row>
    <row r="1241" spans="2:14" x14ac:dyDescent="0.25">
      <c r="B1241" s="163"/>
      <c r="C1241" s="163"/>
      <c r="D1241" s="163"/>
      <c r="E1241" s="163"/>
      <c r="F1241" s="163"/>
      <c r="G1241" s="163"/>
      <c r="H1241" s="163"/>
      <c r="I1241" s="163"/>
      <c r="J1241" s="163"/>
      <c r="K1241" s="163"/>
      <c r="L1241" s="163"/>
      <c r="M1241" s="163"/>
      <c r="N1241" s="163"/>
    </row>
    <row r="1242" spans="2:14" x14ac:dyDescent="0.25">
      <c r="B1242" s="163"/>
      <c r="C1242" s="163"/>
      <c r="D1242" s="163"/>
      <c r="E1242" s="163"/>
      <c r="F1242" s="163"/>
      <c r="G1242" s="163"/>
      <c r="H1242" s="163"/>
      <c r="I1242" s="163"/>
      <c r="J1242" s="163"/>
      <c r="K1242" s="163"/>
      <c r="L1242" s="163"/>
      <c r="M1242" s="163"/>
      <c r="N1242" s="163"/>
    </row>
    <row r="1243" spans="2:14" x14ac:dyDescent="0.25">
      <c r="B1243" s="163"/>
      <c r="C1243" s="163"/>
      <c r="D1243" s="163"/>
      <c r="E1243" s="163"/>
      <c r="F1243" s="163"/>
      <c r="G1243" s="163"/>
      <c r="H1243" s="163"/>
      <c r="I1243" s="163"/>
      <c r="J1243" s="163"/>
      <c r="K1243" s="163"/>
      <c r="L1243" s="163"/>
      <c r="M1243" s="163"/>
      <c r="N1243" s="163"/>
    </row>
    <row r="1244" spans="2:14" x14ac:dyDescent="0.25">
      <c r="B1244" s="163"/>
      <c r="C1244" s="163"/>
      <c r="D1244" s="163"/>
      <c r="E1244" s="163"/>
      <c r="F1244" s="163"/>
      <c r="G1244" s="163"/>
      <c r="H1244" s="163"/>
      <c r="I1244" s="163"/>
      <c r="J1244" s="163"/>
      <c r="K1244" s="163"/>
      <c r="L1244" s="163"/>
      <c r="M1244" s="163"/>
      <c r="N1244" s="163"/>
    </row>
    <row r="1245" spans="2:14" x14ac:dyDescent="0.25">
      <c r="B1245" s="163"/>
      <c r="C1245" s="163"/>
      <c r="D1245" s="163"/>
      <c r="E1245" s="163"/>
      <c r="F1245" s="163"/>
      <c r="G1245" s="163"/>
      <c r="H1245" s="163"/>
      <c r="I1245" s="163"/>
      <c r="J1245" s="163"/>
      <c r="K1245" s="163"/>
      <c r="L1245" s="163"/>
      <c r="M1245" s="163"/>
      <c r="N1245" s="163"/>
    </row>
    <row r="1246" spans="2:14" x14ac:dyDescent="0.25">
      <c r="B1246" s="163"/>
      <c r="C1246" s="163"/>
      <c r="D1246" s="163"/>
      <c r="E1246" s="163"/>
      <c r="F1246" s="163"/>
      <c r="G1246" s="163"/>
      <c r="H1246" s="163"/>
      <c r="I1246" s="163"/>
      <c r="J1246" s="163"/>
      <c r="K1246" s="163"/>
      <c r="L1246" s="163"/>
      <c r="M1246" s="163"/>
      <c r="N1246" s="163"/>
    </row>
    <row r="1247" spans="2:14" x14ac:dyDescent="0.25">
      <c r="B1247" s="163"/>
      <c r="C1247" s="163"/>
      <c r="D1247" s="163"/>
      <c r="E1247" s="163"/>
      <c r="F1247" s="163"/>
      <c r="G1247" s="163"/>
      <c r="H1247" s="163"/>
      <c r="I1247" s="163"/>
      <c r="J1247" s="163"/>
      <c r="K1247" s="163"/>
      <c r="L1247" s="163"/>
      <c r="M1247" s="163"/>
      <c r="N1247" s="163"/>
    </row>
    <row r="1248" spans="2:14" x14ac:dyDescent="0.25">
      <c r="B1248" s="163"/>
      <c r="C1248" s="163"/>
      <c r="D1248" s="163"/>
      <c r="E1248" s="163"/>
      <c r="F1248" s="163"/>
      <c r="G1248" s="163"/>
      <c r="H1248" s="163"/>
      <c r="I1248" s="163"/>
      <c r="J1248" s="163"/>
      <c r="K1248" s="163"/>
      <c r="L1248" s="163"/>
      <c r="M1248" s="163"/>
      <c r="N1248" s="163"/>
    </row>
    <row r="1249" spans="2:14" x14ac:dyDescent="0.25">
      <c r="B1249" s="163"/>
      <c r="C1249" s="163"/>
      <c r="D1249" s="163"/>
      <c r="E1249" s="163"/>
      <c r="F1249" s="163"/>
      <c r="G1249" s="163"/>
      <c r="H1249" s="163"/>
      <c r="I1249" s="163"/>
      <c r="J1249" s="163"/>
      <c r="K1249" s="163"/>
      <c r="L1249" s="163"/>
      <c r="M1249" s="163"/>
      <c r="N1249" s="163"/>
    </row>
    <row r="1250" spans="2:14" x14ac:dyDescent="0.25">
      <c r="B1250" s="163"/>
      <c r="C1250" s="163"/>
      <c r="D1250" s="163"/>
      <c r="E1250" s="163"/>
      <c r="F1250" s="163"/>
      <c r="G1250" s="163"/>
      <c r="H1250" s="163"/>
      <c r="I1250" s="163"/>
      <c r="J1250" s="163"/>
      <c r="K1250" s="163"/>
      <c r="L1250" s="163"/>
      <c r="M1250" s="163"/>
      <c r="N1250" s="163"/>
    </row>
    <row r="1251" spans="2:14" x14ac:dyDescent="0.25">
      <c r="B1251" s="163"/>
      <c r="C1251" s="163"/>
      <c r="D1251" s="163"/>
      <c r="E1251" s="163"/>
      <c r="F1251" s="163"/>
      <c r="G1251" s="163"/>
      <c r="H1251" s="163"/>
      <c r="I1251" s="163"/>
      <c r="J1251" s="163"/>
      <c r="K1251" s="163"/>
      <c r="L1251" s="163"/>
      <c r="M1251" s="163"/>
      <c r="N1251" s="163"/>
    </row>
    <row r="1252" spans="2:14" x14ac:dyDescent="0.25">
      <c r="B1252" s="163"/>
      <c r="C1252" s="163"/>
      <c r="D1252" s="163"/>
      <c r="E1252" s="163"/>
      <c r="F1252" s="163"/>
      <c r="G1252" s="163"/>
      <c r="H1252" s="163"/>
      <c r="I1252" s="163"/>
      <c r="J1252" s="163"/>
      <c r="K1252" s="163"/>
      <c r="L1252" s="163"/>
      <c r="M1252" s="163"/>
      <c r="N1252" s="163"/>
    </row>
    <row r="1253" spans="2:14" x14ac:dyDescent="0.25">
      <c r="B1253" s="163"/>
      <c r="C1253" s="163"/>
      <c r="D1253" s="163"/>
      <c r="E1253" s="163"/>
      <c r="F1253" s="163"/>
      <c r="G1253" s="163"/>
      <c r="H1253" s="163"/>
      <c r="I1253" s="163"/>
      <c r="J1253" s="163"/>
      <c r="K1253" s="163"/>
      <c r="L1253" s="163"/>
      <c r="M1253" s="163"/>
      <c r="N1253" s="163"/>
    </row>
    <row r="1254" spans="2:14" x14ac:dyDescent="0.25">
      <c r="B1254" s="163"/>
      <c r="C1254" s="163"/>
      <c r="D1254" s="163"/>
      <c r="E1254" s="163"/>
      <c r="F1254" s="163"/>
      <c r="G1254" s="163"/>
      <c r="H1254" s="163"/>
      <c r="I1254" s="163"/>
      <c r="J1254" s="163"/>
      <c r="K1254" s="163"/>
      <c r="L1254" s="163"/>
      <c r="M1254" s="163"/>
      <c r="N1254" s="163"/>
    </row>
    <row r="1255" spans="2:14" x14ac:dyDescent="0.25">
      <c r="B1255" s="163"/>
      <c r="C1255" s="163"/>
      <c r="D1255" s="163"/>
      <c r="E1255" s="163"/>
      <c r="F1255" s="163"/>
      <c r="G1255" s="163"/>
      <c r="H1255" s="163"/>
      <c r="I1255" s="163"/>
      <c r="J1255" s="163"/>
      <c r="K1255" s="163"/>
      <c r="L1255" s="163"/>
      <c r="M1255" s="163"/>
      <c r="N1255" s="163"/>
    </row>
    <row r="1256" spans="2:14" x14ac:dyDescent="0.25">
      <c r="B1256" s="163"/>
      <c r="C1256" s="163"/>
      <c r="D1256" s="163"/>
      <c r="E1256" s="163"/>
      <c r="F1256" s="163"/>
      <c r="G1256" s="163"/>
      <c r="H1256" s="163"/>
      <c r="I1256" s="163"/>
      <c r="J1256" s="163"/>
      <c r="K1256" s="163"/>
      <c r="L1256" s="163"/>
      <c r="M1256" s="163"/>
      <c r="N1256" s="163"/>
    </row>
    <row r="1257" spans="2:14" x14ac:dyDescent="0.25">
      <c r="B1257" s="163"/>
      <c r="C1257" s="163"/>
      <c r="D1257" s="163"/>
      <c r="E1257" s="163"/>
      <c r="F1257" s="163"/>
      <c r="G1257" s="163"/>
      <c r="H1257" s="163"/>
      <c r="I1257" s="163"/>
      <c r="J1257" s="163"/>
      <c r="K1257" s="163"/>
      <c r="L1257" s="163"/>
      <c r="M1257" s="163"/>
      <c r="N1257" s="163"/>
    </row>
    <row r="1258" spans="2:14" x14ac:dyDescent="0.25">
      <c r="B1258" s="163"/>
      <c r="C1258" s="163"/>
      <c r="D1258" s="163"/>
      <c r="E1258" s="163"/>
      <c r="F1258" s="163"/>
      <c r="G1258" s="163"/>
      <c r="H1258" s="163"/>
      <c r="I1258" s="163"/>
      <c r="J1258" s="163"/>
      <c r="K1258" s="163"/>
      <c r="L1258" s="163"/>
      <c r="M1258" s="163"/>
      <c r="N1258" s="163"/>
    </row>
    <row r="1259" spans="2:14" x14ac:dyDescent="0.25">
      <c r="B1259" s="163"/>
      <c r="C1259" s="163"/>
      <c r="D1259" s="163"/>
      <c r="E1259" s="163"/>
      <c r="F1259" s="163"/>
      <c r="G1259" s="163"/>
      <c r="H1259" s="163"/>
      <c r="I1259" s="163"/>
      <c r="J1259" s="163"/>
      <c r="K1259" s="163"/>
      <c r="L1259" s="163"/>
      <c r="M1259" s="163"/>
      <c r="N1259" s="163"/>
    </row>
    <row r="1260" spans="2:14" x14ac:dyDescent="0.25">
      <c r="B1260" s="163"/>
      <c r="C1260" s="163"/>
      <c r="D1260" s="163"/>
      <c r="E1260" s="163"/>
      <c r="F1260" s="163"/>
      <c r="G1260" s="163"/>
      <c r="H1260" s="163"/>
      <c r="I1260" s="163"/>
      <c r="J1260" s="163"/>
      <c r="K1260" s="163"/>
      <c r="L1260" s="163"/>
      <c r="M1260" s="163"/>
      <c r="N1260" s="163"/>
    </row>
    <row r="1261" spans="2:14" x14ac:dyDescent="0.25">
      <c r="B1261" s="163"/>
      <c r="C1261" s="163"/>
      <c r="D1261" s="163"/>
      <c r="E1261" s="163"/>
      <c r="F1261" s="163"/>
      <c r="G1261" s="163"/>
      <c r="H1261" s="163"/>
      <c r="I1261" s="163"/>
      <c r="J1261" s="163"/>
      <c r="K1261" s="163"/>
      <c r="L1261" s="163"/>
      <c r="M1261" s="163"/>
      <c r="N1261" s="163"/>
    </row>
    <row r="1262" spans="2:14" x14ac:dyDescent="0.25">
      <c r="B1262" s="163"/>
      <c r="C1262" s="163"/>
      <c r="D1262" s="163"/>
      <c r="E1262" s="163"/>
      <c r="F1262" s="163"/>
      <c r="G1262" s="163"/>
      <c r="H1262" s="163"/>
      <c r="I1262" s="163"/>
      <c r="J1262" s="163"/>
      <c r="K1262" s="163"/>
      <c r="L1262" s="163"/>
      <c r="M1262" s="163"/>
      <c r="N1262" s="163"/>
    </row>
    <row r="1263" spans="2:14" x14ac:dyDescent="0.25">
      <c r="B1263" s="163"/>
      <c r="C1263" s="163"/>
      <c r="D1263" s="163"/>
      <c r="E1263" s="163"/>
      <c r="F1263" s="163"/>
      <c r="G1263" s="163"/>
      <c r="H1263" s="163"/>
      <c r="I1263" s="163"/>
      <c r="J1263" s="163"/>
      <c r="K1263" s="163"/>
      <c r="L1263" s="163"/>
      <c r="M1263" s="163"/>
      <c r="N1263" s="163"/>
    </row>
    <row r="1264" spans="2:14" x14ac:dyDescent="0.25">
      <c r="B1264" s="163"/>
      <c r="C1264" s="163"/>
      <c r="D1264" s="163"/>
      <c r="E1264" s="163"/>
      <c r="F1264" s="163"/>
      <c r="G1264" s="163"/>
      <c r="H1264" s="163"/>
      <c r="I1264" s="163"/>
      <c r="J1264" s="163"/>
      <c r="K1264" s="163"/>
      <c r="L1264" s="163"/>
      <c r="M1264" s="163"/>
      <c r="N1264" s="163"/>
    </row>
    <row r="1265" spans="2:14" x14ac:dyDescent="0.25">
      <c r="B1265" s="163"/>
      <c r="C1265" s="163"/>
      <c r="D1265" s="163"/>
      <c r="E1265" s="163"/>
      <c r="F1265" s="163"/>
      <c r="G1265" s="163"/>
      <c r="H1265" s="163"/>
      <c r="I1265" s="163"/>
      <c r="J1265" s="163"/>
      <c r="K1265" s="163"/>
      <c r="L1265" s="163"/>
      <c r="M1265" s="163"/>
      <c r="N1265" s="163"/>
    </row>
    <row r="1266" spans="2:14" x14ac:dyDescent="0.25">
      <c r="B1266" s="163"/>
      <c r="C1266" s="163"/>
      <c r="D1266" s="163"/>
      <c r="E1266" s="163"/>
      <c r="F1266" s="163"/>
      <c r="G1266" s="163"/>
      <c r="H1266" s="163"/>
      <c r="I1266" s="163"/>
      <c r="J1266" s="163"/>
      <c r="K1266" s="163"/>
      <c r="L1266" s="163"/>
      <c r="M1266" s="163"/>
      <c r="N1266" s="163"/>
    </row>
    <row r="1267" spans="2:14" x14ac:dyDescent="0.25">
      <c r="B1267" s="163"/>
      <c r="C1267" s="163"/>
      <c r="D1267" s="163"/>
      <c r="E1267" s="163"/>
      <c r="F1267" s="163"/>
      <c r="G1267" s="163"/>
      <c r="H1267" s="163"/>
      <c r="I1267" s="163"/>
      <c r="J1267" s="163"/>
      <c r="K1267" s="163"/>
      <c r="L1267" s="163"/>
      <c r="M1267" s="163"/>
      <c r="N1267" s="163"/>
    </row>
    <row r="1268" spans="2:14" x14ac:dyDescent="0.25">
      <c r="B1268" s="163"/>
      <c r="C1268" s="163"/>
      <c r="D1268" s="163"/>
      <c r="E1268" s="163"/>
      <c r="F1268" s="163"/>
      <c r="G1268" s="163"/>
      <c r="H1268" s="163"/>
      <c r="I1268" s="163"/>
      <c r="J1268" s="163"/>
      <c r="K1268" s="163"/>
      <c r="L1268" s="163"/>
      <c r="M1268" s="163"/>
      <c r="N1268" s="163"/>
    </row>
    <row r="1269" spans="2:14" x14ac:dyDescent="0.25">
      <c r="B1269" s="163"/>
      <c r="C1269" s="163"/>
      <c r="D1269" s="163"/>
      <c r="E1269" s="163"/>
      <c r="F1269" s="163"/>
      <c r="G1269" s="163"/>
      <c r="H1269" s="163"/>
      <c r="I1269" s="163"/>
      <c r="J1269" s="163"/>
      <c r="K1269" s="163"/>
      <c r="L1269" s="163"/>
      <c r="M1269" s="163"/>
      <c r="N1269" s="163"/>
    </row>
    <row r="1270" spans="2:14" x14ac:dyDescent="0.25">
      <c r="B1270" s="163"/>
      <c r="C1270" s="163"/>
      <c r="D1270" s="163"/>
      <c r="E1270" s="163"/>
      <c r="F1270" s="163"/>
      <c r="G1270" s="163"/>
      <c r="H1270" s="163"/>
      <c r="I1270" s="163"/>
      <c r="J1270" s="163"/>
      <c r="K1270" s="163"/>
      <c r="L1270" s="163"/>
      <c r="M1270" s="163"/>
      <c r="N1270" s="163"/>
    </row>
    <row r="1271" spans="2:14" x14ac:dyDescent="0.25">
      <c r="B1271" s="163"/>
      <c r="C1271" s="163"/>
      <c r="D1271" s="163"/>
      <c r="E1271" s="163"/>
      <c r="F1271" s="163"/>
      <c r="G1271" s="163"/>
      <c r="H1271" s="163"/>
      <c r="I1271" s="163"/>
      <c r="J1271" s="163"/>
      <c r="K1271" s="163"/>
      <c r="L1271" s="163"/>
      <c r="M1271" s="163"/>
      <c r="N1271" s="163"/>
    </row>
    <row r="1272" spans="2:14" x14ac:dyDescent="0.25">
      <c r="B1272" s="163"/>
      <c r="C1272" s="163"/>
      <c r="D1272" s="163"/>
      <c r="E1272" s="163"/>
      <c r="F1272" s="163"/>
      <c r="G1272" s="163"/>
      <c r="H1272" s="163"/>
      <c r="I1272" s="163"/>
      <c r="J1272" s="163"/>
      <c r="K1272" s="163"/>
      <c r="L1272" s="163"/>
      <c r="M1272" s="163"/>
      <c r="N1272" s="163"/>
    </row>
    <row r="1273" spans="2:14" x14ac:dyDescent="0.25">
      <c r="B1273" s="163"/>
      <c r="C1273" s="163"/>
      <c r="D1273" s="163"/>
      <c r="E1273" s="163"/>
      <c r="F1273" s="163"/>
      <c r="G1273" s="163"/>
      <c r="H1273" s="163"/>
      <c r="I1273" s="163"/>
      <c r="J1273" s="163"/>
      <c r="K1273" s="163"/>
      <c r="L1273" s="163"/>
      <c r="M1273" s="163"/>
      <c r="N1273" s="163"/>
    </row>
    <row r="1274" spans="2:14" x14ac:dyDescent="0.25">
      <c r="B1274" s="163"/>
      <c r="C1274" s="163"/>
      <c r="D1274" s="163"/>
      <c r="E1274" s="163"/>
      <c r="F1274" s="163"/>
      <c r="G1274" s="163"/>
      <c r="H1274" s="163"/>
      <c r="I1274" s="163"/>
      <c r="J1274" s="163"/>
      <c r="K1274" s="163"/>
      <c r="L1274" s="163"/>
      <c r="M1274" s="163"/>
      <c r="N1274" s="163"/>
    </row>
    <row r="1275" spans="2:14" x14ac:dyDescent="0.25">
      <c r="B1275" s="163"/>
      <c r="C1275" s="163"/>
      <c r="D1275" s="163"/>
      <c r="E1275" s="163"/>
      <c r="F1275" s="163"/>
      <c r="G1275" s="163"/>
      <c r="H1275" s="163"/>
      <c r="I1275" s="163"/>
      <c r="J1275" s="163"/>
      <c r="K1275" s="163"/>
      <c r="L1275" s="163"/>
      <c r="M1275" s="163"/>
      <c r="N1275" s="163"/>
    </row>
    <row r="1276" spans="2:14" x14ac:dyDescent="0.25">
      <c r="B1276" s="163"/>
      <c r="C1276" s="163"/>
      <c r="D1276" s="163"/>
      <c r="E1276" s="163"/>
      <c r="F1276" s="163"/>
      <c r="G1276" s="163"/>
      <c r="H1276" s="163"/>
      <c r="I1276" s="163"/>
      <c r="J1276" s="163"/>
      <c r="K1276" s="163"/>
      <c r="L1276" s="163"/>
      <c r="M1276" s="163"/>
      <c r="N1276" s="163"/>
    </row>
    <row r="1277" spans="2:14" x14ac:dyDescent="0.25">
      <c r="B1277" s="163"/>
      <c r="C1277" s="163"/>
      <c r="D1277" s="163"/>
      <c r="E1277" s="163"/>
      <c r="F1277" s="163"/>
      <c r="G1277" s="163"/>
      <c r="H1277" s="163"/>
      <c r="I1277" s="163"/>
      <c r="J1277" s="163"/>
      <c r="K1277" s="163"/>
      <c r="L1277" s="163"/>
      <c r="M1277" s="163"/>
      <c r="N1277" s="163"/>
    </row>
    <row r="1278" spans="2:14" x14ac:dyDescent="0.25">
      <c r="B1278" s="163"/>
      <c r="C1278" s="163"/>
      <c r="D1278" s="163"/>
      <c r="E1278" s="163"/>
      <c r="F1278" s="163"/>
      <c r="G1278" s="163"/>
      <c r="H1278" s="163"/>
      <c r="I1278" s="163"/>
      <c r="J1278" s="163"/>
      <c r="K1278" s="163"/>
      <c r="L1278" s="163"/>
      <c r="M1278" s="163"/>
      <c r="N1278" s="163"/>
    </row>
    <row r="1279" spans="2:14" x14ac:dyDescent="0.25">
      <c r="B1279" s="163"/>
      <c r="C1279" s="163"/>
      <c r="D1279" s="163"/>
      <c r="E1279" s="163"/>
      <c r="F1279" s="163"/>
      <c r="G1279" s="163"/>
      <c r="H1279" s="163"/>
      <c r="I1279" s="163"/>
      <c r="J1279" s="163"/>
      <c r="K1279" s="163"/>
      <c r="L1279" s="163"/>
      <c r="M1279" s="163"/>
      <c r="N1279" s="163"/>
    </row>
    <row r="1280" spans="2:14" x14ac:dyDescent="0.25">
      <c r="B1280" s="163"/>
      <c r="C1280" s="163"/>
      <c r="D1280" s="163"/>
      <c r="E1280" s="163"/>
      <c r="F1280" s="163"/>
      <c r="G1280" s="163"/>
      <c r="H1280" s="163"/>
      <c r="I1280" s="163"/>
      <c r="J1280" s="163"/>
      <c r="K1280" s="163"/>
      <c r="L1280" s="163"/>
      <c r="M1280" s="163"/>
      <c r="N1280" s="163"/>
    </row>
    <row r="1281" spans="2:14" x14ac:dyDescent="0.25">
      <c r="B1281" s="163"/>
      <c r="C1281" s="163"/>
      <c r="D1281" s="163"/>
      <c r="E1281" s="163"/>
      <c r="F1281" s="163"/>
      <c r="G1281" s="163"/>
      <c r="H1281" s="163"/>
      <c r="I1281" s="163"/>
      <c r="J1281" s="163"/>
      <c r="K1281" s="163"/>
      <c r="L1281" s="163"/>
      <c r="M1281" s="163"/>
      <c r="N1281" s="163"/>
    </row>
    <row r="1282" spans="2:14" x14ac:dyDescent="0.25">
      <c r="B1282" s="163"/>
      <c r="C1282" s="163"/>
      <c r="D1282" s="163"/>
      <c r="E1282" s="163"/>
      <c r="F1282" s="163"/>
      <c r="G1282" s="163"/>
      <c r="H1282" s="163"/>
      <c r="I1282" s="163"/>
      <c r="J1282" s="163"/>
      <c r="K1282" s="163"/>
      <c r="L1282" s="163"/>
      <c r="M1282" s="163"/>
      <c r="N1282" s="163"/>
    </row>
    <row r="1283" spans="2:14" x14ac:dyDescent="0.25">
      <c r="B1283" s="163"/>
      <c r="C1283" s="163"/>
      <c r="D1283" s="163"/>
      <c r="E1283" s="163"/>
      <c r="F1283" s="163"/>
      <c r="G1283" s="163"/>
      <c r="H1283" s="163"/>
      <c r="I1283" s="163"/>
      <c r="J1283" s="163"/>
      <c r="K1283" s="163"/>
      <c r="L1283" s="163"/>
      <c r="M1283" s="163"/>
      <c r="N1283" s="163"/>
    </row>
    <row r="1284" spans="2:14" x14ac:dyDescent="0.25">
      <c r="B1284" s="163"/>
      <c r="C1284" s="163"/>
      <c r="D1284" s="163"/>
      <c r="E1284" s="163"/>
      <c r="F1284" s="163"/>
      <c r="G1284" s="163"/>
      <c r="H1284" s="163"/>
      <c r="I1284" s="163"/>
      <c r="J1284" s="163"/>
      <c r="K1284" s="163"/>
      <c r="L1284" s="163"/>
      <c r="M1284" s="163"/>
      <c r="N1284" s="163"/>
    </row>
    <row r="1285" spans="2:14" x14ac:dyDescent="0.25">
      <c r="B1285" s="163"/>
      <c r="C1285" s="163"/>
      <c r="D1285" s="163"/>
      <c r="E1285" s="163"/>
      <c r="F1285" s="163"/>
      <c r="G1285" s="163"/>
      <c r="H1285" s="163"/>
      <c r="I1285" s="163"/>
      <c r="J1285" s="163"/>
      <c r="K1285" s="163"/>
      <c r="L1285" s="163"/>
      <c r="M1285" s="163"/>
      <c r="N1285" s="163"/>
    </row>
    <row r="1286" spans="2:14" x14ac:dyDescent="0.25">
      <c r="B1286" s="163"/>
      <c r="C1286" s="163"/>
      <c r="D1286" s="163"/>
      <c r="E1286" s="163"/>
      <c r="F1286" s="163"/>
      <c r="G1286" s="163"/>
      <c r="H1286" s="163"/>
      <c r="I1286" s="163"/>
      <c r="J1286" s="163"/>
      <c r="K1286" s="163"/>
      <c r="L1286" s="163"/>
      <c r="M1286" s="163"/>
      <c r="N1286" s="163"/>
    </row>
    <row r="1287" spans="2:14" x14ac:dyDescent="0.25">
      <c r="B1287" s="163"/>
      <c r="C1287" s="163"/>
      <c r="D1287" s="163"/>
      <c r="E1287" s="163"/>
      <c r="F1287" s="163"/>
      <c r="G1287" s="163"/>
      <c r="H1287" s="163"/>
      <c r="I1287" s="163"/>
      <c r="J1287" s="163"/>
      <c r="K1287" s="163"/>
      <c r="L1287" s="163"/>
      <c r="M1287" s="163"/>
      <c r="N1287" s="163"/>
    </row>
    <row r="1288" spans="2:14" x14ac:dyDescent="0.25">
      <c r="B1288" s="163"/>
      <c r="C1288" s="163"/>
      <c r="D1288" s="163"/>
      <c r="E1288" s="163"/>
      <c r="F1288" s="163"/>
      <c r="G1288" s="163"/>
      <c r="H1288" s="163"/>
      <c r="I1288" s="163"/>
      <c r="J1288" s="163"/>
      <c r="K1288" s="163"/>
      <c r="L1288" s="163"/>
      <c r="M1288" s="163"/>
      <c r="N1288" s="163"/>
    </row>
    <row r="1289" spans="2:14" x14ac:dyDescent="0.25">
      <c r="B1289" s="163"/>
      <c r="C1289" s="163"/>
      <c r="D1289" s="163"/>
      <c r="E1289" s="163"/>
      <c r="F1289" s="163"/>
      <c r="G1289" s="163"/>
      <c r="H1289" s="163"/>
      <c r="I1289" s="163"/>
      <c r="J1289" s="163"/>
      <c r="K1289" s="163"/>
      <c r="L1289" s="163"/>
      <c r="M1289" s="163"/>
      <c r="N1289" s="163"/>
    </row>
    <row r="1290" spans="2:14" x14ac:dyDescent="0.25">
      <c r="B1290" s="163"/>
      <c r="C1290" s="163"/>
      <c r="D1290" s="163"/>
      <c r="E1290" s="163"/>
      <c r="F1290" s="163"/>
      <c r="G1290" s="163"/>
      <c r="H1290" s="163"/>
      <c r="I1290" s="163"/>
      <c r="J1290" s="163"/>
      <c r="K1290" s="163"/>
      <c r="L1290" s="163"/>
      <c r="M1290" s="163"/>
      <c r="N1290" s="163"/>
    </row>
    <row r="1291" spans="2:14" x14ac:dyDescent="0.25">
      <c r="B1291" s="163"/>
      <c r="C1291" s="163"/>
      <c r="D1291" s="163"/>
      <c r="E1291" s="163"/>
      <c r="F1291" s="163"/>
      <c r="G1291" s="163"/>
      <c r="H1291" s="163"/>
      <c r="I1291" s="163"/>
      <c r="J1291" s="163"/>
      <c r="K1291" s="163"/>
      <c r="L1291" s="163"/>
      <c r="M1291" s="163"/>
      <c r="N1291" s="163"/>
    </row>
    <row r="1292" spans="2:14" x14ac:dyDescent="0.25">
      <c r="B1292" s="163"/>
      <c r="C1292" s="163"/>
      <c r="D1292" s="163"/>
      <c r="E1292" s="163"/>
      <c r="F1292" s="163"/>
      <c r="G1292" s="163"/>
      <c r="H1292" s="163"/>
      <c r="I1292" s="163"/>
      <c r="J1292" s="163"/>
      <c r="K1292" s="163"/>
      <c r="L1292" s="163"/>
      <c r="M1292" s="163"/>
      <c r="N1292" s="163"/>
    </row>
    <row r="1293" spans="2:14" x14ac:dyDescent="0.25">
      <c r="B1293" s="163"/>
      <c r="C1293" s="163"/>
      <c r="D1293" s="163"/>
      <c r="E1293" s="163"/>
      <c r="F1293" s="163"/>
      <c r="G1293" s="163"/>
      <c r="H1293" s="163"/>
      <c r="I1293" s="163"/>
      <c r="J1293" s="163"/>
      <c r="K1293" s="163"/>
      <c r="L1293" s="163"/>
      <c r="M1293" s="163"/>
      <c r="N1293" s="163"/>
    </row>
    <row r="1294" spans="2:14" x14ac:dyDescent="0.25">
      <c r="B1294" s="163"/>
      <c r="C1294" s="163"/>
      <c r="D1294" s="163"/>
      <c r="E1294" s="163"/>
      <c r="F1294" s="163"/>
      <c r="G1294" s="163"/>
      <c r="H1294" s="163"/>
      <c r="I1294" s="163"/>
      <c r="J1294" s="163"/>
      <c r="K1294" s="163"/>
      <c r="L1294" s="163"/>
      <c r="M1294" s="163"/>
      <c r="N1294" s="163"/>
    </row>
    <row r="1295" spans="2:14" x14ac:dyDescent="0.25">
      <c r="B1295" s="163"/>
      <c r="C1295" s="163"/>
      <c r="D1295" s="163"/>
      <c r="E1295" s="163"/>
      <c r="F1295" s="163"/>
      <c r="G1295" s="163"/>
      <c r="H1295" s="163"/>
      <c r="I1295" s="163"/>
      <c r="J1295" s="163"/>
      <c r="K1295" s="163"/>
      <c r="L1295" s="163"/>
      <c r="M1295" s="163"/>
      <c r="N1295" s="163"/>
    </row>
    <row r="1296" spans="2:14" x14ac:dyDescent="0.25">
      <c r="B1296" s="163"/>
      <c r="C1296" s="163"/>
      <c r="D1296" s="163"/>
      <c r="E1296" s="163"/>
      <c r="F1296" s="163"/>
      <c r="G1296" s="163"/>
      <c r="H1296" s="163"/>
      <c r="I1296" s="163"/>
      <c r="J1296" s="163"/>
      <c r="K1296" s="163"/>
      <c r="L1296" s="163"/>
      <c r="M1296" s="163"/>
      <c r="N1296" s="163"/>
    </row>
    <row r="1297" spans="2:14" x14ac:dyDescent="0.25">
      <c r="B1297" s="163"/>
      <c r="C1297" s="163"/>
      <c r="D1297" s="163"/>
      <c r="E1297" s="163"/>
      <c r="F1297" s="163"/>
      <c r="G1297" s="163"/>
      <c r="H1297" s="163"/>
      <c r="I1297" s="163"/>
      <c r="J1297" s="163"/>
      <c r="K1297" s="163"/>
      <c r="L1297" s="163"/>
      <c r="M1297" s="163"/>
      <c r="N1297" s="163"/>
    </row>
    <row r="1298" spans="2:14" x14ac:dyDescent="0.25">
      <c r="B1298" s="163"/>
      <c r="C1298" s="163"/>
      <c r="D1298" s="163"/>
      <c r="E1298" s="163"/>
      <c r="F1298" s="163"/>
      <c r="G1298" s="163"/>
      <c r="H1298" s="163"/>
      <c r="I1298" s="163"/>
      <c r="J1298" s="163"/>
      <c r="K1298" s="163"/>
      <c r="L1298" s="163"/>
      <c r="M1298" s="163"/>
      <c r="N1298" s="163"/>
    </row>
    <row r="1299" spans="2:14" x14ac:dyDescent="0.25">
      <c r="B1299" s="163"/>
      <c r="C1299" s="163"/>
      <c r="D1299" s="163"/>
      <c r="E1299" s="163"/>
      <c r="F1299" s="163"/>
      <c r="G1299" s="163"/>
      <c r="H1299" s="163"/>
      <c r="I1299" s="163"/>
      <c r="J1299" s="163"/>
      <c r="K1299" s="163"/>
      <c r="L1299" s="163"/>
      <c r="M1299" s="163"/>
      <c r="N1299" s="163"/>
    </row>
    <row r="1300" spans="2:14" x14ac:dyDescent="0.25">
      <c r="B1300" s="163"/>
      <c r="C1300" s="163"/>
      <c r="D1300" s="163"/>
      <c r="E1300" s="163"/>
      <c r="F1300" s="163"/>
      <c r="G1300" s="163"/>
      <c r="H1300" s="163"/>
      <c r="I1300" s="163"/>
      <c r="J1300" s="163"/>
      <c r="K1300" s="163"/>
      <c r="L1300" s="163"/>
      <c r="M1300" s="163"/>
      <c r="N1300" s="163"/>
    </row>
    <row r="1301" spans="2:14" x14ac:dyDescent="0.25">
      <c r="B1301" s="163"/>
      <c r="C1301" s="163"/>
      <c r="D1301" s="163"/>
      <c r="E1301" s="163"/>
      <c r="F1301" s="163"/>
      <c r="G1301" s="163"/>
      <c r="H1301" s="163"/>
      <c r="I1301" s="163"/>
      <c r="J1301" s="163"/>
      <c r="K1301" s="163"/>
      <c r="L1301" s="163"/>
      <c r="M1301" s="163"/>
      <c r="N1301" s="163"/>
    </row>
    <row r="1302" spans="2:14" x14ac:dyDescent="0.25">
      <c r="B1302" s="163"/>
      <c r="C1302" s="163"/>
      <c r="D1302" s="163"/>
      <c r="E1302" s="163"/>
      <c r="F1302" s="163"/>
      <c r="G1302" s="163"/>
      <c r="H1302" s="163"/>
      <c r="I1302" s="163"/>
      <c r="J1302" s="163"/>
      <c r="K1302" s="163"/>
      <c r="L1302" s="163"/>
      <c r="M1302" s="163"/>
      <c r="N1302" s="163"/>
    </row>
    <row r="1303" spans="2:14" x14ac:dyDescent="0.25">
      <c r="B1303" s="163"/>
      <c r="C1303" s="163"/>
      <c r="D1303" s="163"/>
      <c r="E1303" s="163"/>
      <c r="F1303" s="163"/>
      <c r="G1303" s="163"/>
      <c r="H1303" s="163"/>
      <c r="I1303" s="163"/>
      <c r="J1303" s="163"/>
      <c r="K1303" s="163"/>
      <c r="L1303" s="163"/>
      <c r="M1303" s="163"/>
      <c r="N1303" s="163"/>
    </row>
    <row r="1304" spans="2:14" x14ac:dyDescent="0.25">
      <c r="B1304" s="163"/>
      <c r="C1304" s="163"/>
      <c r="D1304" s="163"/>
      <c r="E1304" s="163"/>
      <c r="F1304" s="163"/>
      <c r="G1304" s="163"/>
      <c r="H1304" s="163"/>
      <c r="I1304" s="163"/>
      <c r="J1304" s="163"/>
      <c r="K1304" s="163"/>
      <c r="L1304" s="163"/>
      <c r="M1304" s="163"/>
      <c r="N1304" s="163"/>
    </row>
    <row r="1305" spans="2:14" x14ac:dyDescent="0.25">
      <c r="B1305" s="163"/>
      <c r="C1305" s="163"/>
      <c r="D1305" s="163"/>
      <c r="E1305" s="163"/>
      <c r="F1305" s="163"/>
      <c r="G1305" s="163"/>
      <c r="H1305" s="163"/>
      <c r="I1305" s="163"/>
      <c r="J1305" s="163"/>
      <c r="K1305" s="163"/>
      <c r="L1305" s="163"/>
      <c r="M1305" s="163"/>
      <c r="N1305" s="163"/>
    </row>
    <row r="1306" spans="2:14" x14ac:dyDescent="0.25">
      <c r="B1306" s="163"/>
      <c r="C1306" s="163"/>
      <c r="D1306" s="163"/>
      <c r="E1306" s="163"/>
      <c r="F1306" s="163"/>
      <c r="G1306" s="163"/>
      <c r="H1306" s="163"/>
      <c r="I1306" s="163"/>
      <c r="J1306" s="163"/>
      <c r="K1306" s="163"/>
      <c r="L1306" s="163"/>
      <c r="M1306" s="163"/>
      <c r="N1306" s="163"/>
    </row>
    <row r="1307" spans="2:14" x14ac:dyDescent="0.25">
      <c r="B1307" s="163"/>
      <c r="C1307" s="163"/>
      <c r="D1307" s="163"/>
      <c r="E1307" s="163"/>
      <c r="F1307" s="163"/>
      <c r="G1307" s="163"/>
      <c r="H1307" s="163"/>
      <c r="I1307" s="163"/>
      <c r="J1307" s="163"/>
      <c r="K1307" s="163"/>
      <c r="L1307" s="163"/>
      <c r="M1307" s="163"/>
      <c r="N1307" s="163"/>
    </row>
    <row r="1308" spans="2:14" x14ac:dyDescent="0.25">
      <c r="B1308" s="163"/>
      <c r="C1308" s="163"/>
      <c r="D1308" s="163"/>
      <c r="E1308" s="163"/>
      <c r="F1308" s="163"/>
      <c r="G1308" s="163"/>
      <c r="H1308" s="163"/>
      <c r="I1308" s="163"/>
      <c r="J1308" s="163"/>
      <c r="K1308" s="163"/>
      <c r="L1308" s="163"/>
      <c r="M1308" s="163"/>
      <c r="N1308" s="163"/>
    </row>
    <row r="1309" spans="2:14" x14ac:dyDescent="0.25">
      <c r="B1309" s="163"/>
      <c r="C1309" s="163"/>
      <c r="D1309" s="163"/>
      <c r="E1309" s="163"/>
      <c r="F1309" s="163"/>
      <c r="G1309" s="163"/>
      <c r="H1309" s="163"/>
      <c r="I1309" s="163"/>
      <c r="J1309" s="163"/>
      <c r="K1309" s="163"/>
      <c r="L1309" s="163"/>
      <c r="M1309" s="163"/>
      <c r="N1309" s="163"/>
    </row>
    <row r="1310" spans="2:14" x14ac:dyDescent="0.25">
      <c r="B1310" s="163"/>
      <c r="C1310" s="163"/>
      <c r="D1310" s="163"/>
      <c r="E1310" s="163"/>
      <c r="F1310" s="163"/>
      <c r="G1310" s="163"/>
      <c r="H1310" s="163"/>
      <c r="I1310" s="163"/>
      <c r="J1310" s="163"/>
      <c r="K1310" s="163"/>
      <c r="L1310" s="163"/>
      <c r="M1310" s="163"/>
      <c r="N1310" s="163"/>
    </row>
    <row r="1311" spans="2:14" x14ac:dyDescent="0.25">
      <c r="B1311" s="163"/>
      <c r="C1311" s="163"/>
      <c r="D1311" s="163"/>
      <c r="E1311" s="163"/>
      <c r="F1311" s="163"/>
      <c r="G1311" s="163"/>
      <c r="H1311" s="163"/>
      <c r="I1311" s="163"/>
      <c r="J1311" s="163"/>
      <c r="K1311" s="163"/>
      <c r="L1311" s="163"/>
      <c r="M1311" s="163"/>
      <c r="N1311" s="163"/>
    </row>
    <row r="1312" spans="2:14" x14ac:dyDescent="0.25">
      <c r="B1312" s="163"/>
      <c r="C1312" s="163"/>
      <c r="D1312" s="163"/>
      <c r="E1312" s="163"/>
      <c r="F1312" s="163"/>
      <c r="G1312" s="163"/>
      <c r="H1312" s="163"/>
      <c r="I1312" s="163"/>
      <c r="J1312" s="163"/>
      <c r="K1312" s="163"/>
      <c r="L1312" s="163"/>
      <c r="M1312" s="163"/>
      <c r="N1312" s="163"/>
    </row>
    <row r="1313" spans="2:14" x14ac:dyDescent="0.25">
      <c r="B1313" s="163"/>
      <c r="C1313" s="163"/>
      <c r="D1313" s="163"/>
      <c r="E1313" s="163"/>
      <c r="F1313" s="163"/>
      <c r="G1313" s="163"/>
      <c r="H1313" s="163"/>
      <c r="I1313" s="163"/>
      <c r="J1313" s="163"/>
      <c r="K1313" s="163"/>
      <c r="L1313" s="163"/>
      <c r="M1313" s="163"/>
      <c r="N1313" s="163"/>
    </row>
    <row r="1314" spans="2:14" x14ac:dyDescent="0.25">
      <c r="B1314" s="163"/>
      <c r="C1314" s="163"/>
      <c r="D1314" s="163"/>
      <c r="E1314" s="163"/>
      <c r="F1314" s="163"/>
      <c r="G1314" s="163"/>
      <c r="H1314" s="163"/>
      <c r="I1314" s="163"/>
      <c r="J1314" s="163"/>
      <c r="K1314" s="163"/>
      <c r="L1314" s="163"/>
      <c r="M1314" s="163"/>
      <c r="N1314" s="163"/>
    </row>
    <row r="1315" spans="2:14" x14ac:dyDescent="0.25">
      <c r="B1315" s="163"/>
      <c r="C1315" s="163"/>
      <c r="D1315" s="163"/>
      <c r="E1315" s="163"/>
      <c r="F1315" s="163"/>
      <c r="G1315" s="163"/>
      <c r="H1315" s="163"/>
      <c r="I1315" s="163"/>
      <c r="J1315" s="163"/>
      <c r="K1315" s="163"/>
      <c r="L1315" s="163"/>
      <c r="M1315" s="163"/>
      <c r="N1315" s="163"/>
    </row>
    <row r="1316" spans="2:14" x14ac:dyDescent="0.25">
      <c r="B1316" s="163"/>
      <c r="C1316" s="163"/>
      <c r="D1316" s="163"/>
      <c r="E1316" s="163"/>
      <c r="F1316" s="163"/>
      <c r="G1316" s="163"/>
      <c r="H1316" s="163"/>
      <c r="I1316" s="163"/>
      <c r="J1316" s="163"/>
      <c r="K1316" s="163"/>
      <c r="L1316" s="163"/>
      <c r="M1316" s="163"/>
      <c r="N1316" s="163"/>
    </row>
    <row r="1317" spans="2:14" x14ac:dyDescent="0.25">
      <c r="B1317" s="163"/>
      <c r="C1317" s="163"/>
      <c r="D1317" s="163"/>
      <c r="E1317" s="163"/>
      <c r="F1317" s="163"/>
      <c r="G1317" s="163"/>
      <c r="H1317" s="163"/>
      <c r="I1317" s="163"/>
      <c r="J1317" s="163"/>
      <c r="K1317" s="163"/>
      <c r="L1317" s="163"/>
      <c r="M1317" s="163"/>
      <c r="N1317" s="163"/>
    </row>
    <row r="1318" spans="2:14" x14ac:dyDescent="0.25">
      <c r="B1318" s="163"/>
      <c r="C1318" s="163"/>
      <c r="D1318" s="163"/>
      <c r="E1318" s="163"/>
      <c r="F1318" s="163"/>
      <c r="G1318" s="163"/>
      <c r="H1318" s="163"/>
      <c r="I1318" s="163"/>
      <c r="J1318" s="163"/>
      <c r="K1318" s="163"/>
      <c r="L1318" s="163"/>
      <c r="M1318" s="163"/>
      <c r="N1318" s="163"/>
    </row>
    <row r="1319" spans="2:14" x14ac:dyDescent="0.25">
      <c r="B1319" s="163"/>
      <c r="C1319" s="163"/>
      <c r="D1319" s="163"/>
      <c r="E1319" s="163"/>
      <c r="F1319" s="163"/>
      <c r="G1319" s="163"/>
      <c r="H1319" s="163"/>
      <c r="I1319" s="163"/>
      <c r="J1319" s="163"/>
      <c r="K1319" s="163"/>
      <c r="L1319" s="163"/>
      <c r="M1319" s="163"/>
      <c r="N1319" s="163"/>
    </row>
    <row r="1320" spans="2:14" x14ac:dyDescent="0.25">
      <c r="B1320" s="163"/>
      <c r="C1320" s="163"/>
      <c r="D1320" s="163"/>
      <c r="E1320" s="163"/>
      <c r="F1320" s="163"/>
      <c r="G1320" s="163"/>
      <c r="H1320" s="163"/>
      <c r="I1320" s="163"/>
      <c r="J1320" s="163"/>
      <c r="K1320" s="163"/>
      <c r="L1320" s="163"/>
      <c r="M1320" s="163"/>
      <c r="N1320" s="163"/>
    </row>
    <row r="1321" spans="2:14" x14ac:dyDescent="0.25">
      <c r="B1321" s="163"/>
      <c r="C1321" s="163"/>
      <c r="D1321" s="163"/>
      <c r="E1321" s="163"/>
      <c r="F1321" s="163"/>
      <c r="G1321" s="163"/>
      <c r="H1321" s="163"/>
      <c r="I1321" s="163"/>
      <c r="J1321" s="163"/>
      <c r="K1321" s="163"/>
      <c r="L1321" s="163"/>
      <c r="M1321" s="163"/>
      <c r="N1321" s="163"/>
    </row>
    <row r="1322" spans="2:14" x14ac:dyDescent="0.25">
      <c r="B1322" s="163"/>
      <c r="C1322" s="163"/>
      <c r="D1322" s="163"/>
      <c r="E1322" s="163"/>
      <c r="F1322" s="163"/>
      <c r="G1322" s="163"/>
      <c r="H1322" s="163"/>
      <c r="I1322" s="163"/>
      <c r="J1322" s="163"/>
      <c r="K1322" s="163"/>
      <c r="L1322" s="163"/>
      <c r="M1322" s="163"/>
      <c r="N1322" s="163"/>
    </row>
    <row r="1323" spans="2:14" x14ac:dyDescent="0.25">
      <c r="B1323" s="163"/>
      <c r="C1323" s="163"/>
      <c r="D1323" s="163"/>
      <c r="E1323" s="163"/>
      <c r="F1323" s="163"/>
      <c r="G1323" s="163"/>
      <c r="H1323" s="163"/>
      <c r="I1323" s="163"/>
      <c r="J1323" s="163"/>
      <c r="K1323" s="163"/>
      <c r="L1323" s="163"/>
      <c r="M1323" s="163"/>
      <c r="N1323" s="163"/>
    </row>
    <row r="1324" spans="2:14" x14ac:dyDescent="0.25">
      <c r="B1324" s="163"/>
      <c r="C1324" s="163"/>
      <c r="D1324" s="163"/>
      <c r="E1324" s="163"/>
      <c r="F1324" s="163"/>
      <c r="G1324" s="163"/>
      <c r="H1324" s="163"/>
      <c r="I1324" s="163"/>
      <c r="J1324" s="163"/>
      <c r="K1324" s="163"/>
      <c r="L1324" s="163"/>
      <c r="M1324" s="163"/>
      <c r="N1324" s="163"/>
    </row>
    <row r="1325" spans="2:14" x14ac:dyDescent="0.25">
      <c r="B1325" s="163"/>
      <c r="C1325" s="163"/>
      <c r="D1325" s="163"/>
      <c r="E1325" s="163"/>
      <c r="F1325" s="163"/>
      <c r="G1325" s="163"/>
      <c r="H1325" s="163"/>
      <c r="I1325" s="163"/>
      <c r="J1325" s="163"/>
      <c r="K1325" s="163"/>
      <c r="L1325" s="163"/>
      <c r="M1325" s="163"/>
      <c r="N1325" s="163"/>
    </row>
    <row r="1326" spans="2:14" x14ac:dyDescent="0.25">
      <c r="B1326" s="163"/>
      <c r="C1326" s="163"/>
      <c r="D1326" s="163"/>
      <c r="E1326" s="163"/>
      <c r="F1326" s="163"/>
      <c r="G1326" s="163"/>
      <c r="H1326" s="163"/>
      <c r="I1326" s="163"/>
      <c r="J1326" s="163"/>
      <c r="K1326" s="163"/>
      <c r="L1326" s="163"/>
      <c r="M1326" s="163"/>
      <c r="N1326" s="163"/>
    </row>
    <row r="1327" spans="2:14" x14ac:dyDescent="0.25">
      <c r="B1327" s="163"/>
      <c r="C1327" s="163"/>
      <c r="D1327" s="163"/>
      <c r="E1327" s="163"/>
      <c r="F1327" s="163"/>
      <c r="G1327" s="163"/>
      <c r="H1327" s="163"/>
      <c r="I1327" s="163"/>
      <c r="J1327" s="163"/>
      <c r="K1327" s="163"/>
      <c r="L1327" s="163"/>
      <c r="M1327" s="163"/>
      <c r="N1327" s="163"/>
    </row>
    <row r="1328" spans="2:14" x14ac:dyDescent="0.25">
      <c r="B1328" s="163"/>
      <c r="C1328" s="163"/>
      <c r="D1328" s="163"/>
      <c r="E1328" s="163"/>
      <c r="F1328" s="163"/>
      <c r="G1328" s="163"/>
      <c r="H1328" s="163"/>
      <c r="I1328" s="163"/>
      <c r="J1328" s="163"/>
      <c r="K1328" s="163"/>
      <c r="L1328" s="163"/>
      <c r="M1328" s="163"/>
      <c r="N1328" s="163"/>
    </row>
    <row r="1329" spans="2:14" x14ac:dyDescent="0.25">
      <c r="B1329" s="163"/>
      <c r="C1329" s="163"/>
      <c r="D1329" s="163"/>
      <c r="E1329" s="163"/>
      <c r="F1329" s="163"/>
      <c r="G1329" s="163"/>
      <c r="H1329" s="163"/>
      <c r="I1329" s="163"/>
      <c r="J1329" s="163"/>
      <c r="K1329" s="163"/>
      <c r="L1329" s="163"/>
      <c r="M1329" s="163"/>
      <c r="N1329" s="163"/>
    </row>
    <row r="1330" spans="2:14" x14ac:dyDescent="0.25">
      <c r="B1330" s="163"/>
      <c r="C1330" s="163"/>
      <c r="D1330" s="163"/>
      <c r="E1330" s="163"/>
      <c r="F1330" s="163"/>
      <c r="G1330" s="163"/>
      <c r="H1330" s="163"/>
      <c r="I1330" s="163"/>
      <c r="J1330" s="163"/>
      <c r="K1330" s="163"/>
      <c r="L1330" s="163"/>
      <c r="M1330" s="163"/>
      <c r="N1330" s="163"/>
    </row>
    <row r="1331" spans="2:14" x14ac:dyDescent="0.25">
      <c r="B1331" s="163"/>
      <c r="C1331" s="163"/>
      <c r="D1331" s="163"/>
      <c r="E1331" s="163"/>
      <c r="F1331" s="163"/>
      <c r="G1331" s="163"/>
      <c r="H1331" s="163"/>
      <c r="I1331" s="163"/>
      <c r="J1331" s="163"/>
      <c r="K1331" s="163"/>
      <c r="L1331" s="163"/>
      <c r="M1331" s="163"/>
      <c r="N1331" s="163"/>
    </row>
    <row r="1332" spans="2:14" x14ac:dyDescent="0.25">
      <c r="B1332" s="163"/>
      <c r="C1332" s="163"/>
      <c r="D1332" s="163"/>
      <c r="E1332" s="163"/>
      <c r="F1332" s="163"/>
      <c r="G1332" s="163"/>
      <c r="H1332" s="163"/>
      <c r="I1332" s="163"/>
      <c r="J1332" s="163"/>
      <c r="K1332" s="163"/>
      <c r="L1332" s="163"/>
      <c r="M1332" s="163"/>
      <c r="N1332" s="163"/>
    </row>
    <row r="1333" spans="2:14" x14ac:dyDescent="0.25">
      <c r="B1333" s="163"/>
      <c r="C1333" s="163"/>
      <c r="D1333" s="163"/>
      <c r="E1333" s="163"/>
      <c r="F1333" s="163"/>
      <c r="G1333" s="163"/>
      <c r="H1333" s="163"/>
      <c r="I1333" s="163"/>
      <c r="J1333" s="163"/>
      <c r="K1333" s="163"/>
      <c r="L1333" s="163"/>
      <c r="M1333" s="163"/>
      <c r="N1333" s="163"/>
    </row>
    <row r="1334" spans="2:14" x14ac:dyDescent="0.25">
      <c r="B1334" s="163"/>
      <c r="C1334" s="163"/>
      <c r="D1334" s="163"/>
      <c r="E1334" s="163"/>
      <c r="F1334" s="163"/>
      <c r="G1334" s="163"/>
      <c r="H1334" s="163"/>
      <c r="I1334" s="163"/>
      <c r="J1334" s="163"/>
      <c r="K1334" s="163"/>
      <c r="L1334" s="163"/>
      <c r="M1334" s="163"/>
      <c r="N1334" s="163"/>
    </row>
    <row r="1335" spans="2:14" x14ac:dyDescent="0.25">
      <c r="B1335" s="163"/>
      <c r="C1335" s="163"/>
      <c r="D1335" s="163"/>
      <c r="E1335" s="163"/>
      <c r="F1335" s="163"/>
      <c r="G1335" s="163"/>
      <c r="H1335" s="163"/>
      <c r="I1335" s="163"/>
      <c r="J1335" s="163"/>
      <c r="K1335" s="163"/>
      <c r="L1335" s="163"/>
      <c r="M1335" s="163"/>
      <c r="N1335" s="163"/>
    </row>
    <row r="1336" spans="2:14" x14ac:dyDescent="0.25">
      <c r="B1336" s="163"/>
      <c r="C1336" s="163"/>
      <c r="D1336" s="163"/>
      <c r="E1336" s="163"/>
      <c r="F1336" s="163"/>
      <c r="G1336" s="163"/>
      <c r="H1336" s="163"/>
      <c r="I1336" s="163"/>
      <c r="J1336" s="163"/>
      <c r="K1336" s="163"/>
      <c r="L1336" s="163"/>
      <c r="M1336" s="163"/>
      <c r="N1336" s="163"/>
    </row>
    <row r="1337" spans="2:14" x14ac:dyDescent="0.25">
      <c r="B1337" s="163"/>
      <c r="C1337" s="163"/>
      <c r="D1337" s="163"/>
      <c r="E1337" s="163"/>
      <c r="F1337" s="163"/>
      <c r="G1337" s="163"/>
      <c r="H1337" s="163"/>
      <c r="I1337" s="163"/>
      <c r="J1337" s="163"/>
      <c r="K1337" s="163"/>
      <c r="L1337" s="163"/>
      <c r="M1337" s="163"/>
      <c r="N1337" s="163"/>
    </row>
    <row r="1338" spans="2:14" x14ac:dyDescent="0.25">
      <c r="B1338" s="163"/>
      <c r="C1338" s="163"/>
      <c r="D1338" s="163"/>
      <c r="E1338" s="163"/>
      <c r="F1338" s="163"/>
      <c r="G1338" s="163"/>
      <c r="H1338" s="163"/>
      <c r="I1338" s="163"/>
      <c r="J1338" s="163"/>
      <c r="K1338" s="163"/>
      <c r="L1338" s="163"/>
      <c r="M1338" s="163"/>
      <c r="N1338" s="163"/>
    </row>
    <row r="1339" spans="2:14" x14ac:dyDescent="0.25">
      <c r="B1339" s="163"/>
      <c r="C1339" s="163"/>
      <c r="D1339" s="163"/>
      <c r="E1339" s="163"/>
      <c r="F1339" s="163"/>
      <c r="G1339" s="163"/>
      <c r="H1339" s="163"/>
      <c r="I1339" s="163"/>
      <c r="J1339" s="163"/>
      <c r="K1339" s="163"/>
      <c r="L1339" s="163"/>
      <c r="M1339" s="163"/>
      <c r="N1339" s="163"/>
    </row>
    <row r="1340" spans="2:14" x14ac:dyDescent="0.25">
      <c r="B1340" s="163"/>
      <c r="C1340" s="163"/>
      <c r="D1340" s="163"/>
      <c r="E1340" s="163"/>
      <c r="F1340" s="163"/>
      <c r="G1340" s="163"/>
      <c r="H1340" s="163"/>
      <c r="I1340" s="163"/>
      <c r="J1340" s="163"/>
      <c r="K1340" s="163"/>
      <c r="L1340" s="163"/>
      <c r="M1340" s="163"/>
      <c r="N1340" s="163"/>
    </row>
    <row r="1341" spans="2:14" x14ac:dyDescent="0.25">
      <c r="B1341" s="163"/>
      <c r="C1341" s="163"/>
      <c r="D1341" s="163"/>
      <c r="E1341" s="163"/>
      <c r="F1341" s="163"/>
      <c r="G1341" s="163"/>
      <c r="H1341" s="163"/>
      <c r="I1341" s="163"/>
      <c r="J1341" s="163"/>
      <c r="K1341" s="163"/>
      <c r="L1341" s="163"/>
      <c r="M1341" s="163"/>
      <c r="N1341" s="163"/>
    </row>
    <row r="1342" spans="2:14" x14ac:dyDescent="0.25">
      <c r="B1342" s="163"/>
      <c r="C1342" s="163"/>
      <c r="D1342" s="163"/>
      <c r="E1342" s="163"/>
      <c r="F1342" s="163"/>
      <c r="G1342" s="163"/>
      <c r="H1342" s="163"/>
      <c r="I1342" s="163"/>
      <c r="J1342" s="163"/>
      <c r="K1342" s="163"/>
      <c r="L1342" s="163"/>
      <c r="M1342" s="163"/>
      <c r="N1342" s="163"/>
    </row>
    <row r="1343" spans="2:14" x14ac:dyDescent="0.25">
      <c r="B1343" s="163"/>
      <c r="C1343" s="163"/>
      <c r="D1343" s="163"/>
      <c r="E1343" s="163"/>
      <c r="F1343" s="163"/>
      <c r="G1343" s="163"/>
      <c r="H1343" s="163"/>
      <c r="I1343" s="163"/>
      <c r="J1343" s="163"/>
      <c r="K1343" s="163"/>
      <c r="L1343" s="163"/>
      <c r="M1343" s="163"/>
      <c r="N1343" s="163"/>
    </row>
    <row r="1344" spans="2:14" x14ac:dyDescent="0.25">
      <c r="B1344" s="163"/>
      <c r="C1344" s="163"/>
      <c r="D1344" s="163"/>
      <c r="E1344" s="163"/>
      <c r="F1344" s="163"/>
      <c r="G1344" s="163"/>
      <c r="H1344" s="163"/>
      <c r="I1344" s="163"/>
      <c r="J1344" s="163"/>
      <c r="K1344" s="163"/>
      <c r="L1344" s="163"/>
      <c r="M1344" s="163"/>
      <c r="N1344" s="163"/>
    </row>
    <row r="1345" spans="2:14" x14ac:dyDescent="0.25">
      <c r="B1345" s="163"/>
      <c r="C1345" s="163"/>
      <c r="D1345" s="163"/>
      <c r="E1345" s="163"/>
      <c r="F1345" s="163"/>
      <c r="G1345" s="163"/>
      <c r="H1345" s="163"/>
      <c r="I1345" s="163"/>
      <c r="J1345" s="163"/>
      <c r="K1345" s="163"/>
      <c r="L1345" s="163"/>
      <c r="M1345" s="163"/>
      <c r="N1345" s="163"/>
    </row>
    <row r="1346" spans="2:14" x14ac:dyDescent="0.25">
      <c r="B1346" s="163"/>
      <c r="C1346" s="163"/>
      <c r="D1346" s="163"/>
      <c r="E1346" s="163"/>
      <c r="F1346" s="163"/>
      <c r="G1346" s="163"/>
      <c r="H1346" s="163"/>
      <c r="I1346" s="163"/>
      <c r="J1346" s="163"/>
      <c r="K1346" s="163"/>
      <c r="L1346" s="163"/>
      <c r="M1346" s="163"/>
      <c r="N1346" s="163"/>
    </row>
    <row r="1347" spans="2:14" x14ac:dyDescent="0.25">
      <c r="B1347" s="163"/>
      <c r="C1347" s="163"/>
      <c r="D1347" s="163"/>
      <c r="E1347" s="163"/>
      <c r="F1347" s="163"/>
      <c r="G1347" s="163"/>
      <c r="H1347" s="163"/>
      <c r="I1347" s="163"/>
      <c r="J1347" s="163"/>
      <c r="K1347" s="163"/>
      <c r="L1347" s="163"/>
      <c r="M1347" s="163"/>
      <c r="N1347" s="163"/>
    </row>
    <row r="1348" spans="2:14" x14ac:dyDescent="0.25">
      <c r="B1348" s="163"/>
      <c r="C1348" s="163"/>
      <c r="D1348" s="163"/>
      <c r="E1348" s="163"/>
      <c r="F1348" s="163"/>
      <c r="G1348" s="163"/>
      <c r="H1348" s="163"/>
      <c r="I1348" s="163"/>
      <c r="J1348" s="163"/>
      <c r="K1348" s="163"/>
      <c r="L1348" s="163"/>
      <c r="M1348" s="163"/>
      <c r="N1348" s="163"/>
    </row>
    <row r="1349" spans="2:14" x14ac:dyDescent="0.25">
      <c r="B1349" s="163"/>
      <c r="C1349" s="163"/>
      <c r="D1349" s="163"/>
      <c r="E1349" s="163"/>
      <c r="F1349" s="163"/>
      <c r="G1349" s="163"/>
      <c r="H1349" s="163"/>
      <c r="I1349" s="163"/>
      <c r="J1349" s="163"/>
      <c r="K1349" s="163"/>
      <c r="L1349" s="163"/>
      <c r="M1349" s="163"/>
      <c r="N1349" s="163"/>
    </row>
    <row r="1350" spans="2:14" x14ac:dyDescent="0.25">
      <c r="B1350" s="163"/>
      <c r="C1350" s="163"/>
      <c r="D1350" s="163"/>
      <c r="E1350" s="163"/>
      <c r="F1350" s="163"/>
      <c r="G1350" s="163"/>
      <c r="H1350" s="163"/>
      <c r="I1350" s="163"/>
      <c r="J1350" s="163"/>
      <c r="K1350" s="163"/>
      <c r="L1350" s="163"/>
      <c r="M1350" s="163"/>
      <c r="N1350" s="163"/>
    </row>
    <row r="1351" spans="2:14" x14ac:dyDescent="0.25">
      <c r="B1351" s="163"/>
      <c r="C1351" s="163"/>
      <c r="D1351" s="163"/>
      <c r="E1351" s="163"/>
      <c r="F1351" s="163"/>
      <c r="G1351" s="163"/>
      <c r="H1351" s="163"/>
      <c r="I1351" s="163"/>
      <c r="J1351" s="163"/>
      <c r="K1351" s="163"/>
      <c r="L1351" s="163"/>
      <c r="M1351" s="163"/>
      <c r="N1351" s="163"/>
    </row>
    <row r="1352" spans="2:14" x14ac:dyDescent="0.25">
      <c r="B1352" s="163"/>
      <c r="C1352" s="163"/>
      <c r="D1352" s="163"/>
      <c r="E1352" s="163"/>
      <c r="F1352" s="163"/>
      <c r="G1352" s="163"/>
      <c r="H1352" s="163"/>
      <c r="I1352" s="163"/>
      <c r="J1352" s="163"/>
      <c r="K1352" s="163"/>
      <c r="L1352" s="163"/>
      <c r="M1352" s="163"/>
      <c r="N1352" s="163"/>
    </row>
    <row r="1353" spans="2:14" x14ac:dyDescent="0.25">
      <c r="B1353" s="163"/>
      <c r="C1353" s="163"/>
      <c r="D1353" s="163"/>
      <c r="E1353" s="163"/>
      <c r="F1353" s="163"/>
      <c r="G1353" s="163"/>
      <c r="H1353" s="163"/>
      <c r="I1353" s="163"/>
      <c r="J1353" s="163"/>
      <c r="K1353" s="163"/>
      <c r="L1353" s="163"/>
      <c r="M1353" s="163"/>
      <c r="N1353" s="163"/>
    </row>
    <row r="1354" spans="2:14" x14ac:dyDescent="0.25">
      <c r="B1354" s="163"/>
      <c r="C1354" s="163"/>
      <c r="D1354" s="163"/>
      <c r="E1354" s="163"/>
      <c r="F1354" s="163"/>
      <c r="G1354" s="163"/>
      <c r="H1354" s="163"/>
      <c r="I1354" s="163"/>
      <c r="J1354" s="163"/>
      <c r="K1354" s="163"/>
      <c r="L1354" s="163"/>
      <c r="M1354" s="163"/>
      <c r="N1354" s="163"/>
    </row>
    <row r="1355" spans="2:14" x14ac:dyDescent="0.25">
      <c r="B1355" s="163"/>
      <c r="C1355" s="163"/>
      <c r="D1355" s="163"/>
      <c r="E1355" s="163"/>
      <c r="F1355" s="163"/>
      <c r="G1355" s="163"/>
      <c r="H1355" s="163"/>
      <c r="I1355" s="163"/>
      <c r="J1355" s="163"/>
      <c r="K1355" s="163"/>
      <c r="L1355" s="163"/>
      <c r="M1355" s="163"/>
      <c r="N1355" s="163"/>
    </row>
    <row r="1356" spans="2:14" x14ac:dyDescent="0.25">
      <c r="B1356" s="163"/>
      <c r="C1356" s="163"/>
      <c r="D1356" s="163"/>
      <c r="E1356" s="163"/>
      <c r="F1356" s="163"/>
      <c r="G1356" s="163"/>
      <c r="H1356" s="163"/>
      <c r="I1356" s="163"/>
      <c r="J1356" s="163"/>
      <c r="K1356" s="163"/>
      <c r="L1356" s="163"/>
      <c r="M1356" s="163"/>
      <c r="N1356" s="163"/>
    </row>
    <row r="1357" spans="2:14" x14ac:dyDescent="0.25">
      <c r="B1357" s="163"/>
      <c r="C1357" s="163"/>
      <c r="D1357" s="163"/>
      <c r="E1357" s="163"/>
      <c r="F1357" s="163"/>
      <c r="G1357" s="163"/>
      <c r="H1357" s="163"/>
      <c r="I1357" s="163"/>
      <c r="J1357" s="163"/>
      <c r="K1357" s="163"/>
      <c r="L1357" s="163"/>
      <c r="M1357" s="163"/>
      <c r="N1357" s="163"/>
    </row>
    <row r="1358" spans="2:14" x14ac:dyDescent="0.25">
      <c r="B1358" s="163"/>
      <c r="C1358" s="163"/>
      <c r="D1358" s="163"/>
      <c r="E1358" s="163"/>
      <c r="F1358" s="163"/>
      <c r="G1358" s="163"/>
      <c r="H1358" s="163"/>
      <c r="I1358" s="163"/>
      <c r="J1358" s="163"/>
      <c r="K1358" s="163"/>
      <c r="L1358" s="163"/>
      <c r="M1358" s="163"/>
      <c r="N1358" s="163"/>
    </row>
    <row r="1359" spans="2:14" x14ac:dyDescent="0.25">
      <c r="B1359" s="163"/>
      <c r="C1359" s="163"/>
      <c r="D1359" s="163"/>
      <c r="E1359" s="163"/>
      <c r="F1359" s="163"/>
      <c r="G1359" s="163"/>
      <c r="H1359" s="163"/>
      <c r="I1359" s="163"/>
      <c r="J1359" s="163"/>
      <c r="K1359" s="163"/>
      <c r="L1359" s="163"/>
      <c r="M1359" s="163"/>
      <c r="N1359" s="163"/>
    </row>
    <row r="1360" spans="2:14" x14ac:dyDescent="0.25">
      <c r="B1360" s="163"/>
      <c r="C1360" s="163"/>
      <c r="D1360" s="163"/>
      <c r="E1360" s="163"/>
      <c r="F1360" s="163"/>
      <c r="G1360" s="163"/>
      <c r="H1360" s="163"/>
      <c r="I1360" s="163"/>
      <c r="J1360" s="163"/>
      <c r="K1360" s="163"/>
      <c r="L1360" s="163"/>
      <c r="M1360" s="163"/>
      <c r="N1360" s="163"/>
    </row>
    <row r="1361" spans="2:14" x14ac:dyDescent="0.25">
      <c r="B1361" s="163"/>
      <c r="C1361" s="163"/>
      <c r="D1361" s="163"/>
      <c r="E1361" s="163"/>
      <c r="F1361" s="163"/>
      <c r="G1361" s="163"/>
      <c r="H1361" s="163"/>
      <c r="I1361" s="163"/>
      <c r="J1361" s="163"/>
      <c r="K1361" s="163"/>
      <c r="L1361" s="163"/>
      <c r="M1361" s="163"/>
      <c r="N1361" s="163"/>
    </row>
    <row r="1362" spans="2:14" x14ac:dyDescent="0.25">
      <c r="B1362" s="163"/>
      <c r="C1362" s="163"/>
      <c r="D1362" s="163"/>
      <c r="E1362" s="163"/>
      <c r="F1362" s="163"/>
      <c r="G1362" s="163"/>
      <c r="H1362" s="163"/>
      <c r="I1362" s="163"/>
      <c r="J1362" s="163"/>
      <c r="K1362" s="163"/>
      <c r="L1362" s="163"/>
      <c r="M1362" s="163"/>
      <c r="N1362" s="163"/>
    </row>
    <row r="1363" spans="2:14" x14ac:dyDescent="0.25">
      <c r="B1363" s="163"/>
      <c r="C1363" s="163"/>
      <c r="D1363" s="163"/>
      <c r="E1363" s="163"/>
      <c r="F1363" s="163"/>
      <c r="G1363" s="163"/>
      <c r="H1363" s="163"/>
      <c r="I1363" s="163"/>
      <c r="J1363" s="163"/>
      <c r="K1363" s="163"/>
      <c r="L1363" s="163"/>
      <c r="M1363" s="163"/>
      <c r="N1363" s="163"/>
    </row>
    <row r="1364" spans="2:14" x14ac:dyDescent="0.25">
      <c r="B1364" s="163"/>
      <c r="C1364" s="163"/>
      <c r="D1364" s="163"/>
      <c r="E1364" s="163"/>
      <c r="F1364" s="163"/>
      <c r="G1364" s="163"/>
      <c r="H1364" s="163"/>
      <c r="I1364" s="163"/>
      <c r="J1364" s="163"/>
      <c r="K1364" s="163"/>
      <c r="L1364" s="163"/>
      <c r="M1364" s="163"/>
      <c r="N1364" s="163"/>
    </row>
    <row r="1365" spans="2:14" x14ac:dyDescent="0.25">
      <c r="B1365" s="163"/>
      <c r="C1365" s="163"/>
      <c r="D1365" s="163"/>
      <c r="E1365" s="163"/>
      <c r="F1365" s="163"/>
      <c r="G1365" s="163"/>
      <c r="H1365" s="163"/>
      <c r="I1365" s="163"/>
      <c r="J1365" s="163"/>
      <c r="K1365" s="163"/>
      <c r="L1365" s="163"/>
      <c r="M1365" s="163"/>
      <c r="N1365" s="163"/>
    </row>
    <row r="1366" spans="2:14" x14ac:dyDescent="0.25">
      <c r="B1366" s="163"/>
      <c r="C1366" s="163"/>
      <c r="D1366" s="163"/>
      <c r="E1366" s="163"/>
      <c r="F1366" s="163"/>
      <c r="G1366" s="163"/>
      <c r="H1366" s="163"/>
      <c r="I1366" s="163"/>
      <c r="J1366" s="163"/>
      <c r="K1366" s="163"/>
      <c r="L1366" s="163"/>
      <c r="M1366" s="163"/>
      <c r="N1366" s="163"/>
    </row>
    <row r="1367" spans="2:14" x14ac:dyDescent="0.25">
      <c r="B1367" s="163"/>
      <c r="C1367" s="163"/>
      <c r="D1367" s="163"/>
      <c r="E1367" s="163"/>
      <c r="F1367" s="163"/>
      <c r="G1367" s="163"/>
      <c r="H1367" s="163"/>
      <c r="I1367" s="163"/>
      <c r="J1367" s="163"/>
      <c r="K1367" s="163"/>
      <c r="L1367" s="163"/>
      <c r="M1367" s="163"/>
      <c r="N1367" s="163"/>
    </row>
    <row r="1368" spans="2:14" x14ac:dyDescent="0.25">
      <c r="B1368" s="163"/>
      <c r="C1368" s="163"/>
      <c r="D1368" s="163"/>
      <c r="E1368" s="163"/>
      <c r="F1368" s="163"/>
      <c r="G1368" s="163"/>
      <c r="H1368" s="163"/>
      <c r="I1368" s="163"/>
      <c r="J1368" s="163"/>
      <c r="K1368" s="163"/>
      <c r="L1368" s="163"/>
      <c r="M1368" s="163"/>
      <c r="N1368" s="163"/>
    </row>
    <row r="1369" spans="2:14" x14ac:dyDescent="0.25">
      <c r="B1369" s="163"/>
      <c r="C1369" s="163"/>
      <c r="D1369" s="163"/>
      <c r="E1369" s="163"/>
      <c r="F1369" s="163"/>
      <c r="G1369" s="163"/>
      <c r="H1369" s="163"/>
      <c r="I1369" s="163"/>
      <c r="J1369" s="163"/>
      <c r="K1369" s="163"/>
      <c r="L1369" s="163"/>
      <c r="M1369" s="163"/>
      <c r="N1369" s="163"/>
    </row>
    <row r="1370" spans="2:14" x14ac:dyDescent="0.25">
      <c r="B1370" s="163"/>
      <c r="C1370" s="163"/>
      <c r="D1370" s="163"/>
      <c r="E1370" s="163"/>
      <c r="F1370" s="163"/>
      <c r="G1370" s="163"/>
      <c r="H1370" s="163"/>
      <c r="I1370" s="163"/>
      <c r="J1370" s="163"/>
      <c r="K1370" s="163"/>
      <c r="L1370" s="163"/>
      <c r="M1370" s="163"/>
      <c r="N1370" s="163"/>
    </row>
    <row r="1371" spans="2:14" x14ac:dyDescent="0.25">
      <c r="B1371" s="163"/>
      <c r="C1371" s="163"/>
      <c r="D1371" s="163"/>
      <c r="E1371" s="163"/>
      <c r="F1371" s="163"/>
      <c r="G1371" s="163"/>
      <c r="H1371" s="163"/>
      <c r="I1371" s="163"/>
      <c r="J1371" s="163"/>
      <c r="K1371" s="163"/>
      <c r="L1371" s="163"/>
      <c r="M1371" s="163"/>
      <c r="N1371" s="163"/>
    </row>
    <row r="1372" spans="2:14" x14ac:dyDescent="0.25">
      <c r="B1372" s="163"/>
      <c r="C1372" s="163"/>
      <c r="D1372" s="163"/>
      <c r="E1372" s="163"/>
      <c r="F1372" s="163"/>
      <c r="G1372" s="163"/>
      <c r="H1372" s="163"/>
      <c r="I1372" s="163"/>
      <c r="J1372" s="163"/>
      <c r="K1372" s="163"/>
      <c r="L1372" s="163"/>
      <c r="M1372" s="163"/>
      <c r="N1372" s="163"/>
    </row>
    <row r="1373" spans="2:14" x14ac:dyDescent="0.25">
      <c r="B1373" s="163"/>
      <c r="C1373" s="163"/>
      <c r="D1373" s="163"/>
      <c r="E1373" s="163"/>
      <c r="F1373" s="163"/>
      <c r="G1373" s="163"/>
      <c r="H1373" s="163"/>
      <c r="I1373" s="163"/>
      <c r="J1373" s="163"/>
      <c r="K1373" s="163"/>
      <c r="L1373" s="163"/>
      <c r="M1373" s="163"/>
      <c r="N1373" s="163"/>
    </row>
    <row r="1374" spans="2:14" x14ac:dyDescent="0.25">
      <c r="B1374" s="163"/>
      <c r="C1374" s="163"/>
      <c r="D1374" s="163"/>
      <c r="E1374" s="163"/>
      <c r="F1374" s="163"/>
      <c r="G1374" s="163"/>
      <c r="H1374" s="163"/>
      <c r="I1374" s="163"/>
      <c r="J1374" s="163"/>
      <c r="K1374" s="163"/>
      <c r="L1374" s="163"/>
      <c r="M1374" s="163"/>
      <c r="N1374" s="163"/>
    </row>
    <row r="1375" spans="2:14" x14ac:dyDescent="0.25">
      <c r="B1375" s="163"/>
      <c r="C1375" s="163"/>
      <c r="D1375" s="163"/>
      <c r="E1375" s="163"/>
      <c r="F1375" s="163"/>
      <c r="G1375" s="163"/>
      <c r="H1375" s="163"/>
      <c r="I1375" s="163"/>
      <c r="J1375" s="163"/>
      <c r="K1375" s="163"/>
      <c r="L1375" s="163"/>
      <c r="M1375" s="163"/>
      <c r="N1375" s="163"/>
    </row>
    <row r="1376" spans="2:14" x14ac:dyDescent="0.25">
      <c r="B1376" s="163"/>
      <c r="C1376" s="163"/>
      <c r="D1376" s="163"/>
      <c r="E1376" s="163"/>
      <c r="F1376" s="163"/>
      <c r="G1376" s="163"/>
      <c r="H1376" s="163"/>
      <c r="I1376" s="163"/>
      <c r="J1376" s="163"/>
      <c r="K1376" s="163"/>
      <c r="L1376" s="163"/>
      <c r="M1376" s="163"/>
      <c r="N1376" s="163"/>
    </row>
    <row r="1377" spans="2:14" x14ac:dyDescent="0.25">
      <c r="B1377" s="163"/>
      <c r="C1377" s="163"/>
      <c r="D1377" s="163"/>
      <c r="E1377" s="163"/>
      <c r="F1377" s="163"/>
      <c r="G1377" s="163"/>
      <c r="H1377" s="163"/>
      <c r="I1377" s="163"/>
      <c r="J1377" s="163"/>
      <c r="K1377" s="163"/>
      <c r="L1377" s="163"/>
      <c r="M1377" s="163"/>
      <c r="N1377" s="163"/>
    </row>
    <row r="1378" spans="2:14" x14ac:dyDescent="0.25">
      <c r="B1378" s="163"/>
      <c r="C1378" s="163"/>
      <c r="D1378" s="163"/>
      <c r="E1378" s="163"/>
      <c r="F1378" s="163"/>
      <c r="G1378" s="163"/>
      <c r="H1378" s="163"/>
      <c r="I1378" s="163"/>
      <c r="J1378" s="163"/>
      <c r="K1378" s="163"/>
      <c r="L1378" s="163"/>
      <c r="M1378" s="163"/>
      <c r="N1378" s="163"/>
    </row>
    <row r="1379" spans="2:14" x14ac:dyDescent="0.25">
      <c r="B1379" s="163"/>
      <c r="C1379" s="163"/>
      <c r="D1379" s="163"/>
      <c r="E1379" s="163"/>
      <c r="F1379" s="163"/>
      <c r="G1379" s="163"/>
      <c r="H1379" s="163"/>
      <c r="I1379" s="163"/>
      <c r="J1379" s="163"/>
      <c r="K1379" s="163"/>
      <c r="L1379" s="163"/>
      <c r="M1379" s="163"/>
      <c r="N1379" s="163"/>
    </row>
    <row r="1380" spans="2:14" x14ac:dyDescent="0.25">
      <c r="B1380" s="163"/>
      <c r="C1380" s="163"/>
      <c r="D1380" s="163"/>
      <c r="E1380" s="163"/>
      <c r="F1380" s="163"/>
      <c r="G1380" s="163"/>
      <c r="H1380" s="163"/>
      <c r="I1380" s="163"/>
      <c r="J1380" s="163"/>
      <c r="K1380" s="163"/>
      <c r="L1380" s="163"/>
      <c r="M1380" s="163"/>
      <c r="N1380" s="163"/>
    </row>
    <row r="1381" spans="2:14" x14ac:dyDescent="0.25">
      <c r="B1381" s="163"/>
      <c r="C1381" s="163"/>
      <c r="D1381" s="163"/>
      <c r="E1381" s="163"/>
      <c r="F1381" s="163"/>
      <c r="G1381" s="163"/>
      <c r="H1381" s="163"/>
      <c r="I1381" s="163"/>
      <c r="J1381" s="163"/>
      <c r="K1381" s="163"/>
      <c r="L1381" s="163"/>
      <c r="M1381" s="163"/>
      <c r="N1381" s="163"/>
    </row>
    <row r="1382" spans="2:14" x14ac:dyDescent="0.25">
      <c r="B1382" s="163"/>
      <c r="C1382" s="163"/>
      <c r="D1382" s="163"/>
      <c r="E1382" s="163"/>
      <c r="F1382" s="163"/>
      <c r="G1382" s="163"/>
      <c r="H1382" s="163"/>
      <c r="I1382" s="163"/>
      <c r="J1382" s="163"/>
      <c r="K1382" s="163"/>
      <c r="L1382" s="163"/>
      <c r="M1382" s="163"/>
      <c r="N1382" s="163"/>
    </row>
    <row r="1383" spans="2:14" x14ac:dyDescent="0.25">
      <c r="B1383" s="163"/>
      <c r="C1383" s="163"/>
      <c r="D1383" s="163"/>
      <c r="E1383" s="163"/>
      <c r="F1383" s="163"/>
      <c r="G1383" s="163"/>
      <c r="H1383" s="163"/>
      <c r="I1383" s="163"/>
      <c r="J1383" s="163"/>
      <c r="K1383" s="163"/>
      <c r="L1383" s="163"/>
      <c r="M1383" s="163"/>
      <c r="N1383" s="163"/>
    </row>
    <row r="1384" spans="2:14" x14ac:dyDescent="0.25">
      <c r="B1384" s="163"/>
      <c r="C1384" s="163"/>
      <c r="D1384" s="163"/>
      <c r="E1384" s="163"/>
      <c r="F1384" s="163"/>
      <c r="G1384" s="163"/>
      <c r="H1384" s="163"/>
      <c r="I1384" s="163"/>
      <c r="J1384" s="163"/>
      <c r="K1384" s="163"/>
      <c r="L1384" s="163"/>
      <c r="M1384" s="163"/>
      <c r="N1384" s="163"/>
    </row>
    <row r="1385" spans="2:14" x14ac:dyDescent="0.25">
      <c r="B1385" s="163"/>
      <c r="C1385" s="163"/>
      <c r="D1385" s="163"/>
      <c r="E1385" s="163"/>
      <c r="F1385" s="163"/>
      <c r="G1385" s="163"/>
      <c r="H1385" s="163"/>
      <c r="I1385" s="163"/>
      <c r="J1385" s="163"/>
      <c r="K1385" s="163"/>
      <c r="L1385" s="163"/>
      <c r="M1385" s="163"/>
      <c r="N1385" s="163"/>
    </row>
    <row r="1386" spans="2:14" x14ac:dyDescent="0.25">
      <c r="B1386" s="163"/>
      <c r="C1386" s="163"/>
      <c r="D1386" s="163"/>
      <c r="E1386" s="163"/>
      <c r="F1386" s="163"/>
      <c r="G1386" s="163"/>
      <c r="H1386" s="163"/>
      <c r="I1386" s="163"/>
      <c r="J1386" s="163"/>
      <c r="K1386" s="163"/>
      <c r="L1386" s="163"/>
      <c r="M1386" s="163"/>
      <c r="N1386" s="163"/>
    </row>
    <row r="1387" spans="2:14" x14ac:dyDescent="0.25">
      <c r="B1387" s="163"/>
      <c r="C1387" s="163"/>
      <c r="D1387" s="163"/>
      <c r="E1387" s="163"/>
      <c r="F1387" s="163"/>
      <c r="G1387" s="163"/>
      <c r="H1387" s="163"/>
      <c r="I1387" s="163"/>
      <c r="J1387" s="163"/>
      <c r="K1387" s="163"/>
      <c r="L1387" s="163"/>
      <c r="M1387" s="163"/>
      <c r="N1387" s="163"/>
    </row>
    <row r="1388" spans="2:14" x14ac:dyDescent="0.25">
      <c r="B1388" s="163"/>
      <c r="C1388" s="163"/>
      <c r="D1388" s="163"/>
      <c r="E1388" s="163"/>
      <c r="F1388" s="163"/>
      <c r="G1388" s="163"/>
      <c r="H1388" s="163"/>
      <c r="I1388" s="163"/>
      <c r="J1388" s="163"/>
      <c r="K1388" s="163"/>
      <c r="L1388" s="163"/>
      <c r="M1388" s="163"/>
      <c r="N1388" s="163"/>
    </row>
    <row r="1389" spans="2:14" x14ac:dyDescent="0.25">
      <c r="B1389" s="163"/>
      <c r="C1389" s="163"/>
      <c r="D1389" s="163"/>
      <c r="E1389" s="163"/>
      <c r="F1389" s="163"/>
      <c r="G1389" s="163"/>
      <c r="H1389" s="163"/>
      <c r="I1389" s="163"/>
      <c r="J1389" s="163"/>
      <c r="K1389" s="163"/>
      <c r="L1389" s="163"/>
      <c r="M1389" s="163"/>
      <c r="N1389" s="163"/>
    </row>
    <row r="1390" spans="2:14" x14ac:dyDescent="0.25">
      <c r="B1390" s="163"/>
      <c r="C1390" s="163"/>
      <c r="D1390" s="163"/>
      <c r="E1390" s="163"/>
      <c r="F1390" s="163"/>
      <c r="G1390" s="163"/>
      <c r="H1390" s="163"/>
      <c r="I1390" s="163"/>
      <c r="J1390" s="163"/>
      <c r="K1390" s="163"/>
      <c r="L1390" s="163"/>
      <c r="M1390" s="163"/>
      <c r="N1390" s="163"/>
    </row>
    <row r="1391" spans="2:14" x14ac:dyDescent="0.25">
      <c r="B1391" s="163"/>
      <c r="C1391" s="163"/>
      <c r="D1391" s="163"/>
      <c r="E1391" s="163"/>
      <c r="F1391" s="163"/>
      <c r="G1391" s="163"/>
      <c r="H1391" s="163"/>
      <c r="I1391" s="163"/>
      <c r="J1391" s="163"/>
      <c r="K1391" s="163"/>
      <c r="L1391" s="163"/>
      <c r="M1391" s="163"/>
      <c r="N1391" s="163"/>
    </row>
    <row r="1392" spans="2:14" x14ac:dyDescent="0.25">
      <c r="B1392" s="163"/>
      <c r="C1392" s="163"/>
      <c r="D1392" s="163"/>
      <c r="E1392" s="163"/>
      <c r="F1392" s="163"/>
      <c r="G1392" s="163"/>
      <c r="H1392" s="163"/>
      <c r="I1392" s="163"/>
      <c r="J1392" s="163"/>
      <c r="K1392" s="163"/>
      <c r="L1392" s="163"/>
      <c r="M1392" s="163"/>
      <c r="N1392" s="163"/>
    </row>
    <row r="1393" spans="2:14" x14ac:dyDescent="0.25">
      <c r="B1393" s="163"/>
      <c r="C1393" s="163"/>
      <c r="D1393" s="163"/>
      <c r="E1393" s="163"/>
      <c r="F1393" s="163"/>
      <c r="G1393" s="163"/>
      <c r="H1393" s="163"/>
      <c r="I1393" s="163"/>
      <c r="J1393" s="163"/>
      <c r="K1393" s="163"/>
      <c r="L1393" s="163"/>
      <c r="M1393" s="163"/>
      <c r="N1393" s="163"/>
    </row>
    <row r="1394" spans="2:14" x14ac:dyDescent="0.25">
      <c r="B1394" s="163"/>
      <c r="C1394" s="163"/>
      <c r="D1394" s="163"/>
      <c r="E1394" s="163"/>
      <c r="F1394" s="163"/>
      <c r="G1394" s="163"/>
      <c r="H1394" s="163"/>
      <c r="I1394" s="163"/>
      <c r="J1394" s="163"/>
      <c r="K1394" s="163"/>
      <c r="L1394" s="163"/>
      <c r="M1394" s="163"/>
      <c r="N1394" s="163"/>
    </row>
    <row r="1395" spans="2:14" x14ac:dyDescent="0.25">
      <c r="B1395" s="163"/>
      <c r="C1395" s="163"/>
      <c r="D1395" s="163"/>
      <c r="E1395" s="163"/>
      <c r="F1395" s="163"/>
      <c r="G1395" s="163"/>
      <c r="H1395" s="163"/>
      <c r="I1395" s="163"/>
      <c r="J1395" s="163"/>
      <c r="K1395" s="163"/>
      <c r="L1395" s="163"/>
      <c r="M1395" s="163"/>
      <c r="N1395" s="163"/>
    </row>
    <row r="1396" spans="2:14" x14ac:dyDescent="0.25">
      <c r="B1396" s="163"/>
      <c r="C1396" s="163"/>
      <c r="D1396" s="163"/>
      <c r="E1396" s="163"/>
      <c r="F1396" s="163"/>
      <c r="G1396" s="163"/>
      <c r="H1396" s="163"/>
      <c r="I1396" s="163"/>
      <c r="J1396" s="163"/>
      <c r="K1396" s="163"/>
      <c r="L1396" s="163"/>
      <c r="M1396" s="163"/>
      <c r="N1396" s="163"/>
    </row>
    <row r="1397" spans="2:14" x14ac:dyDescent="0.25">
      <c r="B1397" s="163"/>
      <c r="C1397" s="163"/>
      <c r="D1397" s="163"/>
      <c r="E1397" s="163"/>
      <c r="F1397" s="163"/>
      <c r="G1397" s="163"/>
      <c r="H1397" s="163"/>
      <c r="I1397" s="163"/>
      <c r="J1397" s="163"/>
      <c r="K1397" s="163"/>
      <c r="L1397" s="163"/>
      <c r="M1397" s="163"/>
      <c r="N1397" s="163"/>
    </row>
    <row r="1398" spans="2:14" x14ac:dyDescent="0.25">
      <c r="B1398" s="163"/>
      <c r="C1398" s="163"/>
      <c r="D1398" s="163"/>
      <c r="E1398" s="163"/>
      <c r="F1398" s="163"/>
      <c r="G1398" s="163"/>
      <c r="H1398" s="163"/>
      <c r="I1398" s="163"/>
      <c r="J1398" s="163"/>
      <c r="K1398" s="163"/>
      <c r="L1398" s="163"/>
      <c r="M1398" s="163"/>
      <c r="N1398" s="163"/>
    </row>
    <row r="1399" spans="2:14" x14ac:dyDescent="0.25">
      <c r="B1399" s="163"/>
      <c r="C1399" s="163"/>
      <c r="D1399" s="163"/>
      <c r="E1399" s="163"/>
      <c r="F1399" s="163"/>
      <c r="G1399" s="163"/>
      <c r="H1399" s="163"/>
      <c r="I1399" s="163"/>
      <c r="J1399" s="163"/>
      <c r="K1399" s="163"/>
      <c r="L1399" s="163"/>
      <c r="M1399" s="163"/>
      <c r="N1399" s="163"/>
    </row>
    <row r="1400" spans="2:14" x14ac:dyDescent="0.25">
      <c r="B1400" s="163"/>
      <c r="C1400" s="163"/>
      <c r="D1400" s="163"/>
      <c r="E1400" s="163"/>
      <c r="F1400" s="163"/>
      <c r="G1400" s="163"/>
      <c r="H1400" s="163"/>
      <c r="I1400" s="163"/>
      <c r="J1400" s="163"/>
      <c r="K1400" s="163"/>
      <c r="L1400" s="163"/>
      <c r="M1400" s="163"/>
      <c r="N1400" s="163"/>
    </row>
    <row r="1401" spans="2:14" x14ac:dyDescent="0.25">
      <c r="B1401" s="163"/>
      <c r="C1401" s="163"/>
      <c r="D1401" s="163"/>
      <c r="E1401" s="163"/>
      <c r="F1401" s="163"/>
      <c r="G1401" s="163"/>
      <c r="H1401" s="163"/>
      <c r="I1401" s="163"/>
      <c r="J1401" s="163"/>
      <c r="K1401" s="163"/>
      <c r="L1401" s="163"/>
      <c r="M1401" s="163"/>
      <c r="N1401" s="163"/>
    </row>
    <row r="1402" spans="2:14" x14ac:dyDescent="0.25">
      <c r="B1402" s="163"/>
      <c r="C1402" s="163"/>
      <c r="D1402" s="163"/>
      <c r="E1402" s="163"/>
      <c r="F1402" s="163"/>
      <c r="G1402" s="163"/>
      <c r="H1402" s="163"/>
      <c r="I1402" s="163"/>
      <c r="J1402" s="163"/>
      <c r="K1402" s="163"/>
      <c r="L1402" s="163"/>
      <c r="M1402" s="163"/>
      <c r="N1402" s="163"/>
    </row>
    <row r="1403" spans="2:14" x14ac:dyDescent="0.25">
      <c r="B1403" s="163"/>
      <c r="C1403" s="163"/>
      <c r="D1403" s="163"/>
      <c r="E1403" s="163"/>
      <c r="F1403" s="163"/>
      <c r="G1403" s="163"/>
      <c r="H1403" s="163"/>
      <c r="I1403" s="163"/>
      <c r="J1403" s="163"/>
      <c r="K1403" s="163"/>
      <c r="L1403" s="163"/>
      <c r="M1403" s="163"/>
      <c r="N1403" s="163"/>
    </row>
    <row r="1404" spans="2:14" x14ac:dyDescent="0.25">
      <c r="B1404" s="163"/>
      <c r="C1404" s="163"/>
      <c r="D1404" s="163"/>
      <c r="E1404" s="163"/>
      <c r="F1404" s="163"/>
      <c r="G1404" s="163"/>
      <c r="H1404" s="163"/>
      <c r="I1404" s="163"/>
      <c r="J1404" s="163"/>
      <c r="K1404" s="163"/>
      <c r="L1404" s="163"/>
      <c r="M1404" s="163"/>
      <c r="N1404" s="163"/>
    </row>
    <row r="1405" spans="2:14" x14ac:dyDescent="0.25">
      <c r="B1405" s="163"/>
      <c r="C1405" s="163"/>
      <c r="D1405" s="163"/>
      <c r="E1405" s="163"/>
      <c r="F1405" s="163"/>
      <c r="G1405" s="163"/>
      <c r="H1405" s="163"/>
      <c r="I1405" s="163"/>
      <c r="J1405" s="163"/>
      <c r="K1405" s="163"/>
      <c r="L1405" s="163"/>
      <c r="M1405" s="163"/>
      <c r="N1405" s="163"/>
    </row>
    <row r="1406" spans="2:14" x14ac:dyDescent="0.25">
      <c r="B1406" s="163"/>
      <c r="C1406" s="163"/>
      <c r="D1406" s="163"/>
      <c r="E1406" s="163"/>
      <c r="F1406" s="163"/>
      <c r="G1406" s="163"/>
      <c r="H1406" s="163"/>
      <c r="I1406" s="163"/>
      <c r="J1406" s="163"/>
      <c r="K1406" s="163"/>
      <c r="L1406" s="163"/>
      <c r="M1406" s="163"/>
      <c r="N1406" s="163"/>
    </row>
    <row r="1407" spans="2:14" x14ac:dyDescent="0.25">
      <c r="B1407" s="163"/>
      <c r="C1407" s="163"/>
      <c r="D1407" s="163"/>
      <c r="E1407" s="163"/>
      <c r="F1407" s="163"/>
      <c r="G1407" s="163"/>
      <c r="H1407" s="163"/>
      <c r="I1407" s="163"/>
      <c r="J1407" s="163"/>
      <c r="K1407" s="163"/>
      <c r="L1407" s="163"/>
      <c r="M1407" s="163"/>
      <c r="N1407" s="163"/>
    </row>
    <row r="1408" spans="2:14" x14ac:dyDescent="0.25">
      <c r="B1408" s="163"/>
      <c r="C1408" s="163"/>
      <c r="D1408" s="163"/>
      <c r="E1408" s="163"/>
      <c r="F1408" s="163"/>
      <c r="G1408" s="163"/>
      <c r="H1408" s="163"/>
      <c r="I1408" s="163"/>
      <c r="J1408" s="163"/>
      <c r="K1408" s="163"/>
      <c r="L1408" s="163"/>
      <c r="M1408" s="163"/>
      <c r="N1408" s="163"/>
    </row>
    <row r="1409" spans="2:14" x14ac:dyDescent="0.25">
      <c r="B1409" s="163"/>
      <c r="C1409" s="163"/>
      <c r="D1409" s="163"/>
      <c r="E1409" s="163"/>
      <c r="F1409" s="163"/>
      <c r="G1409" s="163"/>
      <c r="H1409" s="163"/>
      <c r="I1409" s="163"/>
      <c r="J1409" s="163"/>
      <c r="K1409" s="163"/>
      <c r="L1409" s="163"/>
      <c r="M1409" s="163"/>
      <c r="N1409" s="163"/>
    </row>
    <row r="1410" spans="2:14" x14ac:dyDescent="0.25">
      <c r="B1410" s="163"/>
      <c r="C1410" s="163"/>
      <c r="D1410" s="163"/>
      <c r="E1410" s="163"/>
      <c r="F1410" s="163"/>
      <c r="G1410" s="163"/>
      <c r="H1410" s="163"/>
      <c r="I1410" s="163"/>
      <c r="J1410" s="163"/>
      <c r="K1410" s="163"/>
      <c r="L1410" s="163"/>
      <c r="M1410" s="163"/>
      <c r="N1410" s="163"/>
    </row>
    <row r="1411" spans="2:14" x14ac:dyDescent="0.25">
      <c r="B1411" s="163"/>
      <c r="C1411" s="163"/>
      <c r="D1411" s="163"/>
      <c r="E1411" s="163"/>
      <c r="F1411" s="163"/>
      <c r="G1411" s="163"/>
      <c r="H1411" s="163"/>
      <c r="I1411" s="163"/>
      <c r="J1411" s="163"/>
      <c r="K1411" s="163"/>
      <c r="L1411" s="163"/>
      <c r="M1411" s="163"/>
      <c r="N1411" s="163"/>
    </row>
    <row r="1412" spans="2:14" x14ac:dyDescent="0.25">
      <c r="B1412" s="163"/>
      <c r="C1412" s="163"/>
      <c r="D1412" s="163"/>
      <c r="E1412" s="163"/>
      <c r="F1412" s="163"/>
      <c r="G1412" s="163"/>
      <c r="H1412" s="163"/>
      <c r="I1412" s="163"/>
      <c r="J1412" s="163"/>
      <c r="K1412" s="163"/>
      <c r="L1412" s="163"/>
      <c r="M1412" s="163"/>
      <c r="N1412" s="163"/>
    </row>
    <row r="1413" spans="2:14" x14ac:dyDescent="0.25">
      <c r="B1413" s="163"/>
      <c r="C1413" s="163"/>
      <c r="D1413" s="163"/>
      <c r="E1413" s="163"/>
      <c r="F1413" s="163"/>
      <c r="G1413" s="163"/>
      <c r="H1413" s="163"/>
      <c r="I1413" s="163"/>
      <c r="J1413" s="163"/>
      <c r="K1413" s="163"/>
      <c r="L1413" s="163"/>
      <c r="M1413" s="163"/>
      <c r="N1413" s="163"/>
    </row>
    <row r="1414" spans="2:14" x14ac:dyDescent="0.25">
      <c r="B1414" s="163"/>
      <c r="C1414" s="163"/>
      <c r="D1414" s="163"/>
      <c r="E1414" s="163"/>
      <c r="F1414" s="163"/>
      <c r="G1414" s="163"/>
      <c r="H1414" s="163"/>
      <c r="I1414" s="163"/>
      <c r="J1414" s="163"/>
      <c r="K1414" s="163"/>
      <c r="L1414" s="163"/>
      <c r="M1414" s="163"/>
      <c r="N1414" s="163"/>
    </row>
    <row r="1415" spans="2:14" x14ac:dyDescent="0.25">
      <c r="B1415" s="163"/>
      <c r="C1415" s="163"/>
      <c r="D1415" s="163"/>
      <c r="E1415" s="163"/>
      <c r="F1415" s="163"/>
      <c r="G1415" s="163"/>
      <c r="H1415" s="163"/>
      <c r="I1415" s="163"/>
      <c r="J1415" s="163"/>
      <c r="K1415" s="163"/>
      <c r="L1415" s="163"/>
      <c r="M1415" s="163"/>
      <c r="N1415" s="163"/>
    </row>
    <row r="1416" spans="2:14" x14ac:dyDescent="0.25">
      <c r="B1416" s="163"/>
      <c r="C1416" s="163"/>
      <c r="D1416" s="163"/>
      <c r="E1416" s="163"/>
      <c r="F1416" s="163"/>
      <c r="G1416" s="163"/>
      <c r="H1416" s="163"/>
      <c r="I1416" s="163"/>
      <c r="J1416" s="163"/>
      <c r="K1416" s="163"/>
      <c r="L1416" s="163"/>
      <c r="M1416" s="163"/>
      <c r="N1416" s="163"/>
    </row>
    <row r="1417" spans="2:14" x14ac:dyDescent="0.25">
      <c r="B1417" s="163"/>
      <c r="C1417" s="163"/>
      <c r="D1417" s="163"/>
      <c r="E1417" s="163"/>
      <c r="F1417" s="163"/>
      <c r="G1417" s="163"/>
      <c r="H1417" s="163"/>
      <c r="I1417" s="163"/>
      <c r="J1417" s="163"/>
      <c r="K1417" s="163"/>
      <c r="L1417" s="163"/>
      <c r="M1417" s="163"/>
      <c r="N1417" s="163"/>
    </row>
    <row r="1418" spans="2:14" x14ac:dyDescent="0.25">
      <c r="B1418" s="163"/>
      <c r="C1418" s="163"/>
      <c r="D1418" s="163"/>
      <c r="E1418" s="163"/>
      <c r="F1418" s="163"/>
      <c r="G1418" s="163"/>
      <c r="H1418" s="163"/>
      <c r="I1418" s="163"/>
      <c r="J1418" s="163"/>
      <c r="K1418" s="163"/>
      <c r="L1418" s="163"/>
      <c r="M1418" s="163"/>
      <c r="N1418" s="163"/>
    </row>
    <row r="1419" spans="2:14" x14ac:dyDescent="0.25">
      <c r="B1419" s="163"/>
      <c r="C1419" s="163"/>
      <c r="D1419" s="163"/>
      <c r="E1419" s="163"/>
      <c r="F1419" s="163"/>
      <c r="G1419" s="163"/>
      <c r="H1419" s="163"/>
      <c r="I1419" s="163"/>
      <c r="J1419" s="163"/>
      <c r="K1419" s="163"/>
      <c r="L1419" s="163"/>
      <c r="M1419" s="163"/>
      <c r="N1419" s="163"/>
    </row>
    <row r="1420" spans="2:14" x14ac:dyDescent="0.25">
      <c r="B1420" s="163"/>
      <c r="C1420" s="163"/>
      <c r="D1420" s="163"/>
      <c r="E1420" s="163"/>
      <c r="F1420" s="163"/>
      <c r="G1420" s="163"/>
      <c r="H1420" s="163"/>
      <c r="I1420" s="163"/>
      <c r="J1420" s="163"/>
      <c r="K1420" s="163"/>
      <c r="L1420" s="163"/>
      <c r="M1420" s="163"/>
      <c r="N1420" s="163"/>
    </row>
    <row r="1421" spans="2:14" x14ac:dyDescent="0.25">
      <c r="B1421" s="163"/>
      <c r="C1421" s="163"/>
      <c r="D1421" s="163"/>
      <c r="E1421" s="163"/>
      <c r="F1421" s="163"/>
      <c r="G1421" s="163"/>
      <c r="H1421" s="163"/>
      <c r="I1421" s="163"/>
      <c r="J1421" s="163"/>
      <c r="K1421" s="163"/>
      <c r="L1421" s="163"/>
      <c r="M1421" s="163"/>
      <c r="N1421" s="163"/>
    </row>
    <row r="1422" spans="2:14" x14ac:dyDescent="0.25">
      <c r="B1422" s="163"/>
      <c r="C1422" s="163"/>
      <c r="D1422" s="163"/>
      <c r="E1422" s="163"/>
      <c r="F1422" s="163"/>
      <c r="G1422" s="163"/>
      <c r="H1422" s="163"/>
      <c r="I1422" s="163"/>
      <c r="J1422" s="163"/>
      <c r="K1422" s="163"/>
      <c r="L1422" s="163"/>
      <c r="M1422" s="163"/>
      <c r="N1422" s="163"/>
    </row>
    <row r="1423" spans="2:14" x14ac:dyDescent="0.25">
      <c r="B1423" s="163"/>
      <c r="C1423" s="163"/>
      <c r="D1423" s="163"/>
      <c r="E1423" s="163"/>
      <c r="F1423" s="163"/>
      <c r="G1423" s="163"/>
      <c r="H1423" s="163"/>
      <c r="I1423" s="163"/>
      <c r="J1423" s="163"/>
      <c r="K1423" s="163"/>
      <c r="L1423" s="163"/>
      <c r="M1423" s="163"/>
      <c r="N1423" s="163"/>
    </row>
    <row r="1424" spans="2:14" x14ac:dyDescent="0.25">
      <c r="B1424" s="163"/>
      <c r="C1424" s="163"/>
      <c r="D1424" s="163"/>
      <c r="E1424" s="163"/>
      <c r="F1424" s="163"/>
      <c r="G1424" s="163"/>
      <c r="H1424" s="163"/>
      <c r="I1424" s="163"/>
      <c r="J1424" s="163"/>
      <c r="K1424" s="163"/>
      <c r="L1424" s="163"/>
      <c r="M1424" s="163"/>
      <c r="N1424" s="163"/>
    </row>
    <row r="1425" spans="2:14" x14ac:dyDescent="0.25">
      <c r="B1425" s="163"/>
      <c r="C1425" s="163"/>
      <c r="D1425" s="163"/>
      <c r="E1425" s="163"/>
      <c r="F1425" s="163"/>
      <c r="G1425" s="163"/>
      <c r="H1425" s="163"/>
      <c r="I1425" s="163"/>
      <c r="J1425" s="163"/>
      <c r="K1425" s="163"/>
      <c r="L1425" s="163"/>
      <c r="M1425" s="163"/>
      <c r="N1425" s="163"/>
    </row>
    <row r="1426" spans="2:14" x14ac:dyDescent="0.25">
      <c r="B1426" s="163"/>
      <c r="C1426" s="163"/>
      <c r="D1426" s="163"/>
      <c r="E1426" s="163"/>
      <c r="F1426" s="163"/>
      <c r="G1426" s="163"/>
      <c r="H1426" s="163"/>
      <c r="I1426" s="163"/>
      <c r="J1426" s="163"/>
      <c r="K1426" s="163"/>
      <c r="L1426" s="163"/>
      <c r="M1426" s="163"/>
      <c r="N1426" s="163"/>
    </row>
    <row r="1427" spans="2:14" x14ac:dyDescent="0.25">
      <c r="B1427" s="163"/>
      <c r="C1427" s="163"/>
      <c r="D1427" s="163"/>
      <c r="E1427" s="163"/>
      <c r="F1427" s="163"/>
      <c r="G1427" s="163"/>
      <c r="H1427" s="163"/>
      <c r="I1427" s="163"/>
      <c r="J1427" s="163"/>
      <c r="K1427" s="163"/>
      <c r="L1427" s="163"/>
      <c r="M1427" s="163"/>
      <c r="N1427" s="163"/>
    </row>
    <row r="1428" spans="2:14" x14ac:dyDescent="0.25">
      <c r="B1428" s="163"/>
      <c r="C1428" s="163"/>
      <c r="D1428" s="163"/>
      <c r="E1428" s="163"/>
      <c r="F1428" s="163"/>
      <c r="G1428" s="163"/>
      <c r="H1428" s="163"/>
      <c r="I1428" s="163"/>
      <c r="J1428" s="163"/>
      <c r="K1428" s="163"/>
      <c r="L1428" s="163"/>
      <c r="M1428" s="163"/>
      <c r="N1428" s="163"/>
    </row>
    <row r="1429" spans="2:14" x14ac:dyDescent="0.25">
      <c r="B1429" s="163"/>
      <c r="C1429" s="163"/>
      <c r="D1429" s="163"/>
      <c r="E1429" s="163"/>
      <c r="F1429" s="163"/>
      <c r="G1429" s="163"/>
      <c r="H1429" s="163"/>
      <c r="I1429" s="163"/>
      <c r="J1429" s="163"/>
      <c r="K1429" s="163"/>
      <c r="L1429" s="163"/>
      <c r="M1429" s="163"/>
      <c r="N1429" s="163"/>
    </row>
    <row r="1430" spans="2:14" x14ac:dyDescent="0.25">
      <c r="B1430" s="163"/>
      <c r="C1430" s="163"/>
      <c r="D1430" s="163"/>
      <c r="E1430" s="163"/>
      <c r="F1430" s="163"/>
      <c r="G1430" s="163"/>
      <c r="H1430" s="163"/>
      <c r="I1430" s="163"/>
      <c r="J1430" s="163"/>
      <c r="K1430" s="163"/>
      <c r="L1430" s="163"/>
      <c r="M1430" s="163"/>
      <c r="N1430" s="163"/>
    </row>
    <row r="1431" spans="2:14" x14ac:dyDescent="0.25">
      <c r="B1431" s="163"/>
      <c r="C1431" s="163"/>
      <c r="D1431" s="163"/>
      <c r="E1431" s="163"/>
      <c r="F1431" s="163"/>
      <c r="G1431" s="163"/>
      <c r="H1431" s="163"/>
      <c r="I1431" s="163"/>
      <c r="J1431" s="163"/>
      <c r="K1431" s="163"/>
      <c r="L1431" s="163"/>
      <c r="M1431" s="163"/>
      <c r="N1431" s="163"/>
    </row>
    <row r="1432" spans="2:14" x14ac:dyDescent="0.25">
      <c r="B1432" s="163"/>
      <c r="C1432" s="163"/>
      <c r="D1432" s="163"/>
      <c r="E1432" s="163"/>
      <c r="F1432" s="163"/>
      <c r="G1432" s="163"/>
      <c r="H1432" s="163"/>
      <c r="I1432" s="163"/>
      <c r="J1432" s="163"/>
      <c r="K1432" s="163"/>
      <c r="L1432" s="163"/>
      <c r="M1432" s="163"/>
      <c r="N1432" s="163"/>
    </row>
    <row r="1433" spans="2:14" x14ac:dyDescent="0.25">
      <c r="B1433" s="163"/>
      <c r="C1433" s="163"/>
      <c r="D1433" s="163"/>
      <c r="E1433" s="163"/>
      <c r="F1433" s="163"/>
      <c r="G1433" s="163"/>
      <c r="H1433" s="163"/>
      <c r="I1433" s="163"/>
      <c r="J1433" s="163"/>
      <c r="K1433" s="163"/>
      <c r="L1433" s="163"/>
      <c r="M1433" s="163"/>
      <c r="N1433" s="163"/>
    </row>
    <row r="1434" spans="2:14" x14ac:dyDescent="0.25">
      <c r="B1434" s="163"/>
      <c r="C1434" s="163"/>
      <c r="D1434" s="163"/>
      <c r="E1434" s="163"/>
      <c r="F1434" s="163"/>
      <c r="G1434" s="163"/>
      <c r="H1434" s="163"/>
      <c r="I1434" s="163"/>
      <c r="J1434" s="163"/>
      <c r="K1434" s="163"/>
      <c r="L1434" s="163"/>
      <c r="M1434" s="163"/>
      <c r="N1434" s="163"/>
    </row>
    <row r="1435" spans="2:14" x14ac:dyDescent="0.25">
      <c r="B1435" s="163"/>
      <c r="C1435" s="163"/>
      <c r="D1435" s="163"/>
      <c r="E1435" s="163"/>
      <c r="F1435" s="163"/>
      <c r="G1435" s="163"/>
      <c r="H1435" s="163"/>
      <c r="I1435" s="163"/>
      <c r="J1435" s="163"/>
      <c r="K1435" s="163"/>
      <c r="L1435" s="163"/>
      <c r="M1435" s="163"/>
      <c r="N1435" s="163"/>
    </row>
    <row r="1436" spans="2:14" x14ac:dyDescent="0.25">
      <c r="B1436" s="163"/>
      <c r="C1436" s="163"/>
      <c r="D1436" s="163"/>
      <c r="E1436" s="163"/>
      <c r="F1436" s="163"/>
      <c r="G1436" s="163"/>
      <c r="H1436" s="163"/>
      <c r="I1436" s="163"/>
      <c r="J1436" s="163"/>
      <c r="K1436" s="163"/>
      <c r="L1436" s="163"/>
      <c r="M1436" s="163"/>
      <c r="N1436" s="163"/>
    </row>
    <row r="1437" spans="2:14" x14ac:dyDescent="0.25">
      <c r="B1437" s="163"/>
      <c r="C1437" s="163"/>
      <c r="D1437" s="163"/>
      <c r="E1437" s="163"/>
      <c r="F1437" s="163"/>
      <c r="G1437" s="163"/>
      <c r="H1437" s="163"/>
      <c r="I1437" s="163"/>
      <c r="J1437" s="163"/>
      <c r="K1437" s="163"/>
      <c r="L1437" s="163"/>
      <c r="M1437" s="163"/>
      <c r="N1437" s="163"/>
    </row>
    <row r="1438" spans="2:14" x14ac:dyDescent="0.25">
      <c r="B1438" s="163"/>
      <c r="C1438" s="163"/>
      <c r="D1438" s="163"/>
      <c r="E1438" s="163"/>
      <c r="F1438" s="163"/>
      <c r="G1438" s="163"/>
      <c r="H1438" s="163"/>
      <c r="I1438" s="163"/>
      <c r="J1438" s="163"/>
      <c r="K1438" s="163"/>
      <c r="L1438" s="163"/>
      <c r="M1438" s="163"/>
      <c r="N1438" s="163"/>
    </row>
    <row r="1439" spans="2:14" x14ac:dyDescent="0.25">
      <c r="B1439" s="163"/>
      <c r="C1439" s="163"/>
      <c r="D1439" s="163"/>
      <c r="E1439" s="163"/>
      <c r="F1439" s="163"/>
      <c r="G1439" s="163"/>
      <c r="H1439" s="163"/>
      <c r="I1439" s="163"/>
      <c r="J1439" s="163"/>
      <c r="K1439" s="163"/>
      <c r="L1439" s="163"/>
      <c r="M1439" s="163"/>
      <c r="N1439" s="163"/>
    </row>
    <row r="1440" spans="2:14" x14ac:dyDescent="0.25">
      <c r="B1440" s="163"/>
      <c r="C1440" s="163"/>
      <c r="D1440" s="163"/>
      <c r="E1440" s="163"/>
      <c r="F1440" s="163"/>
      <c r="G1440" s="163"/>
      <c r="H1440" s="163"/>
      <c r="I1440" s="163"/>
      <c r="J1440" s="163"/>
      <c r="K1440" s="163"/>
      <c r="L1440" s="163"/>
      <c r="M1440" s="163"/>
      <c r="N1440" s="163"/>
    </row>
    <row r="1441" spans="2:14" x14ac:dyDescent="0.25">
      <c r="B1441" s="163"/>
      <c r="C1441" s="163"/>
      <c r="D1441" s="163"/>
      <c r="E1441" s="163"/>
      <c r="F1441" s="163"/>
      <c r="G1441" s="163"/>
      <c r="H1441" s="163"/>
      <c r="I1441" s="163"/>
      <c r="J1441" s="163"/>
      <c r="K1441" s="163"/>
      <c r="L1441" s="163"/>
      <c r="M1441" s="163"/>
      <c r="N1441" s="163"/>
    </row>
    <row r="1442" spans="2:14" x14ac:dyDescent="0.25">
      <c r="B1442" s="163"/>
      <c r="C1442" s="163"/>
      <c r="D1442" s="163"/>
      <c r="E1442" s="163"/>
      <c r="F1442" s="163"/>
      <c r="G1442" s="163"/>
      <c r="H1442" s="163"/>
      <c r="I1442" s="163"/>
      <c r="J1442" s="163"/>
      <c r="K1442" s="163"/>
      <c r="L1442" s="163"/>
      <c r="M1442" s="163"/>
      <c r="N1442" s="163"/>
    </row>
    <row r="1443" spans="2:14" x14ac:dyDescent="0.25">
      <c r="B1443" s="163"/>
      <c r="C1443" s="163"/>
      <c r="D1443" s="163"/>
      <c r="E1443" s="163"/>
      <c r="F1443" s="163"/>
      <c r="G1443" s="163"/>
      <c r="H1443" s="163"/>
      <c r="I1443" s="163"/>
      <c r="J1443" s="163"/>
      <c r="K1443" s="163"/>
      <c r="L1443" s="163"/>
      <c r="M1443" s="163"/>
      <c r="N1443" s="163"/>
    </row>
    <row r="1444" spans="2:14" x14ac:dyDescent="0.25">
      <c r="B1444" s="163"/>
      <c r="C1444" s="163"/>
      <c r="D1444" s="163"/>
      <c r="E1444" s="163"/>
      <c r="F1444" s="163"/>
      <c r="G1444" s="163"/>
      <c r="H1444" s="163"/>
      <c r="I1444" s="163"/>
      <c r="J1444" s="163"/>
      <c r="K1444" s="163"/>
      <c r="L1444" s="163"/>
      <c r="M1444" s="163"/>
      <c r="N1444" s="163"/>
    </row>
    <row r="1445" spans="2:14" x14ac:dyDescent="0.25">
      <c r="B1445" s="163"/>
      <c r="C1445" s="163"/>
      <c r="D1445" s="163"/>
      <c r="E1445" s="163"/>
      <c r="F1445" s="163"/>
      <c r="G1445" s="163"/>
      <c r="H1445" s="163"/>
      <c r="I1445" s="163"/>
      <c r="J1445" s="163"/>
      <c r="K1445" s="163"/>
      <c r="L1445" s="163"/>
      <c r="M1445" s="163"/>
      <c r="N1445" s="163"/>
    </row>
    <row r="1446" spans="2:14" x14ac:dyDescent="0.25">
      <c r="B1446" s="163"/>
      <c r="C1446" s="163"/>
      <c r="D1446" s="163"/>
      <c r="E1446" s="163"/>
      <c r="F1446" s="163"/>
      <c r="G1446" s="163"/>
      <c r="H1446" s="163"/>
      <c r="I1446" s="163"/>
      <c r="J1446" s="163"/>
      <c r="K1446" s="163"/>
      <c r="L1446" s="163"/>
      <c r="M1446" s="163"/>
      <c r="N1446" s="163"/>
    </row>
    <row r="1447" spans="2:14" x14ac:dyDescent="0.25">
      <c r="B1447" s="163"/>
      <c r="C1447" s="163"/>
      <c r="D1447" s="163"/>
      <c r="E1447" s="163"/>
      <c r="F1447" s="163"/>
      <c r="G1447" s="163"/>
      <c r="H1447" s="163"/>
      <c r="I1447" s="163"/>
      <c r="J1447" s="163"/>
      <c r="K1447" s="163"/>
      <c r="L1447" s="163"/>
      <c r="M1447" s="163"/>
      <c r="N1447" s="163"/>
    </row>
    <row r="1448" spans="2:14" x14ac:dyDescent="0.25">
      <c r="B1448" s="163"/>
      <c r="C1448" s="163"/>
      <c r="D1448" s="163"/>
      <c r="E1448" s="163"/>
      <c r="F1448" s="163"/>
      <c r="G1448" s="163"/>
      <c r="H1448" s="163"/>
      <c r="I1448" s="163"/>
      <c r="J1448" s="163"/>
      <c r="K1448" s="163"/>
      <c r="L1448" s="163"/>
      <c r="M1448" s="163"/>
      <c r="N1448" s="163"/>
    </row>
    <row r="1449" spans="2:14" x14ac:dyDescent="0.25">
      <c r="B1449" s="163"/>
      <c r="C1449" s="163"/>
      <c r="D1449" s="163"/>
      <c r="E1449" s="163"/>
      <c r="F1449" s="163"/>
      <c r="G1449" s="163"/>
      <c r="H1449" s="163"/>
      <c r="I1449" s="163"/>
      <c r="J1449" s="163"/>
      <c r="K1449" s="163"/>
      <c r="L1449" s="163"/>
      <c r="M1449" s="163"/>
      <c r="N1449" s="163"/>
    </row>
    <row r="1450" spans="2:14" x14ac:dyDescent="0.25">
      <c r="B1450" s="163"/>
      <c r="C1450" s="163"/>
      <c r="D1450" s="163"/>
      <c r="E1450" s="163"/>
      <c r="F1450" s="163"/>
      <c r="G1450" s="163"/>
      <c r="H1450" s="163"/>
      <c r="I1450" s="163"/>
      <c r="J1450" s="163"/>
      <c r="K1450" s="163"/>
      <c r="L1450" s="163"/>
      <c r="M1450" s="163"/>
      <c r="N1450" s="163"/>
    </row>
    <row r="1451" spans="2:14" x14ac:dyDescent="0.25">
      <c r="B1451" s="163"/>
      <c r="C1451" s="163"/>
      <c r="D1451" s="163"/>
      <c r="E1451" s="163"/>
      <c r="F1451" s="163"/>
      <c r="G1451" s="163"/>
      <c r="H1451" s="163"/>
      <c r="I1451" s="163"/>
      <c r="J1451" s="163"/>
      <c r="K1451" s="163"/>
      <c r="L1451" s="163"/>
      <c r="M1451" s="163"/>
      <c r="N1451" s="163"/>
    </row>
    <row r="1452" spans="2:14" x14ac:dyDescent="0.25">
      <c r="B1452" s="163"/>
      <c r="C1452" s="163"/>
      <c r="D1452" s="163"/>
      <c r="E1452" s="163"/>
      <c r="F1452" s="163"/>
      <c r="G1452" s="163"/>
      <c r="H1452" s="163"/>
      <c r="I1452" s="163"/>
      <c r="J1452" s="163"/>
      <c r="K1452" s="163"/>
      <c r="L1452" s="163"/>
      <c r="M1452" s="163"/>
      <c r="N1452" s="163"/>
    </row>
    <row r="1453" spans="2:14" x14ac:dyDescent="0.25">
      <c r="B1453" s="163"/>
      <c r="C1453" s="163"/>
      <c r="D1453" s="163"/>
      <c r="E1453" s="163"/>
      <c r="F1453" s="163"/>
      <c r="G1453" s="163"/>
      <c r="H1453" s="163"/>
      <c r="I1453" s="163"/>
      <c r="J1453" s="163"/>
      <c r="K1453" s="163"/>
      <c r="L1453" s="163"/>
      <c r="M1453" s="163"/>
      <c r="N1453" s="163"/>
    </row>
    <row r="1454" spans="2:14" x14ac:dyDescent="0.25">
      <c r="B1454" s="163"/>
      <c r="C1454" s="163"/>
      <c r="D1454" s="163"/>
      <c r="E1454" s="163"/>
      <c r="F1454" s="163"/>
      <c r="G1454" s="163"/>
      <c r="H1454" s="163"/>
      <c r="I1454" s="163"/>
      <c r="J1454" s="163"/>
      <c r="K1454" s="163"/>
      <c r="L1454" s="163"/>
      <c r="M1454" s="163"/>
      <c r="N1454" s="163"/>
    </row>
    <row r="1455" spans="2:14" x14ac:dyDescent="0.25">
      <c r="B1455" s="163"/>
      <c r="C1455" s="163"/>
      <c r="D1455" s="163"/>
      <c r="E1455" s="163"/>
      <c r="F1455" s="163"/>
      <c r="G1455" s="163"/>
      <c r="H1455" s="163"/>
      <c r="I1455" s="163"/>
      <c r="J1455" s="163"/>
      <c r="K1455" s="163"/>
      <c r="L1455" s="163"/>
      <c r="M1455" s="163"/>
      <c r="N1455" s="163"/>
    </row>
    <row r="1456" spans="2:14" x14ac:dyDescent="0.25">
      <c r="B1456" s="163"/>
      <c r="C1456" s="163"/>
      <c r="D1456" s="163"/>
      <c r="E1456" s="163"/>
      <c r="F1456" s="163"/>
      <c r="G1456" s="163"/>
      <c r="H1456" s="163"/>
      <c r="I1456" s="163"/>
      <c r="J1456" s="163"/>
      <c r="K1456" s="163"/>
      <c r="L1456" s="163"/>
      <c r="M1456" s="163"/>
      <c r="N1456" s="163"/>
    </row>
    <row r="1457" spans="2:14" x14ac:dyDescent="0.25">
      <c r="B1457" s="163"/>
      <c r="C1457" s="163"/>
      <c r="D1457" s="163"/>
      <c r="E1457" s="163"/>
      <c r="F1457" s="163"/>
      <c r="G1457" s="163"/>
      <c r="H1457" s="163"/>
      <c r="I1457" s="163"/>
      <c r="J1457" s="163"/>
      <c r="K1457" s="163"/>
      <c r="L1457" s="163"/>
      <c r="M1457" s="163"/>
      <c r="N1457" s="163"/>
    </row>
    <row r="1458" spans="2:14" x14ac:dyDescent="0.25">
      <c r="B1458" s="163"/>
      <c r="C1458" s="163"/>
      <c r="D1458" s="163"/>
      <c r="E1458" s="163"/>
      <c r="F1458" s="163"/>
      <c r="G1458" s="163"/>
      <c r="H1458" s="163"/>
      <c r="I1458" s="163"/>
      <c r="J1458" s="163"/>
      <c r="K1458" s="163"/>
      <c r="L1458" s="163"/>
      <c r="M1458" s="163"/>
      <c r="N1458" s="163"/>
    </row>
    <row r="1459" spans="2:14" x14ac:dyDescent="0.25">
      <c r="B1459" s="163"/>
      <c r="C1459" s="163"/>
      <c r="D1459" s="163"/>
      <c r="E1459" s="163"/>
      <c r="F1459" s="163"/>
      <c r="G1459" s="163"/>
      <c r="H1459" s="163"/>
      <c r="I1459" s="163"/>
      <c r="J1459" s="163"/>
      <c r="K1459" s="163"/>
      <c r="L1459" s="163"/>
      <c r="M1459" s="163"/>
      <c r="N1459" s="163"/>
    </row>
    <row r="1460" spans="2:14" x14ac:dyDescent="0.25">
      <c r="B1460" s="163"/>
      <c r="C1460" s="163"/>
      <c r="D1460" s="163"/>
      <c r="E1460" s="163"/>
      <c r="F1460" s="163"/>
      <c r="G1460" s="163"/>
      <c r="H1460" s="163"/>
      <c r="I1460" s="163"/>
      <c r="J1460" s="163"/>
      <c r="K1460" s="163"/>
      <c r="L1460" s="163"/>
      <c r="M1460" s="163"/>
      <c r="N1460" s="163"/>
    </row>
    <row r="1461" spans="2:14" x14ac:dyDescent="0.25">
      <c r="B1461" s="163"/>
      <c r="C1461" s="163"/>
      <c r="D1461" s="163"/>
      <c r="E1461" s="163"/>
      <c r="F1461" s="163"/>
      <c r="G1461" s="163"/>
      <c r="H1461" s="163"/>
      <c r="I1461" s="163"/>
      <c r="J1461" s="163"/>
      <c r="K1461" s="163"/>
      <c r="L1461" s="163"/>
      <c r="M1461" s="163"/>
      <c r="N1461" s="163"/>
    </row>
    <row r="1462" spans="2:14" x14ac:dyDescent="0.25">
      <c r="B1462" s="163"/>
      <c r="C1462" s="163"/>
      <c r="D1462" s="163"/>
      <c r="E1462" s="163"/>
      <c r="F1462" s="163"/>
      <c r="G1462" s="163"/>
      <c r="H1462" s="163"/>
      <c r="I1462" s="163"/>
      <c r="J1462" s="163"/>
      <c r="K1462" s="163"/>
      <c r="L1462" s="163"/>
      <c r="M1462" s="163"/>
      <c r="N1462" s="163"/>
    </row>
    <row r="1463" spans="2:14" x14ac:dyDescent="0.25">
      <c r="B1463" s="163"/>
      <c r="C1463" s="163"/>
      <c r="D1463" s="163"/>
      <c r="E1463" s="163"/>
      <c r="F1463" s="163"/>
      <c r="G1463" s="163"/>
      <c r="H1463" s="163"/>
      <c r="I1463" s="163"/>
      <c r="J1463" s="163"/>
      <c r="K1463" s="163"/>
      <c r="L1463" s="163"/>
      <c r="M1463" s="163"/>
      <c r="N1463" s="163"/>
    </row>
    <row r="1464" spans="2:14" x14ac:dyDescent="0.25">
      <c r="B1464" s="163"/>
      <c r="C1464" s="163"/>
      <c r="D1464" s="163"/>
      <c r="E1464" s="163"/>
      <c r="F1464" s="163"/>
      <c r="G1464" s="163"/>
      <c r="H1464" s="163"/>
      <c r="I1464" s="163"/>
      <c r="J1464" s="163"/>
      <c r="K1464" s="163"/>
      <c r="L1464" s="163"/>
      <c r="M1464" s="163"/>
      <c r="N1464" s="163"/>
    </row>
    <row r="1465" spans="2:14" x14ac:dyDescent="0.25">
      <c r="B1465" s="163"/>
      <c r="C1465" s="163"/>
      <c r="D1465" s="163"/>
      <c r="E1465" s="163"/>
      <c r="F1465" s="163"/>
      <c r="G1465" s="163"/>
      <c r="H1465" s="163"/>
      <c r="I1465" s="163"/>
      <c r="J1465" s="163"/>
      <c r="K1465" s="163"/>
      <c r="L1465" s="163"/>
      <c r="M1465" s="163"/>
      <c r="N1465" s="163"/>
    </row>
    <row r="1466" spans="2:14" x14ac:dyDescent="0.25">
      <c r="B1466" s="163"/>
      <c r="C1466" s="163"/>
      <c r="D1466" s="163"/>
      <c r="E1466" s="163"/>
      <c r="F1466" s="163"/>
      <c r="G1466" s="163"/>
      <c r="H1466" s="163"/>
      <c r="I1466" s="163"/>
      <c r="J1466" s="163"/>
      <c r="K1466" s="163"/>
      <c r="L1466" s="163"/>
      <c r="M1466" s="163"/>
      <c r="N1466" s="163"/>
    </row>
    <row r="1467" spans="2:14" x14ac:dyDescent="0.25">
      <c r="B1467" s="163"/>
      <c r="C1467" s="163"/>
      <c r="D1467" s="163"/>
      <c r="E1467" s="163"/>
      <c r="F1467" s="163"/>
      <c r="G1467" s="163"/>
      <c r="H1467" s="163"/>
      <c r="I1467" s="163"/>
      <c r="J1467" s="163"/>
      <c r="K1467" s="163"/>
      <c r="L1467" s="163"/>
      <c r="M1467" s="163"/>
      <c r="N1467" s="163"/>
    </row>
    <row r="1468" spans="2:14" x14ac:dyDescent="0.25">
      <c r="B1468" s="163"/>
      <c r="C1468" s="163"/>
      <c r="D1468" s="163"/>
      <c r="E1468" s="163"/>
      <c r="F1468" s="163"/>
      <c r="G1468" s="163"/>
      <c r="H1468" s="163"/>
      <c r="I1468" s="163"/>
      <c r="J1468" s="163"/>
      <c r="K1468" s="163"/>
      <c r="L1468" s="163"/>
      <c r="M1468" s="163"/>
      <c r="N1468" s="163"/>
    </row>
    <row r="1469" spans="2:14" x14ac:dyDescent="0.25">
      <c r="B1469" s="163"/>
      <c r="C1469" s="163"/>
      <c r="D1469" s="163"/>
      <c r="E1469" s="163"/>
      <c r="F1469" s="163"/>
      <c r="G1469" s="163"/>
      <c r="H1469" s="163"/>
      <c r="I1469" s="163"/>
      <c r="J1469" s="163"/>
      <c r="K1469" s="163"/>
      <c r="L1469" s="163"/>
      <c r="M1469" s="163"/>
      <c r="N1469" s="163"/>
    </row>
    <row r="1470" spans="2:14" x14ac:dyDescent="0.25">
      <c r="B1470" s="163"/>
      <c r="C1470" s="163"/>
      <c r="D1470" s="163"/>
      <c r="E1470" s="163"/>
      <c r="F1470" s="163"/>
      <c r="G1470" s="163"/>
      <c r="H1470" s="163"/>
      <c r="I1470" s="163"/>
      <c r="J1470" s="163"/>
      <c r="K1470" s="163"/>
      <c r="L1470" s="163"/>
      <c r="M1470" s="163"/>
      <c r="N1470" s="163"/>
    </row>
    <row r="1471" spans="2:14" x14ac:dyDescent="0.25">
      <c r="B1471" s="163"/>
      <c r="C1471" s="163"/>
      <c r="D1471" s="163"/>
      <c r="E1471" s="163"/>
      <c r="F1471" s="163"/>
      <c r="G1471" s="163"/>
      <c r="H1471" s="163"/>
      <c r="I1471" s="163"/>
      <c r="J1471" s="163"/>
      <c r="K1471" s="163"/>
      <c r="L1471" s="163"/>
      <c r="M1471" s="163"/>
      <c r="N1471" s="163"/>
    </row>
    <row r="1472" spans="2:14" x14ac:dyDescent="0.25">
      <c r="B1472" s="163"/>
      <c r="C1472" s="163"/>
      <c r="D1472" s="163"/>
      <c r="E1472" s="163"/>
      <c r="F1472" s="163"/>
      <c r="G1472" s="163"/>
      <c r="H1472" s="163"/>
      <c r="I1472" s="163"/>
      <c r="J1472" s="163"/>
      <c r="K1472" s="163"/>
      <c r="L1472" s="163"/>
      <c r="M1472" s="163"/>
      <c r="N1472" s="163"/>
    </row>
    <row r="1473" spans="2:14" x14ac:dyDescent="0.25">
      <c r="B1473" s="163"/>
      <c r="C1473" s="163"/>
      <c r="D1473" s="163"/>
      <c r="E1473" s="163"/>
      <c r="F1473" s="163"/>
      <c r="G1473" s="163"/>
      <c r="H1473" s="163"/>
      <c r="I1473" s="163"/>
      <c r="J1473" s="163"/>
      <c r="K1473" s="163"/>
      <c r="L1473" s="163"/>
      <c r="M1473" s="163"/>
      <c r="N1473" s="163"/>
    </row>
    <row r="1474" spans="2:14" x14ac:dyDescent="0.25">
      <c r="B1474" s="163"/>
      <c r="C1474" s="163"/>
      <c r="D1474" s="163"/>
      <c r="E1474" s="163"/>
      <c r="F1474" s="163"/>
      <c r="G1474" s="163"/>
      <c r="H1474" s="163"/>
      <c r="I1474" s="163"/>
      <c r="J1474" s="163"/>
      <c r="K1474" s="163"/>
      <c r="L1474" s="163"/>
      <c r="M1474" s="163"/>
      <c r="N1474" s="163"/>
    </row>
    <row r="1475" spans="2:14" x14ac:dyDescent="0.25">
      <c r="B1475" s="163"/>
      <c r="C1475" s="163"/>
      <c r="D1475" s="163"/>
      <c r="E1475" s="163"/>
      <c r="F1475" s="163"/>
      <c r="G1475" s="163"/>
      <c r="H1475" s="163"/>
      <c r="I1475" s="163"/>
      <c r="J1475" s="163"/>
      <c r="K1475" s="163"/>
      <c r="L1475" s="163"/>
      <c r="M1475" s="163"/>
      <c r="N1475" s="163"/>
    </row>
    <row r="1476" spans="2:14" x14ac:dyDescent="0.25">
      <c r="B1476" s="163"/>
      <c r="C1476" s="163"/>
      <c r="D1476" s="163"/>
      <c r="E1476" s="163"/>
      <c r="F1476" s="163"/>
      <c r="G1476" s="163"/>
      <c r="H1476" s="163"/>
      <c r="I1476" s="163"/>
      <c r="J1476" s="163"/>
      <c r="K1476" s="163"/>
      <c r="L1476" s="163"/>
      <c r="M1476" s="163"/>
      <c r="N1476" s="163"/>
    </row>
    <row r="1477" spans="2:14" x14ac:dyDescent="0.25">
      <c r="B1477" s="163"/>
      <c r="C1477" s="163"/>
      <c r="D1477" s="163"/>
      <c r="E1477" s="163"/>
      <c r="F1477" s="163"/>
      <c r="G1477" s="163"/>
      <c r="H1477" s="163"/>
      <c r="I1477" s="163"/>
      <c r="J1477" s="163"/>
      <c r="K1477" s="163"/>
      <c r="L1477" s="163"/>
      <c r="M1477" s="163"/>
      <c r="N1477" s="163"/>
    </row>
    <row r="1478" spans="2:14" x14ac:dyDescent="0.25">
      <c r="B1478" s="163"/>
      <c r="C1478" s="163"/>
      <c r="D1478" s="163"/>
      <c r="E1478" s="163"/>
      <c r="F1478" s="163"/>
      <c r="G1478" s="163"/>
      <c r="H1478" s="163"/>
      <c r="I1478" s="163"/>
      <c r="J1478" s="163"/>
      <c r="K1478" s="163"/>
      <c r="L1478" s="163"/>
      <c r="M1478" s="163"/>
      <c r="N1478" s="163"/>
    </row>
    <row r="1479" spans="2:14" x14ac:dyDescent="0.25">
      <c r="B1479" s="163"/>
      <c r="C1479" s="163"/>
      <c r="D1479" s="163"/>
      <c r="E1479" s="163"/>
      <c r="F1479" s="163"/>
      <c r="G1479" s="163"/>
      <c r="H1479" s="163"/>
      <c r="I1479" s="163"/>
      <c r="J1479" s="163"/>
      <c r="K1479" s="163"/>
      <c r="L1479" s="163"/>
      <c r="M1479" s="163"/>
      <c r="N1479" s="163"/>
    </row>
    <row r="1480" spans="2:14" x14ac:dyDescent="0.25">
      <c r="B1480" s="163"/>
      <c r="C1480" s="163"/>
      <c r="D1480" s="163"/>
      <c r="E1480" s="163"/>
      <c r="F1480" s="163"/>
      <c r="G1480" s="163"/>
      <c r="H1480" s="163"/>
      <c r="I1480" s="163"/>
      <c r="J1480" s="163"/>
      <c r="K1480" s="163"/>
      <c r="L1480" s="163"/>
      <c r="M1480" s="163"/>
      <c r="N1480" s="163"/>
    </row>
    <row r="1481" spans="2:14" x14ac:dyDescent="0.25">
      <c r="B1481" s="163"/>
      <c r="C1481" s="163"/>
      <c r="D1481" s="163"/>
      <c r="E1481" s="163"/>
      <c r="F1481" s="163"/>
      <c r="G1481" s="163"/>
      <c r="H1481" s="163"/>
      <c r="I1481" s="163"/>
      <c r="J1481" s="163"/>
      <c r="K1481" s="163"/>
      <c r="L1481" s="163"/>
      <c r="M1481" s="163"/>
      <c r="N1481" s="163"/>
    </row>
    <row r="1482" spans="2:14" x14ac:dyDescent="0.25">
      <c r="B1482" s="163"/>
      <c r="C1482" s="163"/>
      <c r="D1482" s="163"/>
      <c r="E1482" s="163"/>
      <c r="F1482" s="163"/>
      <c r="G1482" s="163"/>
      <c r="H1482" s="163"/>
      <c r="I1482" s="163"/>
      <c r="J1482" s="163"/>
      <c r="K1482" s="163"/>
      <c r="L1482" s="163"/>
      <c r="M1482" s="163"/>
      <c r="N1482" s="163"/>
    </row>
    <row r="1483" spans="2:14" x14ac:dyDescent="0.25">
      <c r="B1483" s="163"/>
      <c r="C1483" s="163"/>
      <c r="D1483" s="163"/>
      <c r="E1483" s="163"/>
      <c r="F1483" s="163"/>
      <c r="G1483" s="163"/>
      <c r="H1483" s="163"/>
      <c r="I1483" s="163"/>
      <c r="J1483" s="163"/>
      <c r="K1483" s="163"/>
      <c r="L1483" s="163"/>
      <c r="M1483" s="163"/>
      <c r="N1483" s="163"/>
    </row>
    <row r="1484" spans="2:14" x14ac:dyDescent="0.25">
      <c r="B1484" s="163"/>
      <c r="C1484" s="163"/>
      <c r="D1484" s="163"/>
      <c r="E1484" s="163"/>
      <c r="F1484" s="163"/>
      <c r="G1484" s="163"/>
      <c r="H1484" s="163"/>
      <c r="I1484" s="163"/>
      <c r="J1484" s="163"/>
      <c r="K1484" s="163"/>
      <c r="L1484" s="163"/>
      <c r="M1484" s="163"/>
      <c r="N1484" s="163"/>
    </row>
    <row r="1485" spans="2:14" x14ac:dyDescent="0.25">
      <c r="B1485" s="163"/>
      <c r="C1485" s="163"/>
      <c r="D1485" s="163"/>
      <c r="E1485" s="163"/>
      <c r="F1485" s="163"/>
      <c r="G1485" s="163"/>
      <c r="H1485" s="163"/>
      <c r="I1485" s="163"/>
      <c r="J1485" s="163"/>
      <c r="K1485" s="163"/>
      <c r="L1485" s="163"/>
      <c r="M1485" s="163"/>
      <c r="N1485" s="163"/>
    </row>
    <row r="1486" spans="2:14" x14ac:dyDescent="0.25">
      <c r="B1486" s="163"/>
      <c r="C1486" s="163"/>
      <c r="D1486" s="163"/>
      <c r="E1486" s="163"/>
      <c r="F1486" s="163"/>
      <c r="G1486" s="163"/>
      <c r="H1486" s="163"/>
      <c r="I1486" s="163"/>
      <c r="J1486" s="163"/>
      <c r="K1486" s="163"/>
      <c r="L1486" s="163"/>
      <c r="M1486" s="163"/>
      <c r="N1486" s="163"/>
    </row>
    <row r="1487" spans="2:14" x14ac:dyDescent="0.25">
      <c r="B1487" s="163"/>
      <c r="C1487" s="163"/>
      <c r="D1487" s="163"/>
      <c r="E1487" s="163"/>
      <c r="F1487" s="163"/>
      <c r="G1487" s="163"/>
      <c r="H1487" s="163"/>
      <c r="I1487" s="163"/>
      <c r="J1487" s="163"/>
      <c r="K1487" s="163"/>
      <c r="L1487" s="163"/>
      <c r="M1487" s="163"/>
      <c r="N1487" s="163"/>
    </row>
    <row r="1488" spans="2:14" x14ac:dyDescent="0.25">
      <c r="B1488" s="163"/>
      <c r="C1488" s="163"/>
      <c r="D1488" s="163"/>
      <c r="E1488" s="163"/>
      <c r="F1488" s="163"/>
      <c r="G1488" s="163"/>
      <c r="H1488" s="163"/>
      <c r="I1488" s="163"/>
      <c r="J1488" s="163"/>
      <c r="K1488" s="163"/>
      <c r="L1488" s="163"/>
      <c r="M1488" s="163"/>
      <c r="N1488" s="163"/>
    </row>
    <row r="1489" spans="2:14" x14ac:dyDescent="0.25">
      <c r="B1489" s="163"/>
      <c r="C1489" s="163"/>
      <c r="D1489" s="163"/>
      <c r="E1489" s="163"/>
      <c r="F1489" s="163"/>
      <c r="G1489" s="163"/>
      <c r="H1489" s="163"/>
      <c r="I1489" s="163"/>
      <c r="J1489" s="163"/>
      <c r="K1489" s="163"/>
      <c r="L1489" s="163"/>
      <c r="M1489" s="163"/>
      <c r="N1489" s="163"/>
    </row>
    <row r="1490" spans="2:14" x14ac:dyDescent="0.25">
      <c r="B1490" s="163"/>
      <c r="C1490" s="163"/>
      <c r="D1490" s="163"/>
      <c r="E1490" s="163"/>
      <c r="F1490" s="163"/>
      <c r="G1490" s="163"/>
      <c r="H1490" s="163"/>
      <c r="I1490" s="163"/>
      <c r="J1490" s="163"/>
      <c r="K1490" s="163"/>
      <c r="L1490" s="163"/>
      <c r="M1490" s="163"/>
      <c r="N1490" s="163"/>
    </row>
    <row r="1491" spans="2:14" x14ac:dyDescent="0.25">
      <c r="B1491" s="163"/>
      <c r="C1491" s="163"/>
      <c r="D1491" s="163"/>
      <c r="E1491" s="163"/>
      <c r="F1491" s="163"/>
      <c r="G1491" s="163"/>
      <c r="H1491" s="163"/>
      <c r="I1491" s="163"/>
      <c r="J1491" s="163"/>
      <c r="K1491" s="163"/>
      <c r="L1491" s="163"/>
      <c r="M1491" s="163"/>
      <c r="N1491" s="163"/>
    </row>
    <row r="1492" spans="2:14" x14ac:dyDescent="0.25">
      <c r="B1492" s="163"/>
      <c r="C1492" s="163"/>
      <c r="D1492" s="163"/>
      <c r="E1492" s="163"/>
      <c r="F1492" s="163"/>
      <c r="G1492" s="163"/>
      <c r="H1492" s="163"/>
      <c r="I1492" s="163"/>
      <c r="J1492" s="163"/>
      <c r="K1492" s="163"/>
      <c r="L1492" s="163"/>
      <c r="M1492" s="163"/>
      <c r="N1492" s="163"/>
    </row>
    <row r="1493" spans="2:14" x14ac:dyDescent="0.25">
      <c r="B1493" s="163"/>
      <c r="C1493" s="163"/>
      <c r="D1493" s="163"/>
      <c r="E1493" s="163"/>
      <c r="F1493" s="163"/>
      <c r="G1493" s="163"/>
      <c r="H1493" s="163"/>
      <c r="I1493" s="163"/>
      <c r="J1493" s="163"/>
      <c r="K1493" s="163"/>
      <c r="L1493" s="163"/>
      <c r="M1493" s="163"/>
      <c r="N1493" s="163"/>
    </row>
    <row r="1494" spans="2:14" x14ac:dyDescent="0.25">
      <c r="B1494" s="163"/>
      <c r="C1494" s="163"/>
      <c r="D1494" s="163"/>
      <c r="E1494" s="163"/>
      <c r="F1494" s="163"/>
      <c r="G1494" s="163"/>
      <c r="H1494" s="163"/>
      <c r="I1494" s="163"/>
      <c r="J1494" s="163"/>
      <c r="K1494" s="163"/>
      <c r="L1494" s="163"/>
      <c r="M1494" s="163"/>
      <c r="N1494" s="163"/>
    </row>
    <row r="1495" spans="2:14" x14ac:dyDescent="0.25">
      <c r="B1495" s="163"/>
      <c r="C1495" s="163"/>
      <c r="D1495" s="163"/>
      <c r="E1495" s="163"/>
      <c r="F1495" s="163"/>
      <c r="G1495" s="163"/>
      <c r="H1495" s="163"/>
      <c r="I1495" s="163"/>
      <c r="J1495" s="163"/>
      <c r="K1495" s="163"/>
      <c r="L1495" s="163"/>
      <c r="M1495" s="163"/>
      <c r="N1495" s="163"/>
    </row>
    <row r="1496" spans="2:14" x14ac:dyDescent="0.25">
      <c r="B1496" s="163"/>
      <c r="C1496" s="163"/>
      <c r="D1496" s="163"/>
      <c r="E1496" s="163"/>
      <c r="F1496" s="163"/>
      <c r="G1496" s="163"/>
      <c r="H1496" s="163"/>
      <c r="I1496" s="163"/>
      <c r="J1496" s="163"/>
      <c r="K1496" s="163"/>
      <c r="L1496" s="163"/>
      <c r="M1496" s="163"/>
      <c r="N1496" s="163"/>
    </row>
    <row r="1497" spans="2:14" x14ac:dyDescent="0.25">
      <c r="B1497" s="163"/>
      <c r="C1497" s="163"/>
      <c r="D1497" s="163"/>
      <c r="E1497" s="163"/>
      <c r="F1497" s="163"/>
      <c r="G1497" s="163"/>
      <c r="H1497" s="163"/>
      <c r="I1497" s="163"/>
      <c r="J1497" s="163"/>
      <c r="K1497" s="163"/>
      <c r="L1497" s="163"/>
      <c r="M1497" s="163"/>
      <c r="N1497" s="163"/>
    </row>
    <row r="1498" spans="2:14" x14ac:dyDescent="0.25">
      <c r="B1498" s="163"/>
      <c r="C1498" s="163"/>
      <c r="D1498" s="163"/>
      <c r="E1498" s="163"/>
      <c r="F1498" s="163"/>
      <c r="G1498" s="163"/>
      <c r="H1498" s="163"/>
      <c r="I1498" s="163"/>
      <c r="J1498" s="163"/>
      <c r="K1498" s="163"/>
      <c r="L1498" s="163"/>
      <c r="M1498" s="163"/>
      <c r="N1498" s="163"/>
    </row>
    <row r="1499" spans="2:14" x14ac:dyDescent="0.25">
      <c r="B1499" s="163"/>
      <c r="C1499" s="163"/>
      <c r="D1499" s="163"/>
      <c r="E1499" s="163"/>
      <c r="F1499" s="163"/>
      <c r="G1499" s="163"/>
      <c r="H1499" s="163"/>
      <c r="I1499" s="163"/>
      <c r="J1499" s="163"/>
      <c r="K1499" s="163"/>
      <c r="L1499" s="163"/>
      <c r="M1499" s="163"/>
      <c r="N1499" s="163"/>
    </row>
    <row r="1500" spans="2:14" x14ac:dyDescent="0.25">
      <c r="B1500" s="163"/>
      <c r="C1500" s="163"/>
      <c r="D1500" s="163"/>
      <c r="E1500" s="163"/>
      <c r="F1500" s="163"/>
      <c r="G1500" s="163"/>
      <c r="H1500" s="163"/>
      <c r="I1500" s="163"/>
      <c r="J1500" s="163"/>
      <c r="K1500" s="163"/>
      <c r="L1500" s="163"/>
      <c r="M1500" s="163"/>
      <c r="N1500" s="163"/>
    </row>
    <row r="1501" spans="2:14" x14ac:dyDescent="0.25">
      <c r="B1501" s="163"/>
      <c r="C1501" s="163"/>
      <c r="D1501" s="163"/>
      <c r="E1501" s="163"/>
      <c r="F1501" s="163"/>
      <c r="G1501" s="163"/>
      <c r="H1501" s="163"/>
      <c r="I1501" s="163"/>
      <c r="J1501" s="163"/>
      <c r="K1501" s="163"/>
      <c r="L1501" s="163"/>
      <c r="M1501" s="163"/>
      <c r="N1501" s="163"/>
    </row>
    <row r="1502" spans="2:14" x14ac:dyDescent="0.25">
      <c r="B1502" s="163"/>
      <c r="C1502" s="163"/>
      <c r="D1502" s="163"/>
      <c r="E1502" s="163"/>
      <c r="F1502" s="163"/>
      <c r="G1502" s="163"/>
      <c r="H1502" s="163"/>
      <c r="I1502" s="163"/>
      <c r="J1502" s="163"/>
      <c r="K1502" s="163"/>
      <c r="L1502" s="163"/>
      <c r="M1502" s="163"/>
      <c r="N1502" s="163"/>
    </row>
    <row r="1503" spans="2:14" x14ac:dyDescent="0.25">
      <c r="B1503" s="163"/>
      <c r="C1503" s="163"/>
      <c r="D1503" s="163"/>
      <c r="E1503" s="163"/>
      <c r="F1503" s="163"/>
      <c r="G1503" s="163"/>
      <c r="H1503" s="163"/>
      <c r="I1503" s="163"/>
      <c r="J1503" s="163"/>
      <c r="K1503" s="163"/>
      <c r="L1503" s="163"/>
      <c r="M1503" s="163"/>
      <c r="N1503" s="163"/>
    </row>
    <row r="1504" spans="2:14" x14ac:dyDescent="0.25">
      <c r="B1504" s="163"/>
      <c r="C1504" s="163"/>
      <c r="D1504" s="163"/>
      <c r="E1504" s="163"/>
      <c r="F1504" s="163"/>
      <c r="G1504" s="163"/>
      <c r="H1504" s="163"/>
      <c r="I1504" s="163"/>
      <c r="J1504" s="163"/>
      <c r="K1504" s="163"/>
      <c r="L1504" s="163"/>
      <c r="M1504" s="163"/>
      <c r="N1504" s="163"/>
    </row>
    <row r="1505" spans="2:14" x14ac:dyDescent="0.25">
      <c r="B1505" s="163"/>
      <c r="C1505" s="163"/>
      <c r="D1505" s="163"/>
      <c r="E1505" s="163"/>
      <c r="F1505" s="163"/>
      <c r="G1505" s="163"/>
      <c r="H1505" s="163"/>
      <c r="I1505" s="163"/>
      <c r="J1505" s="163"/>
      <c r="K1505" s="163"/>
      <c r="L1505" s="163"/>
      <c r="M1505" s="163"/>
      <c r="N1505" s="163"/>
    </row>
    <row r="1506" spans="2:14" x14ac:dyDescent="0.25">
      <c r="B1506" s="163"/>
      <c r="C1506" s="163"/>
      <c r="D1506" s="163"/>
      <c r="E1506" s="163"/>
      <c r="F1506" s="163"/>
      <c r="G1506" s="163"/>
      <c r="H1506" s="163"/>
      <c r="I1506" s="163"/>
      <c r="J1506" s="163"/>
      <c r="K1506" s="163"/>
      <c r="L1506" s="163"/>
      <c r="M1506" s="163"/>
      <c r="N1506" s="163"/>
    </row>
    <row r="1507" spans="2:14" x14ac:dyDescent="0.25">
      <c r="B1507" s="163"/>
      <c r="C1507" s="163"/>
      <c r="D1507" s="163"/>
      <c r="E1507" s="163"/>
      <c r="F1507" s="163"/>
      <c r="G1507" s="163"/>
      <c r="H1507" s="163"/>
      <c r="I1507" s="163"/>
      <c r="J1507" s="163"/>
      <c r="K1507" s="163"/>
      <c r="L1507" s="163"/>
      <c r="M1507" s="163"/>
      <c r="N1507" s="163"/>
    </row>
    <row r="1508" spans="2:14" x14ac:dyDescent="0.25">
      <c r="B1508" s="163"/>
      <c r="C1508" s="163"/>
      <c r="D1508" s="163"/>
      <c r="E1508" s="163"/>
      <c r="F1508" s="163"/>
      <c r="G1508" s="163"/>
      <c r="H1508" s="163"/>
      <c r="I1508" s="163"/>
      <c r="J1508" s="163"/>
      <c r="K1508" s="163"/>
      <c r="L1508" s="163"/>
      <c r="M1508" s="163"/>
      <c r="N1508" s="163"/>
    </row>
    <row r="1509" spans="2:14" x14ac:dyDescent="0.25">
      <c r="B1509" s="163"/>
      <c r="C1509" s="163"/>
      <c r="D1509" s="163"/>
      <c r="E1509" s="163"/>
      <c r="F1509" s="163"/>
      <c r="G1509" s="163"/>
      <c r="H1509" s="163"/>
      <c r="I1509" s="163"/>
      <c r="J1509" s="163"/>
      <c r="K1509" s="163"/>
      <c r="L1509" s="163"/>
      <c r="M1509" s="163"/>
      <c r="N1509" s="163"/>
    </row>
    <row r="1510" spans="2:14" x14ac:dyDescent="0.25">
      <c r="B1510" s="163"/>
      <c r="C1510" s="163"/>
      <c r="D1510" s="163"/>
      <c r="E1510" s="163"/>
      <c r="F1510" s="163"/>
      <c r="G1510" s="163"/>
      <c r="H1510" s="163"/>
      <c r="I1510" s="163"/>
      <c r="J1510" s="163"/>
      <c r="K1510" s="163"/>
      <c r="L1510" s="163"/>
      <c r="M1510" s="163"/>
      <c r="N1510" s="163"/>
    </row>
    <row r="1511" spans="2:14" x14ac:dyDescent="0.25">
      <c r="B1511" s="163"/>
      <c r="C1511" s="163"/>
      <c r="D1511" s="163"/>
      <c r="E1511" s="163"/>
      <c r="F1511" s="163"/>
      <c r="G1511" s="163"/>
      <c r="H1511" s="163"/>
      <c r="I1511" s="163"/>
      <c r="J1511" s="163"/>
      <c r="K1511" s="163"/>
      <c r="L1511" s="163"/>
      <c r="M1511" s="163"/>
      <c r="N1511" s="163"/>
    </row>
    <row r="1512" spans="2:14" x14ac:dyDescent="0.25">
      <c r="B1512" s="163"/>
      <c r="C1512" s="163"/>
      <c r="D1512" s="163"/>
      <c r="E1512" s="163"/>
      <c r="F1512" s="163"/>
      <c r="G1512" s="163"/>
      <c r="H1512" s="163"/>
      <c r="I1512" s="163"/>
      <c r="J1512" s="163"/>
      <c r="K1512" s="163"/>
      <c r="L1512" s="163"/>
      <c r="M1512" s="163"/>
      <c r="N1512" s="163"/>
    </row>
    <row r="1513" spans="2:14" x14ac:dyDescent="0.25">
      <c r="B1513" s="163"/>
      <c r="C1513" s="163"/>
      <c r="D1513" s="163"/>
      <c r="E1513" s="163"/>
      <c r="F1513" s="163"/>
      <c r="G1513" s="163"/>
      <c r="H1513" s="163"/>
      <c r="I1513" s="163"/>
      <c r="J1513" s="163"/>
      <c r="K1513" s="163"/>
      <c r="L1513" s="163"/>
      <c r="M1513" s="163"/>
      <c r="N1513" s="163"/>
    </row>
    <row r="1514" spans="2:14" x14ac:dyDescent="0.25">
      <c r="B1514" s="163"/>
      <c r="C1514" s="163"/>
      <c r="D1514" s="163"/>
      <c r="E1514" s="163"/>
      <c r="F1514" s="163"/>
      <c r="G1514" s="163"/>
      <c r="H1514" s="163"/>
      <c r="I1514" s="163"/>
      <c r="J1514" s="163"/>
      <c r="K1514" s="163"/>
      <c r="L1514" s="163"/>
      <c r="M1514" s="163"/>
      <c r="N1514" s="163"/>
    </row>
    <row r="1515" spans="2:14" x14ac:dyDescent="0.25">
      <c r="B1515" s="163"/>
      <c r="C1515" s="163"/>
      <c r="D1515" s="163"/>
      <c r="E1515" s="163"/>
      <c r="F1515" s="163"/>
      <c r="G1515" s="163"/>
      <c r="H1515" s="163"/>
      <c r="I1515" s="163"/>
      <c r="J1515" s="163"/>
      <c r="K1515" s="163"/>
      <c r="L1515" s="163"/>
      <c r="M1515" s="163"/>
      <c r="N1515" s="163"/>
    </row>
    <row r="1516" spans="2:14" x14ac:dyDescent="0.25">
      <c r="B1516" s="163"/>
      <c r="C1516" s="163"/>
      <c r="D1516" s="163"/>
      <c r="E1516" s="163"/>
      <c r="F1516" s="163"/>
      <c r="G1516" s="163"/>
      <c r="H1516" s="163"/>
      <c r="I1516" s="163"/>
      <c r="J1516" s="163"/>
      <c r="K1516" s="163"/>
      <c r="L1516" s="163"/>
      <c r="M1516" s="163"/>
      <c r="N1516" s="163"/>
    </row>
    <row r="1517" spans="2:14" x14ac:dyDescent="0.25">
      <c r="B1517" s="163"/>
      <c r="C1517" s="163"/>
      <c r="D1517" s="163"/>
      <c r="E1517" s="163"/>
      <c r="F1517" s="163"/>
      <c r="G1517" s="163"/>
      <c r="H1517" s="163"/>
      <c r="I1517" s="163"/>
      <c r="J1517" s="163"/>
      <c r="K1517" s="163"/>
      <c r="L1517" s="163"/>
      <c r="M1517" s="163"/>
      <c r="N1517" s="163"/>
    </row>
    <row r="1518" spans="2:14" x14ac:dyDescent="0.25">
      <c r="B1518" s="163"/>
      <c r="C1518" s="163"/>
      <c r="D1518" s="163"/>
      <c r="E1518" s="163"/>
      <c r="F1518" s="163"/>
      <c r="G1518" s="163"/>
      <c r="H1518" s="163"/>
      <c r="I1518" s="163"/>
      <c r="J1518" s="163"/>
      <c r="K1518" s="163"/>
      <c r="L1518" s="163"/>
      <c r="M1518" s="163"/>
      <c r="N1518" s="163"/>
    </row>
    <row r="1519" spans="2:14" x14ac:dyDescent="0.25">
      <c r="B1519" s="163"/>
      <c r="C1519" s="163"/>
      <c r="D1519" s="163"/>
      <c r="E1519" s="163"/>
      <c r="F1519" s="163"/>
      <c r="G1519" s="163"/>
      <c r="H1519" s="163"/>
      <c r="I1519" s="163"/>
      <c r="J1519" s="163"/>
      <c r="K1519" s="163"/>
      <c r="L1519" s="163"/>
      <c r="M1519" s="163"/>
      <c r="N1519" s="163"/>
    </row>
    <row r="1520" spans="2:14" x14ac:dyDescent="0.25">
      <c r="B1520" s="163"/>
      <c r="C1520" s="163"/>
      <c r="D1520" s="163"/>
      <c r="E1520" s="163"/>
      <c r="F1520" s="163"/>
      <c r="G1520" s="163"/>
      <c r="H1520" s="163"/>
      <c r="I1520" s="163"/>
      <c r="J1520" s="163"/>
      <c r="K1520" s="163"/>
      <c r="L1520" s="163"/>
      <c r="M1520" s="163"/>
      <c r="N1520" s="163"/>
    </row>
    <row r="1521" spans="2:14" x14ac:dyDescent="0.25">
      <c r="B1521" s="163"/>
      <c r="C1521" s="163"/>
      <c r="D1521" s="163"/>
      <c r="E1521" s="163"/>
      <c r="F1521" s="163"/>
      <c r="G1521" s="163"/>
      <c r="H1521" s="163"/>
      <c r="I1521" s="163"/>
      <c r="J1521" s="163"/>
      <c r="K1521" s="163"/>
      <c r="L1521" s="163"/>
      <c r="M1521" s="163"/>
      <c r="N1521" s="163"/>
    </row>
    <row r="1522" spans="2:14" x14ac:dyDescent="0.25">
      <c r="B1522" s="163"/>
      <c r="C1522" s="163"/>
      <c r="D1522" s="163"/>
      <c r="E1522" s="163"/>
      <c r="F1522" s="163"/>
      <c r="G1522" s="163"/>
      <c r="H1522" s="163"/>
      <c r="I1522" s="163"/>
      <c r="J1522" s="163"/>
      <c r="K1522" s="163"/>
      <c r="L1522" s="163"/>
      <c r="M1522" s="163"/>
      <c r="N1522" s="163"/>
    </row>
    <row r="1523" spans="2:14" x14ac:dyDescent="0.25">
      <c r="B1523" s="163"/>
      <c r="C1523" s="163"/>
      <c r="D1523" s="163"/>
      <c r="E1523" s="163"/>
      <c r="F1523" s="163"/>
      <c r="G1523" s="163"/>
      <c r="H1523" s="163"/>
      <c r="I1523" s="163"/>
      <c r="J1523" s="163"/>
      <c r="K1523" s="163"/>
      <c r="L1523" s="163"/>
      <c r="M1523" s="163"/>
      <c r="N1523" s="163"/>
    </row>
    <row r="1524" spans="2:14" x14ac:dyDescent="0.25">
      <c r="B1524" s="163"/>
      <c r="C1524" s="163"/>
      <c r="D1524" s="163"/>
      <c r="E1524" s="163"/>
      <c r="F1524" s="163"/>
      <c r="G1524" s="163"/>
      <c r="H1524" s="163"/>
      <c r="I1524" s="163"/>
      <c r="J1524" s="163"/>
      <c r="K1524" s="163"/>
      <c r="L1524" s="163"/>
      <c r="M1524" s="163"/>
      <c r="N1524" s="163"/>
    </row>
    <row r="1525" spans="2:14" x14ac:dyDescent="0.25">
      <c r="B1525" s="163"/>
      <c r="C1525" s="163"/>
      <c r="D1525" s="163"/>
      <c r="E1525" s="163"/>
      <c r="F1525" s="163"/>
      <c r="G1525" s="163"/>
      <c r="H1525" s="163"/>
      <c r="I1525" s="163"/>
      <c r="J1525" s="163"/>
      <c r="K1525" s="163"/>
      <c r="L1525" s="163"/>
      <c r="M1525" s="163"/>
      <c r="N1525" s="163"/>
    </row>
    <row r="1526" spans="2:14" x14ac:dyDescent="0.25">
      <c r="B1526" s="163"/>
      <c r="C1526" s="163"/>
      <c r="D1526" s="163"/>
      <c r="E1526" s="163"/>
      <c r="F1526" s="163"/>
      <c r="G1526" s="163"/>
      <c r="H1526" s="163"/>
      <c r="I1526" s="163"/>
      <c r="J1526" s="163"/>
      <c r="K1526" s="163"/>
      <c r="L1526" s="163"/>
      <c r="M1526" s="163"/>
      <c r="N1526" s="163"/>
    </row>
    <row r="1527" spans="2:14" x14ac:dyDescent="0.25">
      <c r="B1527" s="163"/>
      <c r="C1527" s="163"/>
      <c r="D1527" s="163"/>
      <c r="E1527" s="163"/>
      <c r="F1527" s="163"/>
      <c r="G1527" s="163"/>
      <c r="H1527" s="163"/>
      <c r="I1527" s="163"/>
      <c r="J1527" s="163"/>
      <c r="K1527" s="163"/>
      <c r="L1527" s="163"/>
      <c r="M1527" s="163"/>
      <c r="N1527" s="163"/>
    </row>
    <row r="1528" spans="2:14" x14ac:dyDescent="0.25">
      <c r="B1528" s="163"/>
      <c r="C1528" s="163"/>
      <c r="D1528" s="163"/>
      <c r="E1528" s="163"/>
      <c r="F1528" s="163"/>
      <c r="G1528" s="163"/>
      <c r="H1528" s="163"/>
      <c r="I1528" s="163"/>
      <c r="J1528" s="163"/>
      <c r="K1528" s="163"/>
      <c r="L1528" s="163"/>
      <c r="M1528" s="163"/>
      <c r="N1528" s="163"/>
    </row>
    <row r="1529" spans="2:14" x14ac:dyDescent="0.25">
      <c r="B1529" s="163"/>
      <c r="C1529" s="163"/>
      <c r="D1529" s="163"/>
      <c r="E1529" s="163"/>
      <c r="F1529" s="163"/>
      <c r="G1529" s="163"/>
      <c r="H1529" s="163"/>
      <c r="I1529" s="163"/>
      <c r="J1529" s="163"/>
      <c r="K1529" s="163"/>
      <c r="L1529" s="163"/>
      <c r="M1529" s="163"/>
      <c r="N1529" s="163"/>
    </row>
    <row r="1530" spans="2:14" x14ac:dyDescent="0.25">
      <c r="B1530" s="163"/>
      <c r="C1530" s="163"/>
      <c r="D1530" s="163"/>
      <c r="E1530" s="163"/>
      <c r="F1530" s="163"/>
      <c r="G1530" s="163"/>
      <c r="H1530" s="163"/>
      <c r="I1530" s="163"/>
      <c r="J1530" s="163"/>
      <c r="K1530" s="163"/>
      <c r="L1530" s="163"/>
      <c r="M1530" s="163"/>
      <c r="N1530" s="163"/>
    </row>
    <row r="1531" spans="2:14" x14ac:dyDescent="0.25">
      <c r="B1531" s="163"/>
      <c r="C1531" s="163"/>
      <c r="D1531" s="163"/>
      <c r="E1531" s="163"/>
      <c r="F1531" s="163"/>
      <c r="G1531" s="163"/>
      <c r="H1531" s="163"/>
      <c r="I1531" s="163"/>
      <c r="J1531" s="163"/>
      <c r="K1531" s="163"/>
      <c r="L1531" s="163"/>
      <c r="M1531" s="163"/>
      <c r="N1531" s="163"/>
    </row>
    <row r="1532" spans="2:14" x14ac:dyDescent="0.25">
      <c r="B1532" s="163"/>
      <c r="C1532" s="163"/>
      <c r="D1532" s="163"/>
      <c r="E1532" s="163"/>
      <c r="F1532" s="163"/>
      <c r="G1532" s="163"/>
      <c r="H1532" s="163"/>
      <c r="I1532" s="163"/>
      <c r="J1532" s="163"/>
      <c r="K1532" s="163"/>
      <c r="L1532" s="163"/>
      <c r="M1532" s="163"/>
      <c r="N1532" s="163"/>
    </row>
    <row r="1533" spans="2:14" x14ac:dyDescent="0.25">
      <c r="B1533" s="163"/>
      <c r="C1533" s="163"/>
      <c r="D1533" s="163"/>
      <c r="E1533" s="163"/>
      <c r="F1533" s="163"/>
      <c r="G1533" s="163"/>
      <c r="H1533" s="163"/>
      <c r="I1533" s="163"/>
      <c r="J1533" s="163"/>
      <c r="K1533" s="163"/>
      <c r="L1533" s="163"/>
      <c r="M1533" s="163"/>
      <c r="N1533" s="163"/>
    </row>
    <row r="1534" spans="2:14" x14ac:dyDescent="0.25">
      <c r="B1534" s="163"/>
      <c r="C1534" s="163"/>
      <c r="D1534" s="163"/>
      <c r="E1534" s="163"/>
      <c r="F1534" s="163"/>
      <c r="G1534" s="163"/>
      <c r="H1534" s="163"/>
      <c r="I1534" s="163"/>
      <c r="J1534" s="163"/>
      <c r="K1534" s="163"/>
      <c r="L1534" s="163"/>
      <c r="M1534" s="163"/>
      <c r="N1534" s="163"/>
    </row>
    <row r="1535" spans="2:14" x14ac:dyDescent="0.25">
      <c r="B1535" s="163"/>
      <c r="C1535" s="163"/>
      <c r="D1535" s="163"/>
      <c r="E1535" s="163"/>
      <c r="F1535" s="163"/>
      <c r="G1535" s="163"/>
      <c r="H1535" s="163"/>
      <c r="I1535" s="163"/>
      <c r="J1535" s="163"/>
      <c r="K1535" s="163"/>
      <c r="L1535" s="163"/>
      <c r="M1535" s="163"/>
      <c r="N1535" s="163"/>
    </row>
    <row r="1536" spans="2:14" x14ac:dyDescent="0.25">
      <c r="B1536" s="163"/>
      <c r="C1536" s="163"/>
      <c r="D1536" s="163"/>
      <c r="E1536" s="163"/>
      <c r="F1536" s="163"/>
      <c r="G1536" s="163"/>
      <c r="H1536" s="163"/>
      <c r="I1536" s="163"/>
      <c r="J1536" s="163"/>
      <c r="K1536" s="163"/>
      <c r="L1536" s="163"/>
      <c r="M1536" s="163"/>
      <c r="N1536" s="163"/>
    </row>
    <row r="1537" spans="2:14" x14ac:dyDescent="0.25">
      <c r="B1537" s="163"/>
      <c r="C1537" s="163"/>
      <c r="D1537" s="163"/>
      <c r="E1537" s="163"/>
      <c r="F1537" s="163"/>
      <c r="G1537" s="163"/>
      <c r="H1537" s="163"/>
      <c r="I1537" s="163"/>
      <c r="J1537" s="163"/>
      <c r="K1537" s="163"/>
      <c r="L1537" s="163"/>
      <c r="M1537" s="163"/>
      <c r="N1537" s="163"/>
    </row>
    <row r="1538" spans="2:14" x14ac:dyDescent="0.25">
      <c r="B1538" s="163"/>
      <c r="C1538" s="163"/>
      <c r="D1538" s="163"/>
      <c r="E1538" s="163"/>
      <c r="F1538" s="163"/>
      <c r="G1538" s="163"/>
      <c r="H1538" s="163"/>
      <c r="I1538" s="163"/>
      <c r="J1538" s="163"/>
      <c r="K1538" s="163"/>
      <c r="L1538" s="163"/>
      <c r="M1538" s="163"/>
      <c r="N1538" s="163"/>
    </row>
    <row r="1539" spans="2:14" x14ac:dyDescent="0.25">
      <c r="B1539" s="163"/>
      <c r="C1539" s="163"/>
      <c r="D1539" s="163"/>
      <c r="E1539" s="163"/>
      <c r="F1539" s="163"/>
      <c r="G1539" s="163"/>
      <c r="H1539" s="163"/>
      <c r="I1539" s="163"/>
      <c r="J1539" s="163"/>
      <c r="K1539" s="163"/>
      <c r="L1539" s="163"/>
      <c r="M1539" s="163"/>
      <c r="N1539" s="163"/>
    </row>
    <row r="1540" spans="2:14" x14ac:dyDescent="0.25">
      <c r="B1540" s="163"/>
      <c r="C1540" s="163"/>
      <c r="D1540" s="163"/>
      <c r="E1540" s="163"/>
      <c r="F1540" s="163"/>
      <c r="G1540" s="163"/>
      <c r="H1540" s="163"/>
      <c r="I1540" s="163"/>
      <c r="J1540" s="163"/>
      <c r="K1540" s="163"/>
      <c r="L1540" s="163"/>
      <c r="M1540" s="163"/>
      <c r="N1540" s="163"/>
    </row>
    <row r="1541" spans="2:14" x14ac:dyDescent="0.25">
      <c r="B1541" s="163"/>
      <c r="C1541" s="163"/>
      <c r="D1541" s="163"/>
      <c r="E1541" s="163"/>
      <c r="F1541" s="163"/>
      <c r="G1541" s="163"/>
      <c r="H1541" s="163"/>
      <c r="I1541" s="163"/>
      <c r="J1541" s="163"/>
      <c r="K1541" s="163"/>
      <c r="L1541" s="163"/>
      <c r="M1541" s="163"/>
      <c r="N1541" s="163"/>
    </row>
    <row r="1542" spans="2:14" x14ac:dyDescent="0.25">
      <c r="B1542" s="163"/>
      <c r="C1542" s="163"/>
      <c r="D1542" s="163"/>
      <c r="E1542" s="163"/>
      <c r="F1542" s="163"/>
      <c r="G1542" s="163"/>
      <c r="H1542" s="163"/>
      <c r="I1542" s="163"/>
      <c r="J1542" s="163"/>
      <c r="K1542" s="163"/>
      <c r="L1542" s="163"/>
      <c r="M1542" s="163"/>
      <c r="N1542" s="163"/>
    </row>
    <row r="1543" spans="2:14" x14ac:dyDescent="0.25">
      <c r="B1543" s="163"/>
      <c r="C1543" s="163"/>
      <c r="D1543" s="163"/>
      <c r="E1543" s="163"/>
      <c r="F1543" s="163"/>
      <c r="G1543" s="163"/>
      <c r="H1543" s="163"/>
      <c r="I1543" s="163"/>
      <c r="J1543" s="163"/>
      <c r="K1543" s="163"/>
      <c r="L1543" s="163"/>
      <c r="M1543" s="163"/>
      <c r="N1543" s="163"/>
    </row>
    <row r="1544" spans="2:14" x14ac:dyDescent="0.25">
      <c r="B1544" s="163"/>
      <c r="C1544" s="163"/>
      <c r="D1544" s="163"/>
      <c r="E1544" s="163"/>
      <c r="F1544" s="163"/>
      <c r="G1544" s="163"/>
      <c r="H1544" s="163"/>
      <c r="I1544" s="163"/>
      <c r="J1544" s="163"/>
      <c r="K1544" s="163"/>
      <c r="L1544" s="163"/>
      <c r="M1544" s="163"/>
      <c r="N1544" s="163"/>
    </row>
    <row r="1545" spans="2:14" x14ac:dyDescent="0.25">
      <c r="B1545" s="163"/>
      <c r="C1545" s="163"/>
      <c r="D1545" s="163"/>
      <c r="E1545" s="163"/>
      <c r="F1545" s="163"/>
      <c r="G1545" s="163"/>
      <c r="H1545" s="163"/>
      <c r="I1545" s="163"/>
      <c r="J1545" s="163"/>
      <c r="K1545" s="163"/>
      <c r="L1545" s="163"/>
      <c r="M1545" s="163"/>
      <c r="N1545" s="163"/>
    </row>
    <row r="1546" spans="2:14" x14ac:dyDescent="0.25">
      <c r="B1546" s="163"/>
      <c r="C1546" s="163"/>
      <c r="D1546" s="163"/>
      <c r="E1546" s="163"/>
      <c r="F1546" s="163"/>
      <c r="G1546" s="163"/>
      <c r="H1546" s="163"/>
      <c r="I1546" s="163"/>
      <c r="J1546" s="163"/>
      <c r="K1546" s="163"/>
      <c r="L1546" s="163"/>
      <c r="M1546" s="163"/>
      <c r="N1546" s="163"/>
    </row>
    <row r="1547" spans="2:14" x14ac:dyDescent="0.25">
      <c r="B1547" s="163"/>
      <c r="C1547" s="163"/>
      <c r="D1547" s="163"/>
      <c r="E1547" s="163"/>
      <c r="F1547" s="163"/>
      <c r="G1547" s="163"/>
      <c r="H1547" s="163"/>
      <c r="I1547" s="163"/>
      <c r="J1547" s="163"/>
      <c r="K1547" s="163"/>
      <c r="L1547" s="163"/>
      <c r="M1547" s="163"/>
      <c r="N1547" s="163"/>
    </row>
    <row r="1548" spans="2:14" x14ac:dyDescent="0.25">
      <c r="B1548" s="163"/>
      <c r="C1548" s="163"/>
      <c r="D1548" s="163"/>
      <c r="E1548" s="163"/>
      <c r="F1548" s="163"/>
      <c r="G1548" s="163"/>
      <c r="H1548" s="163"/>
      <c r="I1548" s="163"/>
      <c r="J1548" s="163"/>
      <c r="K1548" s="163"/>
      <c r="L1548" s="163"/>
      <c r="M1548" s="163"/>
      <c r="N1548" s="163"/>
    </row>
    <row r="1549" spans="2:14" x14ac:dyDescent="0.25">
      <c r="B1549" s="163"/>
      <c r="C1549" s="163"/>
      <c r="D1549" s="163"/>
      <c r="E1549" s="163"/>
      <c r="F1549" s="163"/>
      <c r="G1549" s="163"/>
      <c r="H1549" s="163"/>
      <c r="I1549" s="163"/>
      <c r="J1549" s="163"/>
      <c r="K1549" s="163"/>
      <c r="L1549" s="163"/>
      <c r="M1549" s="163"/>
      <c r="N1549" s="163"/>
    </row>
    <row r="1550" spans="2:14" x14ac:dyDescent="0.25">
      <c r="B1550" s="163"/>
      <c r="C1550" s="163"/>
      <c r="D1550" s="163"/>
      <c r="E1550" s="163"/>
      <c r="F1550" s="163"/>
      <c r="G1550" s="163"/>
      <c r="H1550" s="163"/>
      <c r="I1550" s="163"/>
      <c r="J1550" s="163"/>
      <c r="K1550" s="163"/>
      <c r="L1550" s="163"/>
      <c r="M1550" s="163"/>
      <c r="N1550" s="163"/>
    </row>
    <row r="1551" spans="2:14" x14ac:dyDescent="0.25">
      <c r="B1551" s="163"/>
      <c r="C1551" s="163"/>
      <c r="D1551" s="163"/>
      <c r="E1551" s="163"/>
      <c r="F1551" s="163"/>
      <c r="G1551" s="163"/>
      <c r="H1551" s="163"/>
      <c r="I1551" s="163"/>
      <c r="J1551" s="163"/>
      <c r="K1551" s="163"/>
      <c r="L1551" s="163"/>
      <c r="M1551" s="163"/>
      <c r="N1551" s="163"/>
    </row>
    <row r="1552" spans="2:14" x14ac:dyDescent="0.25">
      <c r="B1552" s="163"/>
      <c r="C1552" s="163"/>
      <c r="D1552" s="163"/>
      <c r="E1552" s="163"/>
      <c r="F1552" s="163"/>
      <c r="G1552" s="163"/>
      <c r="H1552" s="163"/>
      <c r="I1552" s="163"/>
      <c r="J1552" s="163"/>
      <c r="K1552" s="163"/>
      <c r="L1552" s="163"/>
      <c r="M1552" s="163"/>
      <c r="N1552" s="163"/>
    </row>
    <row r="1553" spans="2:14" x14ac:dyDescent="0.25">
      <c r="B1553" s="163"/>
      <c r="C1553" s="163"/>
      <c r="D1553" s="163"/>
      <c r="E1553" s="163"/>
      <c r="F1553" s="163"/>
      <c r="G1553" s="163"/>
      <c r="H1553" s="163"/>
      <c r="I1553" s="163"/>
      <c r="J1553" s="163"/>
      <c r="K1553" s="163"/>
      <c r="L1553" s="163"/>
      <c r="M1553" s="163"/>
      <c r="N1553" s="163"/>
    </row>
    <row r="1554" spans="2:14" x14ac:dyDescent="0.25">
      <c r="B1554" s="163"/>
      <c r="C1554" s="163"/>
      <c r="D1554" s="163"/>
      <c r="E1554" s="163"/>
      <c r="F1554" s="163"/>
      <c r="G1554" s="163"/>
      <c r="H1554" s="163"/>
      <c r="I1554" s="163"/>
      <c r="J1554" s="163"/>
      <c r="K1554" s="163"/>
      <c r="L1554" s="163"/>
      <c r="M1554" s="163"/>
      <c r="N1554" s="163"/>
    </row>
    <row r="1555" spans="2:14" x14ac:dyDescent="0.25">
      <c r="B1555" s="163"/>
      <c r="C1555" s="163"/>
      <c r="D1555" s="163"/>
      <c r="E1555" s="163"/>
      <c r="F1555" s="163"/>
      <c r="G1555" s="163"/>
      <c r="H1555" s="163"/>
      <c r="I1555" s="163"/>
      <c r="J1555" s="163"/>
      <c r="K1555" s="163"/>
      <c r="L1555" s="163"/>
      <c r="M1555" s="163"/>
      <c r="N1555" s="163"/>
    </row>
    <row r="1556" spans="2:14" x14ac:dyDescent="0.25">
      <c r="B1556" s="163"/>
      <c r="C1556" s="163"/>
      <c r="D1556" s="163"/>
      <c r="E1556" s="163"/>
      <c r="F1556" s="163"/>
      <c r="G1556" s="163"/>
      <c r="H1556" s="163"/>
      <c r="I1556" s="163"/>
      <c r="J1556" s="163"/>
      <c r="K1556" s="163"/>
      <c r="L1556" s="163"/>
      <c r="M1556" s="163"/>
      <c r="N1556" s="163"/>
    </row>
    <row r="1557" spans="2:14" x14ac:dyDescent="0.25">
      <c r="B1557" s="163"/>
      <c r="C1557" s="163"/>
      <c r="D1557" s="163"/>
      <c r="E1557" s="163"/>
      <c r="F1557" s="163"/>
      <c r="G1557" s="163"/>
      <c r="H1557" s="163"/>
      <c r="I1557" s="163"/>
      <c r="J1557" s="163"/>
      <c r="K1557" s="163"/>
      <c r="L1557" s="163"/>
      <c r="M1557" s="163"/>
      <c r="N1557" s="163"/>
    </row>
    <row r="1558" spans="2:14" x14ac:dyDescent="0.25">
      <c r="B1558" s="163"/>
      <c r="C1558" s="163"/>
      <c r="D1558" s="163"/>
      <c r="E1558" s="163"/>
      <c r="F1558" s="163"/>
      <c r="G1558" s="163"/>
      <c r="H1558" s="163"/>
      <c r="I1558" s="163"/>
      <c r="J1558" s="163"/>
      <c r="K1558" s="163"/>
      <c r="L1558" s="163"/>
      <c r="M1558" s="163"/>
      <c r="N1558" s="163"/>
    </row>
    <row r="1559" spans="2:14" x14ac:dyDescent="0.25">
      <c r="B1559" s="163"/>
      <c r="C1559" s="163"/>
      <c r="D1559" s="163"/>
      <c r="E1559" s="163"/>
      <c r="F1559" s="163"/>
      <c r="G1559" s="163"/>
      <c r="H1559" s="163"/>
      <c r="I1559" s="163"/>
      <c r="J1559" s="163"/>
      <c r="K1559" s="163"/>
      <c r="L1559" s="163"/>
      <c r="M1559" s="163"/>
      <c r="N1559" s="163"/>
    </row>
    <row r="1560" spans="2:14" x14ac:dyDescent="0.25">
      <c r="B1560" s="163"/>
      <c r="C1560" s="163"/>
      <c r="D1560" s="163"/>
      <c r="E1560" s="163"/>
      <c r="F1560" s="163"/>
      <c r="G1560" s="163"/>
      <c r="H1560" s="163"/>
      <c r="I1560" s="163"/>
      <c r="J1560" s="163"/>
      <c r="K1560" s="163"/>
      <c r="L1560" s="163"/>
      <c r="M1560" s="163"/>
      <c r="N1560" s="163"/>
    </row>
    <row r="1561" spans="2:14" x14ac:dyDescent="0.25">
      <c r="B1561" s="163"/>
      <c r="C1561" s="163"/>
      <c r="D1561" s="163"/>
      <c r="E1561" s="163"/>
      <c r="F1561" s="163"/>
      <c r="G1561" s="163"/>
      <c r="H1561" s="163"/>
      <c r="I1561" s="163"/>
      <c r="J1561" s="163"/>
      <c r="K1561" s="163"/>
      <c r="L1561" s="163"/>
      <c r="M1561" s="163"/>
      <c r="N1561" s="163"/>
    </row>
    <row r="1562" spans="2:14" x14ac:dyDescent="0.25">
      <c r="B1562" s="163"/>
      <c r="C1562" s="163"/>
      <c r="D1562" s="163"/>
      <c r="E1562" s="163"/>
      <c r="F1562" s="163"/>
      <c r="G1562" s="163"/>
      <c r="H1562" s="163"/>
      <c r="I1562" s="163"/>
      <c r="J1562" s="163"/>
      <c r="K1562" s="163"/>
      <c r="L1562" s="163"/>
      <c r="M1562" s="163"/>
      <c r="N1562" s="163"/>
    </row>
    <row r="1563" spans="2:14" x14ac:dyDescent="0.25">
      <c r="B1563" s="163"/>
      <c r="C1563" s="163"/>
      <c r="D1563" s="163"/>
      <c r="E1563" s="163"/>
      <c r="F1563" s="163"/>
      <c r="G1563" s="163"/>
      <c r="H1563" s="163"/>
      <c r="I1563" s="163"/>
      <c r="J1563" s="163"/>
      <c r="K1563" s="163"/>
      <c r="L1563" s="163"/>
      <c r="M1563" s="163"/>
      <c r="N1563" s="163"/>
    </row>
    <row r="1564" spans="2:14" x14ac:dyDescent="0.25">
      <c r="B1564" s="163"/>
      <c r="C1564" s="163"/>
      <c r="D1564" s="163"/>
      <c r="E1564" s="163"/>
      <c r="F1564" s="163"/>
      <c r="G1564" s="163"/>
      <c r="H1564" s="163"/>
      <c r="I1564" s="163"/>
      <c r="J1564" s="163"/>
      <c r="K1564" s="163"/>
      <c r="L1564" s="163"/>
      <c r="M1564" s="163"/>
      <c r="N1564" s="163"/>
    </row>
    <row r="1565" spans="2:14" x14ac:dyDescent="0.25">
      <c r="B1565" s="163"/>
      <c r="C1565" s="163"/>
      <c r="D1565" s="163"/>
      <c r="E1565" s="163"/>
      <c r="F1565" s="163"/>
      <c r="G1565" s="163"/>
      <c r="H1565" s="163"/>
      <c r="I1565" s="163"/>
      <c r="J1565" s="163"/>
      <c r="K1565" s="163"/>
      <c r="L1565" s="163"/>
      <c r="M1565" s="163"/>
      <c r="N1565" s="163"/>
    </row>
  </sheetData>
  <sheetProtection algorithmName="SHA-512" hashValue="IwMvJWh9J8CUVG1gosfTvttAb7q6eIMRKYt5hE6LD5VwEldwj5UFhKIr8pdcB6T1bd3dlw3Kz6BhY1MYLQuxKQ==" saltValue="d5SliPHjlkdw2wBBGHbtTw==" spinCount="100000" sheet="1" objects="1" scenarios="1"/>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CFC0-5764-46D7-9757-3D45B38C12A0}">
  <sheetPr>
    <tabColor theme="0"/>
  </sheetPr>
  <dimension ref="B1:AH16"/>
  <sheetViews>
    <sheetView workbookViewId="0">
      <selection activeCell="K9" sqref="K9"/>
    </sheetView>
  </sheetViews>
  <sheetFormatPr defaultRowHeight="14.25" x14ac:dyDescent="0.2"/>
  <cols>
    <col min="2" max="2" width="23.25" customWidth="1"/>
    <col min="3" max="3" width="37.875" customWidth="1"/>
    <col min="4" max="4" width="12.625" customWidth="1"/>
    <col min="5" max="5" width="8.875" customWidth="1"/>
    <col min="6" max="6" width="13.125" customWidth="1"/>
    <col min="7" max="35" width="3.375" customWidth="1"/>
  </cols>
  <sheetData>
    <row r="1" spans="2:34" s="130" customFormat="1" x14ac:dyDescent="0.2"/>
    <row r="2" spans="2:34" x14ac:dyDescent="0.2">
      <c r="C2" t="s">
        <v>111</v>
      </c>
    </row>
    <row r="3" spans="2:34" ht="15" thickBot="1" x14ac:dyDescent="0.25"/>
    <row r="4" spans="2:34" ht="15" x14ac:dyDescent="0.25">
      <c r="C4" s="43"/>
      <c r="D4" s="43"/>
      <c r="E4" s="43"/>
      <c r="F4" s="43"/>
      <c r="G4" s="358">
        <v>2023</v>
      </c>
      <c r="H4" s="359"/>
      <c r="I4" s="359"/>
      <c r="J4" s="360"/>
      <c r="K4" s="358">
        <v>2024</v>
      </c>
      <c r="L4" s="359"/>
      <c r="M4" s="359"/>
      <c r="N4" s="360"/>
      <c r="O4" s="358">
        <v>2025</v>
      </c>
      <c r="P4" s="359"/>
      <c r="Q4" s="359"/>
      <c r="R4" s="360"/>
      <c r="S4" s="358">
        <v>2026</v>
      </c>
      <c r="T4" s="359"/>
      <c r="U4" s="359"/>
      <c r="V4" s="360"/>
      <c r="W4" s="358">
        <v>2027</v>
      </c>
      <c r="X4" s="359"/>
      <c r="Y4" s="359"/>
      <c r="Z4" s="360"/>
      <c r="AA4" s="358">
        <v>2028</v>
      </c>
      <c r="AB4" s="359"/>
      <c r="AC4" s="359"/>
      <c r="AD4" s="360"/>
      <c r="AE4" s="358">
        <v>2029</v>
      </c>
      <c r="AF4" s="359"/>
      <c r="AG4" s="359"/>
      <c r="AH4" s="360"/>
    </row>
    <row r="5" spans="2:34" ht="15" x14ac:dyDescent="0.25">
      <c r="B5" t="s">
        <v>112</v>
      </c>
      <c r="C5" s="44" t="s">
        <v>113</v>
      </c>
      <c r="D5" s="44" t="s">
        <v>114</v>
      </c>
      <c r="E5" s="44" t="s">
        <v>115</v>
      </c>
      <c r="F5" s="44" t="s">
        <v>116</v>
      </c>
      <c r="G5" s="36" t="s">
        <v>117</v>
      </c>
      <c r="H5" s="24" t="s">
        <v>118</v>
      </c>
      <c r="I5" s="24" t="s">
        <v>119</v>
      </c>
      <c r="J5" s="37" t="s">
        <v>120</v>
      </c>
      <c r="K5" s="36" t="s">
        <v>117</v>
      </c>
      <c r="L5" s="24" t="s">
        <v>118</v>
      </c>
      <c r="M5" s="24" t="s">
        <v>119</v>
      </c>
      <c r="N5" s="37" t="s">
        <v>120</v>
      </c>
      <c r="O5" s="36" t="s">
        <v>117</v>
      </c>
      <c r="P5" s="24" t="s">
        <v>118</v>
      </c>
      <c r="Q5" s="24" t="s">
        <v>119</v>
      </c>
      <c r="R5" s="37" t="s">
        <v>120</v>
      </c>
      <c r="S5" s="36" t="s">
        <v>117</v>
      </c>
      <c r="T5" s="24" t="s">
        <v>118</v>
      </c>
      <c r="U5" s="24" t="s">
        <v>119</v>
      </c>
      <c r="V5" s="37" t="s">
        <v>120</v>
      </c>
      <c r="W5" s="36" t="s">
        <v>117</v>
      </c>
      <c r="X5" s="24" t="s">
        <v>118</v>
      </c>
      <c r="Y5" s="24" t="s">
        <v>119</v>
      </c>
      <c r="Z5" s="37" t="s">
        <v>120</v>
      </c>
      <c r="AA5" s="36" t="s">
        <v>117</v>
      </c>
      <c r="AB5" s="24" t="s">
        <v>118</v>
      </c>
      <c r="AC5" s="24" t="s">
        <v>119</v>
      </c>
      <c r="AD5" s="37" t="s">
        <v>120</v>
      </c>
      <c r="AE5" s="36" t="s">
        <v>117</v>
      </c>
      <c r="AF5" s="24" t="s">
        <v>118</v>
      </c>
      <c r="AG5" s="24" t="s">
        <v>119</v>
      </c>
      <c r="AH5" s="37" t="s">
        <v>120</v>
      </c>
    </row>
    <row r="6" spans="2:34" x14ac:dyDescent="0.2">
      <c r="B6" t="s">
        <v>121</v>
      </c>
      <c r="C6" s="45" t="s">
        <v>122</v>
      </c>
      <c r="D6" s="45">
        <v>2023</v>
      </c>
      <c r="E6" s="45">
        <v>2023</v>
      </c>
      <c r="F6" s="45">
        <f>COUNTA(G6:AH6)</f>
        <v>3</v>
      </c>
      <c r="G6" s="133" t="s">
        <v>123</v>
      </c>
      <c r="H6" s="134" t="s">
        <v>123</v>
      </c>
      <c r="I6" s="134" t="s">
        <v>123</v>
      </c>
      <c r="J6" s="39"/>
      <c r="K6" s="38"/>
      <c r="L6" s="30"/>
      <c r="M6" s="30"/>
      <c r="N6" s="39"/>
      <c r="O6" s="38"/>
      <c r="P6" s="30"/>
      <c r="Q6" s="30"/>
      <c r="R6" s="39"/>
      <c r="S6" s="38"/>
      <c r="T6" s="30"/>
      <c r="U6" s="30"/>
      <c r="V6" s="39"/>
      <c r="W6" s="38"/>
      <c r="X6" s="30"/>
      <c r="Y6" s="30"/>
      <c r="Z6" s="39"/>
      <c r="AA6" s="38"/>
      <c r="AB6" s="30"/>
      <c r="AC6" s="30"/>
      <c r="AD6" s="39"/>
      <c r="AE6" s="38"/>
      <c r="AF6" s="30"/>
      <c r="AG6" s="30"/>
      <c r="AH6" s="39"/>
    </row>
    <row r="7" spans="2:34" x14ac:dyDescent="0.2">
      <c r="B7" t="s">
        <v>121</v>
      </c>
      <c r="C7" s="45" t="s">
        <v>124</v>
      </c>
      <c r="D7" s="45">
        <v>2023</v>
      </c>
      <c r="E7" s="45">
        <v>2024</v>
      </c>
      <c r="F7" s="45">
        <f t="shared" ref="F7:F16" si="0">COUNTA(G7:AH7)</f>
        <v>3</v>
      </c>
      <c r="G7" s="38"/>
      <c r="H7" s="30"/>
      <c r="I7" s="30"/>
      <c r="J7" s="135" t="s">
        <v>123</v>
      </c>
      <c r="K7" s="133" t="s">
        <v>123</v>
      </c>
      <c r="L7" s="134" t="s">
        <v>123</v>
      </c>
      <c r="M7" s="30"/>
      <c r="N7" s="39"/>
      <c r="O7" s="38"/>
      <c r="P7" s="30"/>
      <c r="Q7" s="30"/>
      <c r="R7" s="39"/>
      <c r="S7" s="38"/>
      <c r="T7" s="30"/>
      <c r="U7" s="30"/>
      <c r="V7" s="39"/>
      <c r="W7" s="38"/>
      <c r="X7" s="30"/>
      <c r="Y7" s="30"/>
      <c r="Z7" s="39"/>
      <c r="AA7" s="38"/>
      <c r="AB7" s="30"/>
      <c r="AC7" s="30"/>
      <c r="AD7" s="39"/>
      <c r="AE7" s="38"/>
      <c r="AF7" s="30"/>
      <c r="AG7" s="30"/>
      <c r="AH7" s="39"/>
    </row>
    <row r="8" spans="2:34" x14ac:dyDescent="0.2">
      <c r="B8" t="s">
        <v>121</v>
      </c>
      <c r="C8" s="45" t="s">
        <v>125</v>
      </c>
      <c r="D8" s="45">
        <v>2024</v>
      </c>
      <c r="E8" s="45">
        <v>2025</v>
      </c>
      <c r="F8" s="45">
        <f t="shared" si="0"/>
        <v>4</v>
      </c>
      <c r="G8" s="38"/>
      <c r="H8" s="30"/>
      <c r="I8" s="30"/>
      <c r="J8" s="39"/>
      <c r="K8" s="38"/>
      <c r="L8" s="30"/>
      <c r="M8" s="134" t="s">
        <v>123</v>
      </c>
      <c r="N8" s="135" t="s">
        <v>123</v>
      </c>
      <c r="O8" s="133" t="s">
        <v>123</v>
      </c>
      <c r="P8" s="134" t="s">
        <v>123</v>
      </c>
      <c r="Q8" s="30"/>
      <c r="R8" s="39"/>
      <c r="S8" s="38"/>
      <c r="T8" s="30"/>
      <c r="U8" s="30"/>
      <c r="V8" s="39"/>
      <c r="W8" s="38"/>
      <c r="X8" s="30"/>
      <c r="Y8" s="30"/>
      <c r="Z8" s="39"/>
      <c r="AA8" s="38"/>
      <c r="AB8" s="30"/>
      <c r="AC8" s="30"/>
      <c r="AD8" s="39"/>
      <c r="AE8" s="38"/>
      <c r="AF8" s="30"/>
      <c r="AG8" s="30"/>
      <c r="AH8" s="39"/>
    </row>
    <row r="9" spans="2:34" x14ac:dyDescent="0.2">
      <c r="B9" t="s">
        <v>121</v>
      </c>
      <c r="C9" s="45" t="s">
        <v>126</v>
      </c>
      <c r="D9" s="45">
        <v>2024</v>
      </c>
      <c r="E9" s="45">
        <v>2025</v>
      </c>
      <c r="F9" s="45">
        <f t="shared" si="0"/>
        <v>6</v>
      </c>
      <c r="G9" s="38"/>
      <c r="H9" s="30"/>
      <c r="I9" s="30"/>
      <c r="J9" s="39"/>
      <c r="K9" s="134" t="s">
        <v>123</v>
      </c>
      <c r="L9" s="134" t="s">
        <v>123</v>
      </c>
      <c r="M9" s="134" t="s">
        <v>123</v>
      </c>
      <c r="N9" s="135" t="s">
        <v>123</v>
      </c>
      <c r="O9" s="133" t="s">
        <v>123</v>
      </c>
      <c r="P9" s="134" t="s">
        <v>123</v>
      </c>
      <c r="Q9" s="30"/>
      <c r="R9" s="39"/>
      <c r="S9" s="38"/>
      <c r="T9" s="30"/>
      <c r="U9" s="30"/>
      <c r="V9" s="39"/>
      <c r="W9" s="38"/>
      <c r="X9" s="30"/>
      <c r="Y9" s="30"/>
      <c r="Z9" s="39"/>
      <c r="AA9" s="38"/>
      <c r="AB9" s="30"/>
      <c r="AC9" s="30"/>
      <c r="AD9" s="39"/>
      <c r="AE9" s="38"/>
      <c r="AF9" s="30"/>
      <c r="AG9" s="30"/>
      <c r="AH9" s="39"/>
    </row>
    <row r="10" spans="2:34" x14ac:dyDescent="0.2">
      <c r="C10" s="45" t="s">
        <v>127</v>
      </c>
      <c r="D10" s="45">
        <v>2024</v>
      </c>
      <c r="E10" s="45">
        <v>2025</v>
      </c>
      <c r="F10" s="45">
        <f t="shared" si="0"/>
        <v>4</v>
      </c>
      <c r="G10" s="38"/>
      <c r="H10" s="30"/>
      <c r="I10" s="30"/>
      <c r="J10" s="39"/>
      <c r="K10" s="38"/>
      <c r="L10" s="30"/>
      <c r="M10" s="134" t="s">
        <v>123</v>
      </c>
      <c r="N10" s="135" t="s">
        <v>123</v>
      </c>
      <c r="O10" s="133" t="s">
        <v>123</v>
      </c>
      <c r="P10" s="134" t="s">
        <v>123</v>
      </c>
      <c r="Q10" s="30"/>
      <c r="R10" s="39"/>
      <c r="S10" s="38"/>
      <c r="T10" s="30"/>
      <c r="U10" s="30"/>
      <c r="V10" s="39"/>
      <c r="W10" s="38"/>
      <c r="X10" s="30"/>
      <c r="Y10" s="30"/>
      <c r="Z10" s="39"/>
      <c r="AA10" s="38"/>
      <c r="AB10" s="30"/>
      <c r="AC10" s="30"/>
      <c r="AD10" s="39"/>
      <c r="AE10" s="38"/>
      <c r="AF10" s="30"/>
      <c r="AG10" s="30"/>
      <c r="AH10" s="39"/>
    </row>
    <row r="11" spans="2:34" x14ac:dyDescent="0.2">
      <c r="C11" s="45" t="s">
        <v>128</v>
      </c>
      <c r="D11" s="45">
        <v>2025</v>
      </c>
      <c r="E11" s="45">
        <v>2025</v>
      </c>
      <c r="F11" s="45">
        <f t="shared" si="0"/>
        <v>2</v>
      </c>
      <c r="G11" s="38"/>
      <c r="H11" s="30"/>
      <c r="I11" s="30"/>
      <c r="J11" s="39"/>
      <c r="K11" s="38"/>
      <c r="L11" s="30"/>
      <c r="M11" s="30"/>
      <c r="N11" s="39"/>
      <c r="O11" s="38"/>
      <c r="P11" s="30"/>
      <c r="Q11" s="134" t="s">
        <v>123</v>
      </c>
      <c r="R11" s="135" t="s">
        <v>123</v>
      </c>
      <c r="S11" s="38"/>
      <c r="T11" s="30"/>
      <c r="U11" s="30"/>
      <c r="V11" s="39"/>
      <c r="W11" s="38"/>
      <c r="X11" s="30"/>
      <c r="Y11" s="30"/>
      <c r="Z11" s="39"/>
      <c r="AA11" s="38"/>
      <c r="AB11" s="30"/>
      <c r="AC11" s="30"/>
      <c r="AD11" s="39"/>
      <c r="AE11" s="38"/>
      <c r="AF11" s="30"/>
      <c r="AG11" s="30"/>
      <c r="AH11" s="39"/>
    </row>
    <row r="12" spans="2:34" x14ac:dyDescent="0.2">
      <c r="B12" t="s">
        <v>129</v>
      </c>
      <c r="C12" s="45" t="s">
        <v>130</v>
      </c>
      <c r="D12" s="45">
        <v>2025</v>
      </c>
      <c r="E12" s="45">
        <v>2026</v>
      </c>
      <c r="F12" s="45">
        <f t="shared" si="0"/>
        <v>4</v>
      </c>
      <c r="G12" s="38"/>
      <c r="H12" s="30"/>
      <c r="I12" s="30"/>
      <c r="J12" s="39"/>
      <c r="K12" s="38"/>
      <c r="L12" s="30"/>
      <c r="M12" s="30"/>
      <c r="N12" s="39"/>
      <c r="O12" s="38"/>
      <c r="P12" s="30"/>
      <c r="Q12" s="134" t="s">
        <v>123</v>
      </c>
      <c r="R12" s="135" t="s">
        <v>123</v>
      </c>
      <c r="S12" s="133" t="s">
        <v>123</v>
      </c>
      <c r="T12" s="134" t="s">
        <v>123</v>
      </c>
      <c r="U12" s="30"/>
      <c r="V12" s="39"/>
      <c r="W12" s="38"/>
      <c r="X12" s="30"/>
      <c r="Y12" s="30"/>
      <c r="Z12" s="39"/>
      <c r="AA12" s="38"/>
      <c r="AB12" s="30"/>
      <c r="AC12" s="30"/>
      <c r="AD12" s="39"/>
      <c r="AE12" s="38"/>
      <c r="AF12" s="30"/>
      <c r="AG12" s="30"/>
      <c r="AH12" s="39"/>
    </row>
    <row r="13" spans="2:34" x14ac:dyDescent="0.2">
      <c r="C13" s="45" t="s">
        <v>131</v>
      </c>
      <c r="D13" s="45">
        <v>2025</v>
      </c>
      <c r="E13" s="45">
        <v>2026</v>
      </c>
      <c r="F13" s="45">
        <f t="shared" si="0"/>
        <v>3</v>
      </c>
      <c r="G13" s="38"/>
      <c r="H13" s="30"/>
      <c r="I13" s="30"/>
      <c r="J13" s="39"/>
      <c r="K13" s="38"/>
      <c r="L13" s="30"/>
      <c r="M13" s="30"/>
      <c r="N13" s="39"/>
      <c r="O13" s="38"/>
      <c r="P13" s="30"/>
      <c r="Q13" s="134" t="s">
        <v>123</v>
      </c>
      <c r="R13" s="135" t="s">
        <v>123</v>
      </c>
      <c r="S13" s="133" t="s">
        <v>123</v>
      </c>
      <c r="T13" s="30"/>
      <c r="U13" s="30"/>
      <c r="V13" s="39"/>
      <c r="W13" s="38"/>
      <c r="X13" s="30"/>
      <c r="Y13" s="30"/>
      <c r="Z13" s="39"/>
      <c r="AA13" s="38"/>
      <c r="AB13" s="30"/>
      <c r="AC13" s="30"/>
      <c r="AD13" s="39"/>
      <c r="AE13" s="38"/>
      <c r="AF13" s="30"/>
      <c r="AG13" s="30"/>
      <c r="AH13" s="39"/>
    </row>
    <row r="14" spans="2:34" x14ac:dyDescent="0.2">
      <c r="C14" s="45" t="s">
        <v>132</v>
      </c>
      <c r="D14" s="45">
        <v>2026</v>
      </c>
      <c r="E14" s="45">
        <v>2026</v>
      </c>
      <c r="F14" s="45">
        <f t="shared" si="0"/>
        <v>1</v>
      </c>
      <c r="G14" s="38"/>
      <c r="H14" s="30"/>
      <c r="I14" s="30"/>
      <c r="J14" s="39"/>
      <c r="K14" s="38"/>
      <c r="L14" s="30"/>
      <c r="M14" s="30"/>
      <c r="N14" s="39"/>
      <c r="O14" s="38"/>
      <c r="P14" s="30"/>
      <c r="Q14" s="30"/>
      <c r="R14" s="39"/>
      <c r="S14" s="38"/>
      <c r="T14" s="134" t="s">
        <v>123</v>
      </c>
      <c r="U14" s="30"/>
      <c r="V14" s="39"/>
      <c r="W14" s="38"/>
      <c r="X14" s="30"/>
      <c r="Y14" s="30"/>
      <c r="Z14" s="39"/>
      <c r="AA14" s="38"/>
      <c r="AB14" s="30"/>
      <c r="AC14" s="30"/>
      <c r="AD14" s="39"/>
      <c r="AE14" s="38"/>
      <c r="AF14" s="30"/>
      <c r="AG14" s="30"/>
      <c r="AH14" s="39"/>
    </row>
    <row r="15" spans="2:34" x14ac:dyDescent="0.2">
      <c r="C15" s="45" t="s">
        <v>133</v>
      </c>
      <c r="D15" s="45">
        <v>2026</v>
      </c>
      <c r="E15" s="45">
        <v>2026</v>
      </c>
      <c r="F15" s="45">
        <f t="shared" si="0"/>
        <v>1</v>
      </c>
      <c r="G15" s="38"/>
      <c r="H15" s="30"/>
      <c r="I15" s="30"/>
      <c r="J15" s="39"/>
      <c r="K15" s="38"/>
      <c r="L15" s="30"/>
      <c r="M15" s="30"/>
      <c r="N15" s="39"/>
      <c r="O15" s="38"/>
      <c r="P15" s="30"/>
      <c r="Q15" s="30"/>
      <c r="R15" s="39"/>
      <c r="S15" s="38"/>
      <c r="T15" s="134" t="s">
        <v>123</v>
      </c>
      <c r="U15" s="30"/>
      <c r="V15" s="39"/>
      <c r="W15" s="38"/>
      <c r="X15" s="30"/>
      <c r="Y15" s="30"/>
      <c r="Z15" s="39"/>
      <c r="AA15" s="38"/>
      <c r="AB15" s="30"/>
      <c r="AC15" s="30"/>
      <c r="AD15" s="39"/>
      <c r="AE15" s="38"/>
      <c r="AF15" s="30"/>
      <c r="AG15" s="30"/>
      <c r="AH15" s="39"/>
    </row>
    <row r="16" spans="2:34" ht="15" thickBot="1" x14ac:dyDescent="0.25">
      <c r="B16" t="s">
        <v>134</v>
      </c>
      <c r="C16" s="46" t="s">
        <v>134</v>
      </c>
      <c r="D16" s="46">
        <v>2026</v>
      </c>
      <c r="E16" s="46">
        <v>2029</v>
      </c>
      <c r="F16" s="46">
        <f t="shared" si="0"/>
        <v>12</v>
      </c>
      <c r="G16" s="40"/>
      <c r="H16" s="41"/>
      <c r="I16" s="41"/>
      <c r="J16" s="42"/>
      <c r="K16" s="40"/>
      <c r="L16" s="41"/>
      <c r="M16" s="41"/>
      <c r="N16" s="42"/>
      <c r="O16" s="40"/>
      <c r="P16" s="41"/>
      <c r="Q16" s="41"/>
      <c r="R16" s="42"/>
      <c r="S16" s="40"/>
      <c r="T16" s="41"/>
      <c r="U16" s="136" t="s">
        <v>123</v>
      </c>
      <c r="V16" s="137" t="s">
        <v>123</v>
      </c>
      <c r="W16" s="138" t="s">
        <v>123</v>
      </c>
      <c r="X16" s="136" t="s">
        <v>123</v>
      </c>
      <c r="Y16" s="136" t="s">
        <v>123</v>
      </c>
      <c r="Z16" s="137" t="s">
        <v>123</v>
      </c>
      <c r="AA16" s="138" t="s">
        <v>123</v>
      </c>
      <c r="AB16" s="136" t="s">
        <v>123</v>
      </c>
      <c r="AC16" s="136" t="s">
        <v>123</v>
      </c>
      <c r="AD16" s="137" t="s">
        <v>123</v>
      </c>
      <c r="AE16" s="138" t="s">
        <v>123</v>
      </c>
      <c r="AF16" s="136" t="s">
        <v>123</v>
      </c>
      <c r="AG16" s="172"/>
      <c r="AH16" s="42"/>
    </row>
  </sheetData>
  <sheetProtection algorithmName="SHA-512" hashValue="Ztd8xeGBGSsk+mwPf1pVcMahXIIWeNE2H4LY9CF8W4vPpuQWcfP0dCAAkPvmKW6kyGb1DXFNYEEeCtXYHYthgw==" saltValue="jkCxuH6ubkqZXTIU/+85UQ==" spinCount="100000" sheet="1" objects="1" scenarios="1"/>
  <mergeCells count="7">
    <mergeCell ref="AE4:AH4"/>
    <mergeCell ref="G4:J4"/>
    <mergeCell ref="K4:N4"/>
    <mergeCell ref="O4:R4"/>
    <mergeCell ref="S4:V4"/>
    <mergeCell ref="W4:Z4"/>
    <mergeCell ref="AA4:AD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8F6DA-633D-4F04-89D9-D4467D93CB84}">
  <sheetPr>
    <tabColor theme="0"/>
  </sheetPr>
  <dimension ref="A1:O89"/>
  <sheetViews>
    <sheetView topLeftCell="A51" zoomScale="85" zoomScaleNormal="85" workbookViewId="0">
      <selection activeCell="J82" sqref="J82"/>
    </sheetView>
  </sheetViews>
  <sheetFormatPr defaultColWidth="9" defaultRowHeight="12" x14ac:dyDescent="0.2"/>
  <cols>
    <col min="1" max="2" width="9" style="65"/>
    <col min="3" max="3" width="19.875" style="65" customWidth="1"/>
    <col min="4" max="4" width="17" style="65" customWidth="1"/>
    <col min="5" max="5" width="17.375" style="65" customWidth="1"/>
    <col min="6" max="6" width="16.375" style="65" customWidth="1"/>
    <col min="7" max="13" width="15.625" style="65" customWidth="1"/>
    <col min="14" max="16384" width="9" style="65"/>
  </cols>
  <sheetData>
    <row r="1" spans="1:7" x14ac:dyDescent="0.2">
      <c r="A1" s="65" t="s">
        <v>135</v>
      </c>
      <c r="B1" s="65" t="s">
        <v>136</v>
      </c>
    </row>
    <row r="2" spans="1:7" x14ac:dyDescent="0.2">
      <c r="A2" s="65" t="s">
        <v>137</v>
      </c>
      <c r="B2" s="215" t="s">
        <v>562</v>
      </c>
    </row>
    <row r="4" spans="1:7" ht="27.75" customHeight="1" x14ac:dyDescent="0.2">
      <c r="B4" s="66"/>
      <c r="C4" s="67" t="s">
        <v>138</v>
      </c>
      <c r="D4" s="68" t="s">
        <v>139</v>
      </c>
      <c r="E4" s="68" t="s">
        <v>693</v>
      </c>
      <c r="F4" s="67" t="s">
        <v>140</v>
      </c>
    </row>
    <row r="5" spans="1:7" x14ac:dyDescent="0.2">
      <c r="C5" s="65" t="s">
        <v>141</v>
      </c>
      <c r="E5" s="69">
        <f>SUM(E6:E9)</f>
        <v>827000</v>
      </c>
      <c r="F5" s="69">
        <f>(E5/Deflator!$N$91)*Deflator!$N$89</f>
        <v>778909.50537634396</v>
      </c>
    </row>
    <row r="6" spans="1:7" x14ac:dyDescent="0.2">
      <c r="C6" s="70" t="s">
        <v>142</v>
      </c>
      <c r="E6" s="69">
        <v>747000</v>
      </c>
      <c r="F6" s="235">
        <f>(E6/Deflator!$N$91)*Deflator!$N$89</f>
        <v>703561.54838709673</v>
      </c>
      <c r="G6" s="65" t="s">
        <v>141</v>
      </c>
    </row>
    <row r="7" spans="1:7" x14ac:dyDescent="0.2">
      <c r="C7" s="70" t="s">
        <v>143</v>
      </c>
      <c r="E7" s="69">
        <v>45000</v>
      </c>
      <c r="F7" s="235">
        <f>(E7/Deflator!$N$91)*Deflator!$N$89</f>
        <v>42383.225806451606</v>
      </c>
      <c r="G7" s="65" t="s">
        <v>141</v>
      </c>
    </row>
    <row r="8" spans="1:7" x14ac:dyDescent="0.2">
      <c r="C8" s="70" t="s">
        <v>144</v>
      </c>
      <c r="E8" s="69">
        <v>28000</v>
      </c>
      <c r="F8" s="235">
        <f>(E8/Deflator!$N$91)*Deflator!$N$89</f>
        <v>26371.784946236556</v>
      </c>
      <c r="G8" s="65" t="s">
        <v>141</v>
      </c>
    </row>
    <row r="9" spans="1:7" x14ac:dyDescent="0.2">
      <c r="C9" s="70" t="s">
        <v>145</v>
      </c>
      <c r="E9" s="69">
        <v>7000</v>
      </c>
      <c r="F9" s="235">
        <f>(E9/Deflator!$N$91)*Deflator!$N$89</f>
        <v>6592.9462365591389</v>
      </c>
      <c r="G9" s="65" t="s">
        <v>141</v>
      </c>
    </row>
    <row r="10" spans="1:7" x14ac:dyDescent="0.2">
      <c r="C10" s="71" t="s">
        <v>146</v>
      </c>
      <c r="E10" s="69">
        <v>80200000</v>
      </c>
      <c r="F10" s="235">
        <f>(E10/Deflator!$N$91)*Deflator!$N$89</f>
        <v>75536326.881720424</v>
      </c>
      <c r="G10" s="65" t="s">
        <v>432</v>
      </c>
    </row>
    <row r="11" spans="1:7" x14ac:dyDescent="0.2">
      <c r="C11" s="71" t="s">
        <v>147</v>
      </c>
      <c r="E11" s="69">
        <f>SUM(E12:E14)</f>
        <v>476000</v>
      </c>
      <c r="F11" s="235">
        <f>(E11/Deflator!$N$91)*Deflator!$N$89</f>
        <v>448320.34408602142</v>
      </c>
    </row>
    <row r="12" spans="1:7" x14ac:dyDescent="0.2">
      <c r="C12" s="70" t="s">
        <v>148</v>
      </c>
      <c r="E12" s="69">
        <v>42000</v>
      </c>
      <c r="F12" s="235">
        <f>(E12/Deflator!$N$91)*Deflator!$N$89</f>
        <v>39557.677419354834</v>
      </c>
      <c r="G12" s="65" t="s">
        <v>149</v>
      </c>
    </row>
    <row r="13" spans="1:7" x14ac:dyDescent="0.2">
      <c r="C13" s="70" t="s">
        <v>150</v>
      </c>
      <c r="E13" s="69">
        <v>356000</v>
      </c>
      <c r="F13" s="235">
        <f>(E13/Deflator!$N$91)*Deflator!$N$89</f>
        <v>335298.40860215056</v>
      </c>
      <c r="G13" s="65" t="s">
        <v>149</v>
      </c>
    </row>
    <row r="14" spans="1:7" x14ac:dyDescent="0.2">
      <c r="C14" s="70" t="s">
        <v>151</v>
      </c>
      <c r="E14" s="69">
        <v>78000</v>
      </c>
      <c r="F14" s="235">
        <f>(E14/Deflator!$N$91)*Deflator!$N$89</f>
        <v>73464.258064516122</v>
      </c>
      <c r="G14" s="65" t="s">
        <v>149</v>
      </c>
    </row>
    <row r="15" spans="1:7" x14ac:dyDescent="0.2">
      <c r="C15" s="70" t="s">
        <v>152</v>
      </c>
      <c r="E15" s="69">
        <f>SUM(E5,E10,E11)</f>
        <v>81503000</v>
      </c>
      <c r="F15" s="235">
        <f>(E15/Deflator!$N$91)*Deflator!$N$89</f>
        <v>76763556.731182784</v>
      </c>
    </row>
    <row r="16" spans="1:7" x14ac:dyDescent="0.2">
      <c r="C16" s="70"/>
      <c r="E16" s="69"/>
      <c r="F16" s="235"/>
    </row>
    <row r="17" spans="1:12" x14ac:dyDescent="0.2">
      <c r="C17" s="71" t="s">
        <v>153</v>
      </c>
      <c r="D17" s="72">
        <v>0.01</v>
      </c>
      <c r="E17" s="69">
        <f>E15*D17</f>
        <v>815030</v>
      </c>
      <c r="F17" s="235">
        <f>(E17/Deflator!$N$91)*Deflator!$N$89</f>
        <v>767635.56731182791</v>
      </c>
      <c r="G17" s="65" t="s">
        <v>431</v>
      </c>
    </row>
    <row r="18" spans="1:12" x14ac:dyDescent="0.2">
      <c r="C18" s="71" t="s">
        <v>154</v>
      </c>
      <c r="E18" s="69">
        <v>3357000</v>
      </c>
      <c r="F18" s="235">
        <f>(E18/Deflator!$N$91)*Deflator!$N$89</f>
        <v>3161788.6451612897</v>
      </c>
      <c r="G18" s="65" t="s">
        <v>431</v>
      </c>
    </row>
    <row r="19" spans="1:12" x14ac:dyDescent="0.2">
      <c r="C19" s="71" t="s">
        <v>155</v>
      </c>
      <c r="D19" s="72">
        <v>0.06</v>
      </c>
      <c r="E19" s="69">
        <f>(E15+E17+E18)*D19</f>
        <v>5140501.8</v>
      </c>
      <c r="F19" s="235">
        <f>(E19/Deflator!$N$91)*Deflator!$N$89</f>
        <v>4841578.8566193534</v>
      </c>
      <c r="G19" s="65" t="s">
        <v>431</v>
      </c>
      <c r="H19" s="73"/>
    </row>
    <row r="20" spans="1:12" x14ac:dyDescent="0.2">
      <c r="C20" s="209" t="s">
        <v>156</v>
      </c>
      <c r="D20" s="210"/>
      <c r="E20" s="211">
        <f>SUM(E15,E17:E19)</f>
        <v>90815531.799999997</v>
      </c>
      <c r="F20" s="211">
        <f>(E20/Deflator!$N$91)*Deflator!$N$89</f>
        <v>85534559.800275266</v>
      </c>
      <c r="I20" s="69">
        <f>E20/4</f>
        <v>22703882.949999999</v>
      </c>
    </row>
    <row r="21" spans="1:12" x14ac:dyDescent="0.2">
      <c r="C21" s="71" t="s">
        <v>561</v>
      </c>
      <c r="D21" s="72">
        <v>0.1</v>
      </c>
      <c r="E21" s="69">
        <f>E15*D21</f>
        <v>8150300</v>
      </c>
      <c r="F21" s="69">
        <f>(E21/Deflator!$N$91)*Deflator!$N$89</f>
        <v>7676355.6731182784</v>
      </c>
      <c r="G21" s="65" t="s">
        <v>431</v>
      </c>
      <c r="I21" s="69"/>
    </row>
    <row r="22" spans="1:12" x14ac:dyDescent="0.2">
      <c r="C22" s="209"/>
      <c r="D22" s="210" t="s">
        <v>156</v>
      </c>
      <c r="E22" s="211">
        <f>E21+E20</f>
        <v>98965831.799999997</v>
      </c>
      <c r="F22" s="211">
        <f>(E22/Deflator!$N$91)*Deflator!$N$89</f>
        <v>93210915.47339353</v>
      </c>
      <c r="G22" s="234"/>
      <c r="I22" s="74">
        <f>I20/2</f>
        <v>11351941.475</v>
      </c>
    </row>
    <row r="23" spans="1:12" ht="13.5" x14ac:dyDescent="0.25">
      <c r="A23" s="47" t="s">
        <v>157</v>
      </c>
      <c r="B23" s="47" t="s">
        <v>34</v>
      </c>
      <c r="C23" s="5"/>
      <c r="D23" s="5"/>
      <c r="E23" s="5"/>
      <c r="F23" s="5"/>
      <c r="G23" s="58"/>
      <c r="H23" s="5"/>
      <c r="I23" s="52"/>
      <c r="J23" s="5"/>
      <c r="K23" s="5"/>
      <c r="L23" s="5"/>
    </row>
    <row r="24" spans="1:12" ht="13.5" x14ac:dyDescent="0.25">
      <c r="A24" s="5" t="str">
        <f>'3-Inputs'!B4</f>
        <v>Discount Rate</v>
      </c>
      <c r="B24" s="48">
        <f>'3-Inputs'!C4</f>
        <v>3.1E-2</v>
      </c>
      <c r="C24" s="5"/>
      <c r="D24" s="5"/>
      <c r="E24" s="5"/>
      <c r="F24" s="5"/>
      <c r="G24" s="5"/>
      <c r="H24" s="5"/>
      <c r="I24" s="52"/>
      <c r="J24" s="5"/>
      <c r="K24" s="5"/>
      <c r="L24" s="5"/>
    </row>
    <row r="25" spans="1:12" ht="13.5" x14ac:dyDescent="0.25">
      <c r="A25" s="5" t="str">
        <f>'3-Inputs'!B6</f>
        <v>Discount Year</v>
      </c>
      <c r="B25" s="5">
        <f>'3-Inputs'!C6</f>
        <v>2022</v>
      </c>
      <c r="C25" s="5"/>
      <c r="D25" s="5"/>
      <c r="E25" s="5"/>
      <c r="F25" s="5"/>
      <c r="G25" s="5"/>
      <c r="H25" s="5"/>
      <c r="I25" s="52"/>
      <c r="J25" s="5"/>
      <c r="K25" s="5"/>
      <c r="L25" s="5"/>
    </row>
    <row r="26" spans="1:12" ht="13.5" x14ac:dyDescent="0.25">
      <c r="A26" s="5" t="str">
        <f>'3-Inputs'!B21</f>
        <v>Escalation year</v>
      </c>
      <c r="B26" s="5">
        <f>'3-Inputs'!C21</f>
        <v>2024</v>
      </c>
      <c r="C26" s="5"/>
      <c r="D26" s="5"/>
      <c r="E26" s="5"/>
      <c r="F26" s="5"/>
      <c r="G26" s="5"/>
      <c r="H26" s="5"/>
      <c r="I26" s="52"/>
      <c r="J26" s="5"/>
      <c r="K26" s="5"/>
      <c r="L26" s="5"/>
    </row>
    <row r="27" spans="1:12" ht="13.5" x14ac:dyDescent="0.25">
      <c r="A27" s="5" t="str">
        <f>'3-Inputs'!B20</f>
        <v>Annual Escalation</v>
      </c>
      <c r="B27" s="278">
        <f>'3-Inputs'!C20</f>
        <v>0.03</v>
      </c>
      <c r="C27" s="5"/>
      <c r="D27" s="5"/>
      <c r="E27" s="5"/>
      <c r="F27" s="5"/>
      <c r="G27" s="5"/>
      <c r="H27" s="5"/>
      <c r="I27" s="52"/>
      <c r="J27" s="5"/>
      <c r="K27" s="5"/>
      <c r="L27" s="5"/>
    </row>
    <row r="28" spans="1:12" ht="13.5" x14ac:dyDescent="0.25">
      <c r="A28" s="5"/>
      <c r="B28" s="5"/>
      <c r="C28" s="214" t="s">
        <v>138</v>
      </c>
      <c r="D28" s="214" t="s">
        <v>694</v>
      </c>
      <c r="E28" s="214" t="s">
        <v>170</v>
      </c>
      <c r="F28" s="5"/>
      <c r="G28" s="5"/>
      <c r="H28" s="5"/>
      <c r="I28" s="5"/>
      <c r="J28" s="5"/>
      <c r="K28" s="5"/>
      <c r="L28" s="5"/>
    </row>
    <row r="29" spans="1:12" ht="13.5" x14ac:dyDescent="0.25">
      <c r="A29" s="5"/>
      <c r="B29" s="5"/>
      <c r="C29" s="2" t="s">
        <v>141</v>
      </c>
      <c r="D29" s="31">
        <f>SUMIFS($E$5:$E$22,$G$5:$G$22,C29)</f>
        <v>827000</v>
      </c>
      <c r="E29" s="31">
        <f>SUMIFS($F$5:$F$22,$G$5:$G$22,C29)</f>
        <v>778909.50537634408</v>
      </c>
      <c r="F29" s="5"/>
      <c r="G29" s="5"/>
      <c r="H29" s="5"/>
      <c r="I29" s="5"/>
      <c r="J29" s="5"/>
      <c r="K29" s="5"/>
      <c r="L29" s="5"/>
    </row>
    <row r="30" spans="1:12" ht="13.5" x14ac:dyDescent="0.25">
      <c r="A30" s="5"/>
      <c r="B30" s="5"/>
      <c r="C30" s="2" t="s">
        <v>149</v>
      </c>
      <c r="D30" s="31">
        <f>SUMIFS($E$5:$E$22,$G$5:$G$22,C30)</f>
        <v>476000</v>
      </c>
      <c r="E30" s="31">
        <f>SUMIFS($F$5:$F$22,$G$5:$G$22,C30)</f>
        <v>448320.34408602153</v>
      </c>
      <c r="F30" s="5"/>
      <c r="G30" s="5"/>
      <c r="H30" s="5"/>
      <c r="I30" s="5"/>
      <c r="J30" s="5"/>
      <c r="K30" s="5"/>
      <c r="L30" s="5"/>
    </row>
    <row r="31" spans="1:12" ht="13.5" x14ac:dyDescent="0.25">
      <c r="A31" s="5"/>
      <c r="B31" s="5"/>
      <c r="C31" s="212" t="s">
        <v>432</v>
      </c>
      <c r="D31" s="31">
        <f>SUMIFS($E$5:$E$22,$G$5:$G$22,C31)</f>
        <v>80200000</v>
      </c>
      <c r="E31" s="31">
        <f>SUMIFS($F$5:$F$22,$G$5:$G$22,C31)</f>
        <v>75536326.881720424</v>
      </c>
      <c r="F31" s="5"/>
      <c r="G31" s="5"/>
      <c r="H31" s="5"/>
      <c r="I31" s="5"/>
      <c r="J31" s="5"/>
      <c r="K31" s="5"/>
      <c r="L31" s="5"/>
    </row>
    <row r="32" spans="1:12" ht="13.5" x14ac:dyDescent="0.25">
      <c r="A32" s="5"/>
      <c r="B32" s="5"/>
      <c r="C32" s="212" t="s">
        <v>431</v>
      </c>
      <c r="D32" s="31">
        <f>SUMIFS($E$5:$E$22,$G$5:$G$22,C32)</f>
        <v>17462831.800000001</v>
      </c>
      <c r="E32" s="31">
        <f>SUMIFS($F$5:$F$22,$G$5:$G$22,C32)</f>
        <v>16447358.74221075</v>
      </c>
      <c r="F32" s="5"/>
      <c r="G32" s="5"/>
      <c r="H32" s="5"/>
      <c r="I32" s="5"/>
      <c r="J32" s="5"/>
      <c r="K32" s="5"/>
      <c r="L32" s="5"/>
    </row>
    <row r="33" spans="1:15" ht="13.5" x14ac:dyDescent="0.25">
      <c r="A33" s="5"/>
      <c r="B33" s="5"/>
      <c r="C33" s="2" t="s">
        <v>134</v>
      </c>
      <c r="D33" s="117">
        <f>D31+D32</f>
        <v>97662831.799999997</v>
      </c>
      <c r="E33" s="117">
        <f>E31+E32</f>
        <v>91983685.62393117</v>
      </c>
      <c r="F33" s="5"/>
      <c r="G33" s="5"/>
      <c r="H33" s="5"/>
      <c r="I33" s="5"/>
      <c r="J33" s="5"/>
      <c r="K33" s="5"/>
      <c r="L33" s="5"/>
    </row>
    <row r="34" spans="1:15" ht="13.5" x14ac:dyDescent="0.25">
      <c r="A34" s="5"/>
      <c r="B34" s="5"/>
      <c r="C34" s="2" t="s">
        <v>156</v>
      </c>
      <c r="D34" s="213">
        <f>D33+D30+D29</f>
        <v>98965831.799999997</v>
      </c>
      <c r="E34" s="213">
        <f>E33+E30+E29</f>
        <v>93210915.47339353</v>
      </c>
      <c r="F34" s="5"/>
      <c r="G34" s="5"/>
      <c r="H34" s="5"/>
      <c r="I34" s="5"/>
      <c r="J34" s="5"/>
      <c r="K34" s="5"/>
      <c r="L34" s="5"/>
    </row>
    <row r="35" spans="1:15" ht="15" x14ac:dyDescent="0.25">
      <c r="A35" s="5"/>
      <c r="B35" s="5"/>
      <c r="C35" s="5"/>
      <c r="D35" s="5"/>
      <c r="E35" s="5"/>
      <c r="F35" s="5"/>
      <c r="G35" s="5"/>
      <c r="H35" s="5"/>
      <c r="I35" s="5"/>
      <c r="J35" s="5"/>
      <c r="K35" s="5"/>
      <c r="L35" s="5"/>
      <c r="N35" s="121"/>
      <c r="O35" s="121"/>
    </row>
    <row r="36" spans="1:15" ht="15" x14ac:dyDescent="0.25">
      <c r="A36" s="5"/>
      <c r="B36" s="5"/>
      <c r="C36" s="76" t="s">
        <v>655</v>
      </c>
      <c r="D36" s="76" t="s">
        <v>158</v>
      </c>
      <c r="E36" s="76" t="s">
        <v>159</v>
      </c>
      <c r="F36" s="76" t="s">
        <v>160</v>
      </c>
      <c r="G36" s="76">
        <v>2023</v>
      </c>
      <c r="H36" s="76">
        <v>2024</v>
      </c>
      <c r="I36" s="76">
        <v>2025</v>
      </c>
      <c r="J36" s="76">
        <v>2026</v>
      </c>
      <c r="K36" s="76">
        <v>2027</v>
      </c>
      <c r="L36" s="76">
        <v>2028</v>
      </c>
      <c r="M36" s="76">
        <v>2029</v>
      </c>
      <c r="N36" s="121"/>
      <c r="O36" s="121"/>
    </row>
    <row r="37" spans="1:15" ht="15" x14ac:dyDescent="0.25">
      <c r="A37" s="5"/>
      <c r="B37" s="5"/>
      <c r="C37" s="106" t="s">
        <v>121</v>
      </c>
      <c r="D37" s="2" t="s">
        <v>161</v>
      </c>
      <c r="E37" s="2" t="s">
        <v>162</v>
      </c>
      <c r="F37" s="2">
        <f>SUM(G37:M37)</f>
        <v>10</v>
      </c>
      <c r="G37" s="2">
        <v>4</v>
      </c>
      <c r="H37" s="2">
        <v>4</v>
      </c>
      <c r="I37" s="2">
        <v>2</v>
      </c>
      <c r="J37" s="2"/>
      <c r="K37" s="2"/>
      <c r="L37" s="2"/>
      <c r="M37" s="2"/>
      <c r="N37" s="121"/>
      <c r="O37" s="121"/>
    </row>
    <row r="38" spans="1:15" ht="15" x14ac:dyDescent="0.25">
      <c r="A38" s="5"/>
      <c r="B38" s="5"/>
      <c r="C38" s="2" t="s">
        <v>129</v>
      </c>
      <c r="D38" s="2" t="s">
        <v>163</v>
      </c>
      <c r="E38" s="2" t="s">
        <v>164</v>
      </c>
      <c r="F38" s="2">
        <f>SUM(G38:M38)</f>
        <v>4</v>
      </c>
      <c r="G38" s="2"/>
      <c r="H38" s="2"/>
      <c r="I38" s="2">
        <v>2</v>
      </c>
      <c r="J38" s="2">
        <v>2</v>
      </c>
      <c r="K38" s="2"/>
      <c r="L38" s="2"/>
      <c r="M38" s="2"/>
      <c r="N38" s="121"/>
      <c r="O38" s="121"/>
    </row>
    <row r="39" spans="1:15" ht="15" x14ac:dyDescent="0.25">
      <c r="A39" s="5"/>
      <c r="B39" s="5"/>
      <c r="C39" s="2" t="s">
        <v>134</v>
      </c>
      <c r="D39" s="2" t="s">
        <v>165</v>
      </c>
      <c r="E39" s="2" t="s">
        <v>166</v>
      </c>
      <c r="F39" s="2">
        <f>SUM(G39:M39)</f>
        <v>12</v>
      </c>
      <c r="G39" s="2"/>
      <c r="H39" s="2"/>
      <c r="I39" s="2"/>
      <c r="J39" s="2">
        <v>2</v>
      </c>
      <c r="K39" s="2">
        <v>4</v>
      </c>
      <c r="L39" s="2">
        <v>4</v>
      </c>
      <c r="M39" s="2">
        <v>2</v>
      </c>
      <c r="N39" s="121"/>
      <c r="O39" s="121"/>
    </row>
    <row r="40" spans="1:15" ht="15" x14ac:dyDescent="0.25">
      <c r="A40" s="5"/>
      <c r="B40" s="5"/>
      <c r="C40" s="5"/>
      <c r="D40" s="5"/>
      <c r="E40" s="5"/>
      <c r="F40" s="5"/>
      <c r="G40" s="5"/>
      <c r="H40" s="5"/>
      <c r="I40" s="5"/>
      <c r="J40" s="5"/>
      <c r="K40" s="5"/>
      <c r="L40" s="5"/>
      <c r="M40" s="5"/>
      <c r="N40" s="121"/>
      <c r="O40" s="121"/>
    </row>
    <row r="41" spans="1:15" ht="15" x14ac:dyDescent="0.25">
      <c r="A41" s="5"/>
      <c r="B41" s="5"/>
      <c r="C41" s="277" t="s">
        <v>698</v>
      </c>
      <c r="D41" s="5"/>
      <c r="E41" s="5"/>
      <c r="F41" s="5"/>
      <c r="G41" s="5"/>
      <c r="H41" s="5"/>
      <c r="I41" s="5"/>
      <c r="J41" s="5"/>
      <c r="K41" s="5"/>
      <c r="L41" s="5"/>
      <c r="M41" s="5"/>
      <c r="N41" s="121"/>
      <c r="O41" s="121"/>
    </row>
    <row r="42" spans="1:15" ht="15" x14ac:dyDescent="0.25">
      <c r="A42" s="5"/>
      <c r="B42" s="5"/>
      <c r="C42" s="5"/>
      <c r="D42" s="5"/>
      <c r="E42" s="5"/>
      <c r="F42" s="5"/>
      <c r="G42" s="5"/>
      <c r="H42" s="5"/>
      <c r="I42" s="5"/>
      <c r="J42" s="5"/>
      <c r="K42" s="5"/>
      <c r="L42" s="5"/>
      <c r="M42" s="5"/>
      <c r="N42" s="121"/>
      <c r="O42" s="121"/>
    </row>
    <row r="43" spans="1:15" ht="15" x14ac:dyDescent="0.25">
      <c r="A43" s="5"/>
      <c r="B43" s="5"/>
      <c r="C43" s="273" t="s">
        <v>167</v>
      </c>
      <c r="D43" s="273" t="s">
        <v>695</v>
      </c>
      <c r="E43" s="273" t="s">
        <v>696</v>
      </c>
      <c r="F43" s="80" t="s">
        <v>697</v>
      </c>
      <c r="G43" s="273" t="s">
        <v>694</v>
      </c>
      <c r="I43" s="274"/>
      <c r="J43" s="274"/>
      <c r="K43" s="274"/>
      <c r="L43" s="274"/>
      <c r="M43" s="5"/>
      <c r="N43" s="121"/>
      <c r="O43" s="121"/>
    </row>
    <row r="44" spans="1:15" ht="15" x14ac:dyDescent="0.25">
      <c r="A44" s="5"/>
      <c r="B44" s="5"/>
      <c r="C44" s="2">
        <f>C70</f>
        <v>2023</v>
      </c>
      <c r="D44" s="31">
        <f>$D$29*(G37/$F$37)</f>
        <v>330800</v>
      </c>
      <c r="E44" s="2"/>
      <c r="F44" s="2"/>
      <c r="G44" s="31">
        <f>SUM(D44:F44)</f>
        <v>330800</v>
      </c>
      <c r="H44" s="5"/>
      <c r="I44" s="5"/>
      <c r="J44" s="5"/>
      <c r="K44" s="5"/>
      <c r="L44" s="5"/>
      <c r="M44" s="5"/>
      <c r="N44" s="121"/>
      <c r="O44" s="121"/>
    </row>
    <row r="45" spans="1:15" ht="15" x14ac:dyDescent="0.25">
      <c r="A45" s="5"/>
      <c r="B45" s="5"/>
      <c r="C45" s="2">
        <f t="shared" ref="C45:C52" si="0">C71</f>
        <v>2024</v>
      </c>
      <c r="D45" s="31">
        <f>$D$29*(H37/$F$37)</f>
        <v>330800</v>
      </c>
      <c r="E45" s="2"/>
      <c r="F45" s="2"/>
      <c r="G45" s="31">
        <f t="shared" ref="G45:G50" si="1">SUM(D45:F45)</f>
        <v>330800</v>
      </c>
      <c r="H45" s="5"/>
      <c r="I45" s="5"/>
      <c r="J45" s="5"/>
      <c r="K45" s="5"/>
      <c r="L45" s="5"/>
      <c r="M45" s="5"/>
      <c r="N45" s="121"/>
      <c r="O45" s="121"/>
    </row>
    <row r="46" spans="1:15" ht="15" x14ac:dyDescent="0.25">
      <c r="A46" s="5"/>
      <c r="B46" s="5"/>
      <c r="C46" s="2">
        <f t="shared" si="0"/>
        <v>2025</v>
      </c>
      <c r="D46" s="31">
        <f>$D$29*(I37/$F$37)</f>
        <v>165400</v>
      </c>
      <c r="E46" s="31">
        <f>$D$30*(J38/F38)</f>
        <v>238000</v>
      </c>
      <c r="F46" s="2"/>
      <c r="G46" s="31">
        <f t="shared" si="1"/>
        <v>403400</v>
      </c>
      <c r="H46" s="5"/>
      <c r="I46" s="5"/>
      <c r="J46" s="5"/>
      <c r="K46" s="5"/>
      <c r="L46" s="5"/>
      <c r="M46" s="5"/>
      <c r="N46" s="121"/>
      <c r="O46" s="121"/>
    </row>
    <row r="47" spans="1:15" ht="15" x14ac:dyDescent="0.25">
      <c r="A47" s="5"/>
      <c r="B47" s="5"/>
      <c r="C47" s="2">
        <f t="shared" si="0"/>
        <v>2026</v>
      </c>
      <c r="D47" s="2"/>
      <c r="E47" s="31">
        <f>D30*(J38/F38)</f>
        <v>238000</v>
      </c>
      <c r="F47" s="31">
        <f>D33*(J39/F39)</f>
        <v>16277138.633333333</v>
      </c>
      <c r="G47" s="31">
        <f t="shared" si="1"/>
        <v>16515138.633333333</v>
      </c>
      <c r="H47" s="5"/>
      <c r="I47" s="5"/>
      <c r="J47" s="5"/>
      <c r="K47" s="5"/>
      <c r="L47" s="5"/>
      <c r="M47" s="5"/>
      <c r="N47" s="121"/>
      <c r="O47" s="121"/>
    </row>
    <row r="48" spans="1:15" ht="15" x14ac:dyDescent="0.25">
      <c r="A48" s="5"/>
      <c r="B48" s="5"/>
      <c r="C48" s="2">
        <f t="shared" si="0"/>
        <v>2027</v>
      </c>
      <c r="D48" s="2"/>
      <c r="E48" s="2"/>
      <c r="F48" s="31">
        <f>D33*(K39/F39)</f>
        <v>32554277.266666666</v>
      </c>
      <c r="G48" s="31">
        <f t="shared" si="1"/>
        <v>32554277.266666666</v>
      </c>
      <c r="H48" s="5"/>
      <c r="I48" s="5"/>
      <c r="J48" s="5"/>
      <c r="K48" s="5"/>
      <c r="L48" s="5"/>
      <c r="M48" s="5"/>
      <c r="N48" s="121"/>
      <c r="O48" s="121"/>
    </row>
    <row r="49" spans="1:15" ht="15" x14ac:dyDescent="0.25">
      <c r="A49" s="5"/>
      <c r="B49" s="5"/>
      <c r="C49" s="2">
        <f t="shared" si="0"/>
        <v>2028</v>
      </c>
      <c r="D49" s="2"/>
      <c r="E49" s="2"/>
      <c r="F49" s="31">
        <f>D33*(L39/F39)</f>
        <v>32554277.266666666</v>
      </c>
      <c r="G49" s="31">
        <f t="shared" si="1"/>
        <v>32554277.266666666</v>
      </c>
      <c r="H49" s="5"/>
      <c r="I49" s="5"/>
      <c r="J49" s="5"/>
      <c r="K49" s="5"/>
      <c r="L49" s="5"/>
      <c r="M49" s="5"/>
      <c r="N49" s="121"/>
      <c r="O49" s="121"/>
    </row>
    <row r="50" spans="1:15" ht="15" x14ac:dyDescent="0.25">
      <c r="A50" s="5"/>
      <c r="B50" s="5"/>
      <c r="C50" s="2">
        <f t="shared" si="0"/>
        <v>2029</v>
      </c>
      <c r="D50" s="2"/>
      <c r="E50" s="2"/>
      <c r="F50" s="31">
        <f>D33*(M39/F39)</f>
        <v>16277138.633333333</v>
      </c>
      <c r="G50" s="31">
        <f t="shared" si="1"/>
        <v>16277138.633333333</v>
      </c>
      <c r="H50" s="5"/>
      <c r="I50" s="5"/>
      <c r="J50" s="5"/>
      <c r="K50" s="5"/>
      <c r="L50" s="5"/>
      <c r="M50" s="5"/>
      <c r="N50" s="121"/>
      <c r="O50" s="121"/>
    </row>
    <row r="51" spans="1:15" ht="15" x14ac:dyDescent="0.25">
      <c r="A51" s="5"/>
      <c r="B51" s="5"/>
      <c r="C51" s="2">
        <f t="shared" si="0"/>
        <v>2030</v>
      </c>
      <c r="D51" s="2"/>
      <c r="E51" s="2"/>
      <c r="F51" s="2"/>
      <c r="G51" s="31"/>
      <c r="H51" s="5"/>
      <c r="I51" s="5"/>
      <c r="J51" s="5"/>
      <c r="K51" s="5"/>
      <c r="L51" s="5"/>
      <c r="M51" s="5"/>
      <c r="N51" s="121"/>
      <c r="O51" s="121"/>
    </row>
    <row r="52" spans="1:15" ht="15" x14ac:dyDescent="0.25">
      <c r="A52" s="5"/>
      <c r="B52" s="5"/>
      <c r="C52" s="2" t="str">
        <f t="shared" si="0"/>
        <v>Total</v>
      </c>
      <c r="D52" s="31">
        <f>SUM(D44:D51)</f>
        <v>827000</v>
      </c>
      <c r="E52" s="31">
        <f>SUM(E44:E51)</f>
        <v>476000</v>
      </c>
      <c r="F52" s="31">
        <f>SUM(F44:F51)</f>
        <v>97662831.799999982</v>
      </c>
      <c r="G52" s="31">
        <f>SUM(G44:G51)</f>
        <v>98965831.799999982</v>
      </c>
      <c r="H52" s="5"/>
      <c r="I52" s="5"/>
      <c r="J52" s="5"/>
      <c r="K52" s="5"/>
      <c r="L52" s="5"/>
      <c r="M52" s="5"/>
      <c r="N52" s="121"/>
      <c r="O52" s="121"/>
    </row>
    <row r="53" spans="1:15" ht="15" x14ac:dyDescent="0.25">
      <c r="A53" s="5"/>
      <c r="B53" s="5"/>
      <c r="C53" s="5"/>
      <c r="D53" s="27"/>
      <c r="E53" s="27"/>
      <c r="F53" s="27"/>
      <c r="G53" s="27"/>
      <c r="H53" s="5"/>
      <c r="I53" s="5"/>
      <c r="J53" s="5"/>
      <c r="K53" s="5"/>
      <c r="L53" s="5"/>
      <c r="M53" s="5"/>
      <c r="N53" s="121"/>
      <c r="O53" s="121"/>
    </row>
    <row r="54" spans="1:15" ht="15" x14ac:dyDescent="0.25">
      <c r="A54" s="5"/>
      <c r="B54" s="5"/>
      <c r="C54" s="277" t="s">
        <v>699</v>
      </c>
      <c r="D54" s="5"/>
      <c r="E54" s="5"/>
      <c r="F54" s="5"/>
      <c r="G54" s="5"/>
      <c r="H54" s="5"/>
      <c r="I54" s="5"/>
      <c r="J54" s="5"/>
      <c r="K54" s="5"/>
      <c r="L54" s="5"/>
      <c r="M54" s="5"/>
      <c r="N54" s="121"/>
      <c r="O54" s="121"/>
    </row>
    <row r="55" spans="1:15" ht="15" x14ac:dyDescent="0.25">
      <c r="A55" s="5"/>
      <c r="B55" s="5"/>
      <c r="C55" s="5"/>
      <c r="D55" s="5"/>
      <c r="E55" s="5"/>
      <c r="F55" s="5"/>
      <c r="G55" s="5"/>
      <c r="H55" s="5"/>
      <c r="I55" s="5"/>
      <c r="J55" s="5"/>
      <c r="K55" s="5"/>
      <c r="L55" s="5"/>
      <c r="M55" s="5"/>
      <c r="N55" s="121"/>
      <c r="O55" s="121"/>
    </row>
    <row r="56" spans="1:15" ht="15" x14ac:dyDescent="0.25">
      <c r="A56" s="5"/>
      <c r="B56" s="5"/>
      <c r="C56" s="273" t="s">
        <v>167</v>
      </c>
      <c r="D56" s="273" t="s">
        <v>695</v>
      </c>
      <c r="E56" s="273" t="s">
        <v>696</v>
      </c>
      <c r="F56" s="80" t="s">
        <v>697</v>
      </c>
      <c r="G56" s="273" t="s">
        <v>694</v>
      </c>
      <c r="H56" s="5"/>
      <c r="I56" s="5"/>
      <c r="J56" s="5"/>
      <c r="K56" s="5"/>
      <c r="L56" s="5"/>
      <c r="M56" s="5"/>
      <c r="N56" s="121"/>
      <c r="O56" s="121"/>
    </row>
    <row r="57" spans="1:15" ht="15" x14ac:dyDescent="0.25">
      <c r="A57" s="5"/>
      <c r="B57" s="5"/>
      <c r="C57" s="2">
        <f>C44</f>
        <v>2023</v>
      </c>
      <c r="D57" s="31">
        <f>IF($C57&lt;$B$26,D44,(D44/(1+$B$27)^($C44-$B$26)))</f>
        <v>330800</v>
      </c>
      <c r="E57" s="31">
        <f t="shared" ref="E57:G57" si="2">IF($C57&lt;$B$26,E44,(E44/(1+$B$27)^($C44-$B$26)))</f>
        <v>0</v>
      </c>
      <c r="F57" s="31">
        <f t="shared" si="2"/>
        <v>0</v>
      </c>
      <c r="G57" s="31">
        <f t="shared" si="2"/>
        <v>330800</v>
      </c>
      <c r="H57" s="5"/>
      <c r="I57" s="5"/>
      <c r="J57" s="5"/>
      <c r="K57" s="5"/>
      <c r="L57" s="5"/>
      <c r="M57" s="5"/>
      <c r="N57" s="121"/>
      <c r="O57" s="121"/>
    </row>
    <row r="58" spans="1:15" ht="15" x14ac:dyDescent="0.25">
      <c r="A58" s="5"/>
      <c r="B58" s="5"/>
      <c r="C58" s="2">
        <f t="shared" ref="C58:C65" si="3">C45</f>
        <v>2024</v>
      </c>
      <c r="D58" s="31">
        <f t="shared" ref="D58:G64" si="4">IF($C58&lt;$B$26,D45,(D45/(1+$B$27)^($C45-$B$26)))</f>
        <v>330800</v>
      </c>
      <c r="E58" s="31">
        <f t="shared" si="4"/>
        <v>0</v>
      </c>
      <c r="F58" s="31">
        <f t="shared" si="4"/>
        <v>0</v>
      </c>
      <c r="G58" s="31">
        <f t="shared" si="4"/>
        <v>330800</v>
      </c>
      <c r="H58" s="5"/>
      <c r="I58" s="5"/>
      <c r="J58" s="5"/>
      <c r="K58" s="5"/>
      <c r="L58" s="5"/>
      <c r="M58" s="5"/>
      <c r="N58" s="121"/>
      <c r="O58" s="121"/>
    </row>
    <row r="59" spans="1:15" ht="15" x14ac:dyDescent="0.25">
      <c r="A59" s="5"/>
      <c r="B59" s="5"/>
      <c r="C59" s="2">
        <f t="shared" si="3"/>
        <v>2025</v>
      </c>
      <c r="D59" s="31">
        <f t="shared" si="4"/>
        <v>160582.52427184465</v>
      </c>
      <c r="E59" s="31">
        <f t="shared" si="4"/>
        <v>231067.96116504853</v>
      </c>
      <c r="F59" s="31">
        <f t="shared" si="4"/>
        <v>0</v>
      </c>
      <c r="G59" s="31">
        <f t="shared" si="4"/>
        <v>391650.48543689318</v>
      </c>
      <c r="H59" s="275"/>
      <c r="I59" s="27"/>
      <c r="J59" s="5"/>
      <c r="K59" s="5"/>
      <c r="L59" s="5"/>
      <c r="M59" s="5"/>
      <c r="N59" s="121"/>
      <c r="O59" s="121"/>
    </row>
    <row r="60" spans="1:15" ht="15" x14ac:dyDescent="0.25">
      <c r="A60" s="5"/>
      <c r="B60" s="5"/>
      <c r="C60" s="2">
        <f t="shared" si="3"/>
        <v>2026</v>
      </c>
      <c r="D60" s="31">
        <f t="shared" si="4"/>
        <v>0</v>
      </c>
      <c r="E60" s="31">
        <f t="shared" si="4"/>
        <v>224337.82637383355</v>
      </c>
      <c r="F60" s="31">
        <f t="shared" si="4"/>
        <v>15342764.288182989</v>
      </c>
      <c r="G60" s="31">
        <f t="shared" si="4"/>
        <v>15567102.114556823</v>
      </c>
      <c r="H60" s="275"/>
      <c r="I60" s="27"/>
      <c r="J60" s="5"/>
      <c r="K60" s="5"/>
      <c r="L60" s="5"/>
      <c r="M60" s="5"/>
      <c r="N60" s="121"/>
      <c r="O60" s="121"/>
    </row>
    <row r="61" spans="1:15" ht="15" x14ac:dyDescent="0.25">
      <c r="A61" s="5"/>
      <c r="B61" s="5"/>
      <c r="C61" s="2">
        <f t="shared" si="3"/>
        <v>2027</v>
      </c>
      <c r="D61" s="31">
        <f t="shared" si="4"/>
        <v>0</v>
      </c>
      <c r="E61" s="31">
        <f t="shared" si="4"/>
        <v>0</v>
      </c>
      <c r="F61" s="31">
        <f t="shared" si="4"/>
        <v>29791775.316860173</v>
      </c>
      <c r="G61" s="31">
        <f t="shared" si="4"/>
        <v>29791775.316860173</v>
      </c>
      <c r="H61" s="275"/>
      <c r="I61" s="27"/>
      <c r="J61" s="5"/>
      <c r="K61" s="5"/>
      <c r="L61" s="5"/>
      <c r="M61" s="5"/>
      <c r="N61" s="121"/>
      <c r="O61" s="121"/>
    </row>
    <row r="62" spans="1:15" ht="15" x14ac:dyDescent="0.25">
      <c r="A62" s="5"/>
      <c r="B62" s="5"/>
      <c r="C62" s="2">
        <f t="shared" si="3"/>
        <v>2028</v>
      </c>
      <c r="D62" s="31">
        <f t="shared" si="4"/>
        <v>0</v>
      </c>
      <c r="E62" s="31">
        <f t="shared" si="4"/>
        <v>0</v>
      </c>
      <c r="F62" s="31">
        <f t="shared" si="4"/>
        <v>28924053.70568949</v>
      </c>
      <c r="G62" s="31">
        <f t="shared" si="4"/>
        <v>28924053.70568949</v>
      </c>
      <c r="H62" s="275"/>
      <c r="I62" s="27"/>
      <c r="J62" s="5"/>
      <c r="K62" s="5"/>
      <c r="L62" s="5"/>
      <c r="M62" s="5"/>
      <c r="N62" s="121"/>
      <c r="O62" s="121"/>
    </row>
    <row r="63" spans="1:15" ht="15" x14ac:dyDescent="0.25">
      <c r="A63" s="5"/>
      <c r="B63" s="5"/>
      <c r="C63" s="2">
        <f t="shared" si="3"/>
        <v>2029</v>
      </c>
      <c r="D63" s="31">
        <f t="shared" si="4"/>
        <v>0</v>
      </c>
      <c r="E63" s="31">
        <f t="shared" si="4"/>
        <v>0</v>
      </c>
      <c r="F63" s="31">
        <f t="shared" si="4"/>
        <v>14040802.76975218</v>
      </c>
      <c r="G63" s="31">
        <f t="shared" si="4"/>
        <v>14040802.76975218</v>
      </c>
      <c r="H63" s="275"/>
      <c r="I63" s="27"/>
      <c r="J63" s="5"/>
      <c r="K63" s="5"/>
      <c r="L63" s="5"/>
      <c r="M63" s="5"/>
      <c r="N63" s="121"/>
      <c r="O63" s="121"/>
    </row>
    <row r="64" spans="1:15" ht="15" x14ac:dyDescent="0.25">
      <c r="A64" s="5"/>
      <c r="B64" s="5"/>
      <c r="C64" s="2">
        <f t="shared" si="3"/>
        <v>2030</v>
      </c>
      <c r="D64" s="31">
        <f t="shared" si="4"/>
        <v>0</v>
      </c>
      <c r="E64" s="31">
        <f t="shared" si="4"/>
        <v>0</v>
      </c>
      <c r="F64" s="31">
        <f t="shared" si="4"/>
        <v>0</v>
      </c>
      <c r="G64" s="31">
        <f t="shared" si="4"/>
        <v>0</v>
      </c>
      <c r="H64" s="5"/>
      <c r="I64" s="5"/>
      <c r="J64" s="5"/>
      <c r="K64" s="5"/>
      <c r="L64" s="5"/>
      <c r="M64" s="5"/>
      <c r="N64" s="121"/>
      <c r="O64" s="121"/>
    </row>
    <row r="65" spans="1:15" ht="15" x14ac:dyDescent="0.25">
      <c r="A65" s="5"/>
      <c r="B65" s="5"/>
      <c r="C65" s="2" t="str">
        <f t="shared" si="3"/>
        <v>Total</v>
      </c>
      <c r="D65" s="31">
        <f>SUM(D57:D64)</f>
        <v>822182.52427184465</v>
      </c>
      <c r="E65" s="31">
        <f t="shared" ref="E65:G65" si="5">SUM(E57:E64)</f>
        <v>455405.78753888211</v>
      </c>
      <c r="F65" s="31">
        <f t="shared" si="5"/>
        <v>88099396.080484822</v>
      </c>
      <c r="G65" s="31">
        <f t="shared" si="5"/>
        <v>89376984.392295554</v>
      </c>
      <c r="H65" s="275"/>
      <c r="I65" s="5"/>
      <c r="J65" s="5"/>
      <c r="K65" s="5"/>
      <c r="L65" s="5"/>
      <c r="M65" s="5"/>
      <c r="N65" s="121"/>
      <c r="O65" s="121"/>
    </row>
    <row r="66" spans="1:15" ht="15" x14ac:dyDescent="0.25">
      <c r="A66" s="5"/>
      <c r="B66" s="5"/>
      <c r="C66" s="111"/>
      <c r="D66" s="276"/>
      <c r="E66" s="276"/>
      <c r="F66" s="276"/>
      <c r="G66" s="276"/>
      <c r="H66" s="5"/>
      <c r="I66" s="5"/>
      <c r="J66" s="5"/>
      <c r="K66" s="5"/>
      <c r="L66" s="5"/>
      <c r="M66" s="5"/>
      <c r="N66" s="121"/>
      <c r="O66" s="121"/>
    </row>
    <row r="67" spans="1:15" ht="15" x14ac:dyDescent="0.25">
      <c r="A67" s="5"/>
      <c r="B67" s="5"/>
      <c r="C67" s="277" t="s">
        <v>701</v>
      </c>
      <c r="D67" s="5"/>
      <c r="E67" s="5"/>
      <c r="F67" s="5"/>
      <c r="G67" s="5"/>
      <c r="H67" s="5"/>
      <c r="I67" s="5"/>
      <c r="J67" s="5"/>
      <c r="K67" s="5"/>
      <c r="L67" s="5"/>
      <c r="M67" s="5"/>
      <c r="N67" s="121"/>
      <c r="O67" s="121"/>
    </row>
    <row r="68" spans="1:15" ht="15" x14ac:dyDescent="0.25">
      <c r="A68" s="5"/>
      <c r="B68" s="5"/>
      <c r="C68" s="5"/>
      <c r="D68" s="5"/>
      <c r="E68" s="5"/>
      <c r="F68" s="5"/>
      <c r="G68" s="5"/>
      <c r="H68" s="5"/>
      <c r="I68" s="5"/>
      <c r="J68" s="5"/>
      <c r="K68" s="5"/>
      <c r="L68" s="5"/>
      <c r="M68" s="5"/>
      <c r="N68" s="121"/>
      <c r="O68" s="121"/>
    </row>
    <row r="69" spans="1:15" ht="27" x14ac:dyDescent="0.25">
      <c r="A69" s="5"/>
      <c r="B69" s="5"/>
      <c r="C69" s="273" t="s">
        <v>167</v>
      </c>
      <c r="D69" s="273" t="s">
        <v>433</v>
      </c>
      <c r="E69" s="273" t="s">
        <v>168</v>
      </c>
      <c r="F69" s="80" t="s">
        <v>169</v>
      </c>
      <c r="G69" s="273" t="s">
        <v>170</v>
      </c>
      <c r="I69" s="80" t="s">
        <v>434</v>
      </c>
      <c r="J69" s="80" t="s">
        <v>171</v>
      </c>
      <c r="K69" s="80" t="s">
        <v>172</v>
      </c>
      <c r="L69" s="80" t="s">
        <v>173</v>
      </c>
      <c r="N69" s="121"/>
      <c r="O69" s="121"/>
    </row>
    <row r="70" spans="1:15" ht="13.5" x14ac:dyDescent="0.25">
      <c r="A70" s="5"/>
      <c r="B70" s="5"/>
      <c r="C70" s="2">
        <v>2023</v>
      </c>
      <c r="D70" s="31">
        <f>(D57/Deflator!$N$91)*Deflator!$N$89</f>
        <v>311563.80215053761</v>
      </c>
      <c r="E70" s="31">
        <f>(E57/Deflator!$N$91)*Deflator!$N$89</f>
        <v>0</v>
      </c>
      <c r="F70" s="31">
        <f>(F57/Deflator!$N$91)*Deflator!$N$89</f>
        <v>0</v>
      </c>
      <c r="G70" s="31">
        <f>(G57/Deflator!$N$91)*Deflator!$N$89</f>
        <v>311563.80215053761</v>
      </c>
      <c r="I70" s="31">
        <f>D70/((1+$B$24)^($C70-$B$25))</f>
        <v>302195.73438461457</v>
      </c>
      <c r="J70" s="31">
        <f>E70/((1+$B$24)^($C70-$B$25))</f>
        <v>0</v>
      </c>
      <c r="K70" s="31">
        <f>F70/((1+$B$24)^($C70-$B$25))</f>
        <v>0</v>
      </c>
      <c r="L70" s="31">
        <f>G70/((1+$B$24)^($C70-$B$25))</f>
        <v>302195.73438461457</v>
      </c>
    </row>
    <row r="71" spans="1:15" ht="13.5" x14ac:dyDescent="0.25">
      <c r="A71" s="5"/>
      <c r="B71" s="5"/>
      <c r="C71" s="2">
        <f>C70+1</f>
        <v>2024</v>
      </c>
      <c r="D71" s="31">
        <f>(D58/Deflator!$N$91)*Deflator!$N$89</f>
        <v>311563.80215053761</v>
      </c>
      <c r="E71" s="31">
        <f>(E58/Deflator!$N$91)*Deflator!$N$89</f>
        <v>0</v>
      </c>
      <c r="F71" s="31">
        <f>(F58/Deflator!$N$91)*Deflator!$N$89</f>
        <v>0</v>
      </c>
      <c r="G71" s="31">
        <f>(G58/Deflator!$N$91)*Deflator!$N$89</f>
        <v>311563.80215053761</v>
      </c>
      <c r="I71" s="31">
        <f t="shared" ref="I71:K77" si="6">D71/((1+$B$24)^($C71-$B$25))</f>
        <v>293109.34469894727</v>
      </c>
      <c r="J71" s="31">
        <f t="shared" si="6"/>
        <v>0</v>
      </c>
      <c r="K71" s="31">
        <f t="shared" si="6"/>
        <v>0</v>
      </c>
      <c r="L71" s="31">
        <f t="shared" ref="L71:L77" si="7">G71/((1+$B$24)^($C71-$B$25))</f>
        <v>293109.34469894727</v>
      </c>
    </row>
    <row r="72" spans="1:15" ht="13.5" x14ac:dyDescent="0.25">
      <c r="A72" s="5"/>
      <c r="B72" s="5"/>
      <c r="C72" s="2">
        <f t="shared" ref="C72:C77" si="8">C71+1</f>
        <v>2025</v>
      </c>
      <c r="D72" s="31">
        <f>(D59/Deflator!$N$91)*Deflator!$N$89</f>
        <v>151244.56415074642</v>
      </c>
      <c r="E72" s="31">
        <f>(E59/Deflator!$N$91)*Deflator!$N$89</f>
        <v>217631.23499321428</v>
      </c>
      <c r="F72" s="31">
        <f>(F59/Deflator!$N$91)*Deflator!$N$89</f>
        <v>0</v>
      </c>
      <c r="G72" s="31">
        <f>(G59/Deflator!$N$91)*Deflator!$N$89</f>
        <v>368875.7991439607</v>
      </c>
      <c r="I72" s="31">
        <f t="shared" si="6"/>
        <v>138007.84642064321</v>
      </c>
      <c r="J72" s="31">
        <f t="shared" si="6"/>
        <v>198584.44648194121</v>
      </c>
      <c r="K72" s="31">
        <f t="shared" si="6"/>
        <v>0</v>
      </c>
      <c r="L72" s="31">
        <f t="shared" si="7"/>
        <v>336592.29290258442</v>
      </c>
    </row>
    <row r="73" spans="1:15" ht="13.5" x14ac:dyDescent="0.25">
      <c r="A73" s="5"/>
      <c r="B73" s="5"/>
      <c r="C73" s="2">
        <f t="shared" si="8"/>
        <v>2026</v>
      </c>
      <c r="D73" s="31">
        <f>(D60/Deflator!$N$91)*Deflator!$N$89</f>
        <v>0</v>
      </c>
      <c r="E73" s="31">
        <f>(E60/Deflator!$N$91)*Deflator!$N$89</f>
        <v>211292.4611584605</v>
      </c>
      <c r="F73" s="31">
        <f>(F60/Deflator!$N$91)*Deflator!$N$89</f>
        <v>14450574.296027143</v>
      </c>
      <c r="G73" s="31">
        <f>(G60/Deflator!$N$91)*Deflator!$N$89</f>
        <v>14661866.757185604</v>
      </c>
      <c r="I73" s="31">
        <f t="shared" si="6"/>
        <v>0</v>
      </c>
      <c r="J73" s="31">
        <f t="shared" si="6"/>
        <v>187003.33024016768</v>
      </c>
      <c r="K73" s="31">
        <f t="shared" si="6"/>
        <v>12789408.114345482</v>
      </c>
      <c r="L73" s="31">
        <f t="shared" si="7"/>
        <v>12976411.444585649</v>
      </c>
    </row>
    <row r="74" spans="1:15" ht="13.5" x14ac:dyDescent="0.25">
      <c r="A74" s="5"/>
      <c r="B74" s="5"/>
      <c r="C74" s="2">
        <f t="shared" si="8"/>
        <v>2027</v>
      </c>
      <c r="D74" s="31">
        <f>(D61/Deflator!$N$91)*Deflator!$N$89</f>
        <v>0</v>
      </c>
      <c r="E74" s="31">
        <f>(E61/Deflator!$N$91)*Deflator!$N$89</f>
        <v>0</v>
      </c>
      <c r="F74" s="31">
        <f>(F61/Deflator!$N$91)*Deflator!$N$89</f>
        <v>28059367.565101247</v>
      </c>
      <c r="G74" s="31">
        <f>(G61/Deflator!$N$91)*Deflator!$N$89</f>
        <v>28059367.565101247</v>
      </c>
      <c r="I74" s="31">
        <f t="shared" si="6"/>
        <v>0</v>
      </c>
      <c r="J74" s="31">
        <f t="shared" si="6"/>
        <v>0</v>
      </c>
      <c r="K74" s="31">
        <f t="shared" si="6"/>
        <v>24087102.001724184</v>
      </c>
      <c r="L74" s="31">
        <f t="shared" si="7"/>
        <v>24087102.001724184</v>
      </c>
    </row>
    <row r="75" spans="1:15" ht="13.5" x14ac:dyDescent="0.25">
      <c r="A75" s="5"/>
      <c r="B75" s="5"/>
      <c r="C75" s="2">
        <f t="shared" si="8"/>
        <v>2028</v>
      </c>
      <c r="D75" s="31">
        <f>(D62/Deflator!$N$91)*Deflator!$N$89</f>
        <v>0</v>
      </c>
      <c r="E75" s="31">
        <f>(E62/Deflator!$N$91)*Deflator!$N$89</f>
        <v>0</v>
      </c>
      <c r="F75" s="31">
        <f>(F62/Deflator!$N$91)*Deflator!$N$89</f>
        <v>27242104.432137135</v>
      </c>
      <c r="G75" s="31">
        <f>(G62/Deflator!$N$91)*Deflator!$N$89</f>
        <v>27242104.432137135</v>
      </c>
      <c r="I75" s="31">
        <f t="shared" si="6"/>
        <v>0</v>
      </c>
      <c r="J75" s="31">
        <f t="shared" si="6"/>
        <v>0</v>
      </c>
      <c r="K75" s="31">
        <f t="shared" si="6"/>
        <v>22682382.079538375</v>
      </c>
      <c r="L75" s="31">
        <f t="shared" si="7"/>
        <v>22682382.079538375</v>
      </c>
    </row>
    <row r="76" spans="1:15" ht="13.5" x14ac:dyDescent="0.25">
      <c r="A76" s="5"/>
      <c r="B76" s="5"/>
      <c r="C76" s="2">
        <f>C75+1</f>
        <v>2029</v>
      </c>
      <c r="D76" s="31">
        <f>(D63/Deflator!$N$91)*Deflator!$N$89</f>
        <v>0</v>
      </c>
      <c r="E76" s="31">
        <f>(E63/Deflator!$N$91)*Deflator!$N$89</f>
        <v>0</v>
      </c>
      <c r="F76" s="31">
        <f>(F63/Deflator!$N$91)*Deflator!$N$89</f>
        <v>13224322.539872397</v>
      </c>
      <c r="G76" s="31">
        <f>(G63/Deflator!$N$91)*Deflator!$N$89</f>
        <v>13224322.539872397</v>
      </c>
      <c r="I76" s="31">
        <f t="shared" si="6"/>
        <v>0</v>
      </c>
      <c r="J76" s="31">
        <f t="shared" si="6"/>
        <v>0</v>
      </c>
      <c r="K76" s="31">
        <f t="shared" si="6"/>
        <v>10679791.549131477</v>
      </c>
      <c r="L76" s="31">
        <f t="shared" si="7"/>
        <v>10679791.549131477</v>
      </c>
    </row>
    <row r="77" spans="1:15" ht="13.5" x14ac:dyDescent="0.25">
      <c r="A77" s="5"/>
      <c r="B77" s="5"/>
      <c r="C77" s="2">
        <f t="shared" si="8"/>
        <v>2030</v>
      </c>
      <c r="D77" s="31">
        <f>(D64/Deflator!$N$91)*Deflator!$N$89</f>
        <v>0</v>
      </c>
      <c r="E77" s="31">
        <f>(E64/Deflator!$N$91)*Deflator!$N$89</f>
        <v>0</v>
      </c>
      <c r="F77" s="31">
        <f>(F64/Deflator!$N$91)*Deflator!$N$89</f>
        <v>0</v>
      </c>
      <c r="G77" s="31">
        <f>(G64/Deflator!$N$91)*Deflator!$N$89</f>
        <v>0</v>
      </c>
      <c r="I77" s="31">
        <f t="shared" si="6"/>
        <v>0</v>
      </c>
      <c r="J77" s="31">
        <f t="shared" si="6"/>
        <v>0</v>
      </c>
      <c r="K77" s="31">
        <f t="shared" si="6"/>
        <v>0</v>
      </c>
      <c r="L77" s="31">
        <f t="shared" si="7"/>
        <v>0</v>
      </c>
    </row>
    <row r="78" spans="1:15" ht="13.5" x14ac:dyDescent="0.25">
      <c r="A78" s="5"/>
      <c r="B78" s="5"/>
      <c r="C78" s="2" t="s">
        <v>156</v>
      </c>
      <c r="D78" s="31">
        <f>SUM(D70:D77)</f>
        <v>774372.16845182166</v>
      </c>
      <c r="E78" s="31">
        <f t="shared" ref="E78" si="9">SUM(E70:E77)</f>
        <v>428923.69615167478</v>
      </c>
      <c r="F78" s="31">
        <f>SUM(F70:F77)</f>
        <v>82976368.833137915</v>
      </c>
      <c r="G78" s="31">
        <f>SUM(G70:G77)</f>
        <v>84179664.697741419</v>
      </c>
      <c r="I78" s="31">
        <f>SUM(I70:I77)</f>
        <v>733312.92550420505</v>
      </c>
      <c r="J78" s="31">
        <f t="shared" ref="J78" si="10">SUM(J70:J77)</f>
        <v>385587.77672210889</v>
      </c>
      <c r="K78" s="31">
        <f t="shared" ref="K78:L78" si="11">SUM(K70:K77)</f>
        <v>70238683.744739518</v>
      </c>
      <c r="L78" s="31">
        <f t="shared" si="11"/>
        <v>71357584.446965829</v>
      </c>
    </row>
    <row r="79" spans="1:15" ht="13.5" x14ac:dyDescent="0.25">
      <c r="A79" s="5"/>
      <c r="B79" s="5"/>
      <c r="C79" s="5"/>
      <c r="D79" s="5"/>
      <c r="E79" s="5"/>
      <c r="F79" s="5"/>
      <c r="G79" s="5"/>
      <c r="H79" s="5"/>
      <c r="I79" s="5"/>
      <c r="J79" s="5"/>
      <c r="K79" s="5"/>
      <c r="L79" s="5"/>
    </row>
    <row r="80" spans="1:15" ht="13.5" x14ac:dyDescent="0.25">
      <c r="A80" s="5"/>
      <c r="B80" s="5"/>
      <c r="C80" s="5" t="s">
        <v>702</v>
      </c>
      <c r="D80" s="341">
        <f>D78</f>
        <v>774372.16845182166</v>
      </c>
      <c r="E80" s="341">
        <f>E78</f>
        <v>428923.69615167478</v>
      </c>
      <c r="F80" s="342">
        <f>F78*(F10/SUM(F10,F17:F19,F21))</f>
        <v>68139584.50483577</v>
      </c>
      <c r="G80" s="343">
        <f>SUM(D80:F80)/G78</f>
        <v>0.82374859318369043</v>
      </c>
      <c r="H80" s="5"/>
      <c r="I80" s="5"/>
      <c r="J80" s="5"/>
      <c r="K80" s="5"/>
      <c r="L80" s="5"/>
    </row>
    <row r="81" spans="1:12" ht="13.5" x14ac:dyDescent="0.25">
      <c r="A81" s="5"/>
      <c r="B81" s="5"/>
      <c r="C81" s="5"/>
      <c r="D81" s="5"/>
      <c r="E81" s="5"/>
      <c r="F81" s="5"/>
      <c r="G81" s="5"/>
      <c r="H81" s="5"/>
      <c r="I81" s="345"/>
      <c r="J81" s="345"/>
      <c r="K81" s="345"/>
      <c r="L81" s="345"/>
    </row>
    <row r="82" spans="1:12" ht="13.5" x14ac:dyDescent="0.25">
      <c r="A82" s="5"/>
      <c r="B82" s="5"/>
      <c r="C82" s="5"/>
      <c r="D82" s="5"/>
      <c r="E82" s="5"/>
      <c r="F82" s="5"/>
      <c r="G82" s="5"/>
      <c r="H82" s="5"/>
      <c r="I82" s="345"/>
      <c r="J82" s="345"/>
      <c r="K82" s="345"/>
      <c r="L82" s="345"/>
    </row>
    <row r="83" spans="1:12" ht="13.5" x14ac:dyDescent="0.25">
      <c r="A83" s="5"/>
      <c r="B83" s="5"/>
      <c r="C83" s="5"/>
      <c r="D83" s="5"/>
      <c r="E83" s="5"/>
      <c r="F83" s="5"/>
      <c r="G83" s="5"/>
      <c r="H83" s="5"/>
      <c r="I83" s="345"/>
      <c r="J83" s="345"/>
      <c r="K83" s="345"/>
      <c r="L83" s="345"/>
    </row>
    <row r="84" spans="1:12" ht="13.5" x14ac:dyDescent="0.25">
      <c r="A84" s="5"/>
      <c r="B84" s="5"/>
      <c r="C84" s="5"/>
      <c r="D84" s="5"/>
      <c r="E84" s="5"/>
      <c r="F84" s="5"/>
      <c r="G84" s="5"/>
      <c r="H84" s="5"/>
      <c r="I84" s="345"/>
      <c r="J84" s="345"/>
      <c r="K84" s="345"/>
      <c r="L84" s="345"/>
    </row>
    <row r="85" spans="1:12" ht="13.5" x14ac:dyDescent="0.25">
      <c r="A85" s="5"/>
      <c r="B85" s="5"/>
      <c r="C85" s="5"/>
      <c r="D85" s="5"/>
      <c r="E85" s="5"/>
      <c r="F85" s="5"/>
      <c r="G85" s="5"/>
      <c r="H85" s="5"/>
      <c r="I85" s="345"/>
      <c r="J85" s="345"/>
      <c r="K85" s="345"/>
      <c r="L85" s="345"/>
    </row>
    <row r="86" spans="1:12" ht="13.5" x14ac:dyDescent="0.25">
      <c r="A86" s="5"/>
      <c r="B86" s="5"/>
      <c r="C86" s="5"/>
      <c r="D86" s="5"/>
      <c r="E86" s="5"/>
      <c r="F86" s="5"/>
      <c r="G86" s="5"/>
      <c r="H86" s="5"/>
      <c r="I86" s="345"/>
      <c r="J86" s="345"/>
      <c r="K86" s="345"/>
      <c r="L86" s="345"/>
    </row>
    <row r="87" spans="1:12" ht="13.5" x14ac:dyDescent="0.25">
      <c r="A87" s="5"/>
      <c r="B87" s="5"/>
      <c r="C87" s="5"/>
      <c r="D87" s="5"/>
      <c r="E87" s="5"/>
      <c r="F87" s="5"/>
      <c r="G87" s="5"/>
      <c r="H87" s="5"/>
      <c r="I87" s="345"/>
      <c r="J87" s="345"/>
      <c r="K87" s="345"/>
      <c r="L87" s="345"/>
    </row>
    <row r="88" spans="1:12" ht="13.5" x14ac:dyDescent="0.25">
      <c r="A88" s="5"/>
      <c r="B88" s="5"/>
      <c r="C88" s="5"/>
      <c r="D88" s="5"/>
      <c r="E88" s="5"/>
      <c r="F88" s="5"/>
      <c r="G88" s="5"/>
      <c r="H88" s="5"/>
      <c r="I88" s="345"/>
      <c r="J88" s="345"/>
      <c r="K88" s="345"/>
      <c r="L88" s="345"/>
    </row>
    <row r="89" spans="1:12" ht="13.5" x14ac:dyDescent="0.25">
      <c r="I89" s="345"/>
      <c r="J89" s="345"/>
      <c r="K89" s="345"/>
      <c r="L89" s="345"/>
    </row>
  </sheetData>
  <sheetProtection algorithmName="SHA-512" hashValue="PdRNLVdi2uTGR20WgYjZsIQfjGaMRCiq3SJ3idrZnsIbW8xdfdQkJsjbvtr2VViVbpFg+1CRpU4U4yCoTrH8TA==" saltValue="CqqK+MuYwTSRga/GA/zk6w=="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5F54-0468-4472-A923-53BD649AEFB2}">
  <sheetPr>
    <tabColor theme="0"/>
  </sheetPr>
  <dimension ref="A1:Y89"/>
  <sheetViews>
    <sheetView topLeftCell="A8" zoomScale="80" zoomScaleNormal="80" workbookViewId="0">
      <selection activeCell="Q50" sqref="Q50"/>
    </sheetView>
  </sheetViews>
  <sheetFormatPr defaultColWidth="9" defaultRowHeight="15" x14ac:dyDescent="0.25"/>
  <cols>
    <col min="1" max="1" width="4.375" style="5" customWidth="1"/>
    <col min="2" max="2" width="32.375" style="5" customWidth="1"/>
    <col min="3" max="3" width="10.375" style="5" bestFit="1" customWidth="1"/>
    <col min="4" max="4" width="9" style="5"/>
    <col min="5" max="5" width="12.375" style="5" customWidth="1"/>
    <col min="6" max="6" width="14.625" style="5" customWidth="1"/>
    <col min="7" max="7" width="16.875" style="5" customWidth="1"/>
    <col min="8" max="8" width="15.375" style="5" customWidth="1"/>
    <col min="9" max="9" width="3" style="5" customWidth="1"/>
    <col min="10" max="10" width="15.375" style="5" customWidth="1"/>
    <col min="11" max="11" width="17.375" style="5" customWidth="1"/>
    <col min="12" max="12" width="5.375" style="5" customWidth="1"/>
    <col min="13" max="13" width="21.625" style="5" customWidth="1"/>
    <col min="14" max="14" width="15.375" style="5" customWidth="1"/>
    <col min="15" max="15" width="17.375" style="5" customWidth="1"/>
    <col min="16" max="16" width="4.875" customWidth="1"/>
    <col min="17" max="17" width="21.125" style="5" customWidth="1"/>
    <col min="18" max="18" width="24" style="5" customWidth="1"/>
    <col min="19" max="19" width="5.375" style="5" customWidth="1"/>
    <col min="20" max="21" width="16.75" style="5" customWidth="1"/>
    <col min="22" max="22" width="4.375" style="5" customWidth="1"/>
    <col min="23" max="23" width="20.75" style="5" customWidth="1"/>
    <col min="24" max="24" width="20" style="5" customWidth="1"/>
    <col min="25" max="25" width="18.25" style="5" customWidth="1"/>
    <col min="26" max="16384" width="9" style="5"/>
  </cols>
  <sheetData>
    <row r="1" spans="1:25" x14ac:dyDescent="0.25">
      <c r="A1" s="5" t="s">
        <v>425</v>
      </c>
      <c r="B1" s="5" t="s">
        <v>524</v>
      </c>
    </row>
    <row r="2" spans="1:25" ht="27" x14ac:dyDescent="0.25">
      <c r="B2" s="47" t="s">
        <v>157</v>
      </c>
      <c r="C2" s="47" t="s">
        <v>34</v>
      </c>
      <c r="E2" s="49" t="s">
        <v>174</v>
      </c>
      <c r="F2" s="49" t="s">
        <v>175</v>
      </c>
      <c r="G2" s="49" t="s">
        <v>176</v>
      </c>
      <c r="H2" s="169" t="s">
        <v>518</v>
      </c>
    </row>
    <row r="3" spans="1:25" x14ac:dyDescent="0.25">
      <c r="B3" s="5" t="str">
        <f>'3-Inputs'!B9</f>
        <v>Project Start Year</v>
      </c>
      <c r="C3" s="5">
        <f>'3-Inputs'!C9</f>
        <v>2029</v>
      </c>
      <c r="E3" s="2">
        <v>2020</v>
      </c>
      <c r="F3" s="50">
        <f>C24</f>
        <v>10176</v>
      </c>
      <c r="G3" s="131">
        <f>C26</f>
        <v>5724</v>
      </c>
      <c r="H3" s="170">
        <f>G3/SUM(F3:G3)</f>
        <v>0.36</v>
      </c>
    </row>
    <row r="4" spans="1:25" x14ac:dyDescent="0.25">
      <c r="B4" s="5" t="str">
        <f>'3-Inputs'!B10</f>
        <v>Project End Year</v>
      </c>
      <c r="C4" s="5">
        <f>'3-Inputs'!C10</f>
        <v>2058</v>
      </c>
      <c r="E4" s="2">
        <v>2040</v>
      </c>
      <c r="F4" s="50">
        <f>C25</f>
        <v>16282</v>
      </c>
      <c r="G4" s="131">
        <f>C27</f>
        <v>9158</v>
      </c>
      <c r="H4" s="170">
        <f>G4/SUM(F4:G4)</f>
        <v>0.35998427672955974</v>
      </c>
    </row>
    <row r="5" spans="1:25" ht="27" x14ac:dyDescent="0.25">
      <c r="B5" s="5" t="str">
        <f>'3-Inputs'!B15</f>
        <v>Overall Condition Rating 3 (Truck Close Year)</v>
      </c>
      <c r="C5" s="5">
        <f>'3-Inputs'!C15</f>
        <v>2038</v>
      </c>
      <c r="E5" s="237" t="s">
        <v>177</v>
      </c>
      <c r="F5" s="132">
        <f>(F4/$F$3)^(1/(E4-$E$3))-1</f>
        <v>2.3779744098654687E-2</v>
      </c>
      <c r="G5" s="132">
        <f>(G4/$G$3)^(1/(E4-$E$3))-1</f>
        <v>2.3776250762689966E-2</v>
      </c>
      <c r="H5"/>
    </row>
    <row r="6" spans="1:25" x14ac:dyDescent="0.25">
      <c r="B6" s="5" t="str">
        <f>'3-Inputs'!B18</f>
        <v>Bridge Close Year -- Passenger Vehicles</v>
      </c>
      <c r="C6" s="5">
        <f>'3-Inputs'!C18</f>
        <v>2052</v>
      </c>
    </row>
    <row r="7" spans="1:25" ht="29.45" customHeight="1" x14ac:dyDescent="0.25">
      <c r="B7" s="5" t="str">
        <f>'3-Inputs'!B8</f>
        <v>Analysis Period (years)</v>
      </c>
      <c r="C7" s="5">
        <f>'3-Inputs'!C8</f>
        <v>30</v>
      </c>
      <c r="G7" s="361" t="s">
        <v>466</v>
      </c>
      <c r="H7" s="362"/>
      <c r="J7" s="361" t="s">
        <v>467</v>
      </c>
      <c r="K7" s="362"/>
      <c r="N7" s="361" t="s">
        <v>522</v>
      </c>
      <c r="O7" s="362"/>
      <c r="Q7" s="361" t="s">
        <v>468</v>
      </c>
      <c r="R7" s="362"/>
      <c r="T7" s="361" t="s">
        <v>426</v>
      </c>
      <c r="U7" s="362"/>
      <c r="X7" s="361" t="s">
        <v>427</v>
      </c>
      <c r="Y7" s="362"/>
    </row>
    <row r="8" spans="1:25" ht="27" x14ac:dyDescent="0.25">
      <c r="B8" s="5" t="str">
        <f>'3-Inputs'!B40</f>
        <v>Truck Annualization (days)</v>
      </c>
      <c r="C8" s="5">
        <f>'3-Inputs'!C40</f>
        <v>365</v>
      </c>
      <c r="E8" s="49" t="s">
        <v>178</v>
      </c>
      <c r="F8" s="49" t="s">
        <v>174</v>
      </c>
      <c r="G8" s="49" t="s">
        <v>179</v>
      </c>
      <c r="H8" s="49" t="s">
        <v>494</v>
      </c>
      <c r="J8" s="49" t="s">
        <v>179</v>
      </c>
      <c r="K8" s="49" t="s">
        <v>494</v>
      </c>
      <c r="M8" s="49" t="s">
        <v>510</v>
      </c>
      <c r="N8" s="49" t="s">
        <v>179</v>
      </c>
      <c r="O8" s="49" t="s">
        <v>494</v>
      </c>
      <c r="Q8" s="49" t="s">
        <v>180</v>
      </c>
      <c r="R8" s="49" t="s">
        <v>495</v>
      </c>
      <c r="T8" s="49" t="s">
        <v>469</v>
      </c>
      <c r="U8" s="49" t="s">
        <v>496</v>
      </c>
      <c r="W8" s="49" t="s">
        <v>513</v>
      </c>
      <c r="X8" s="49" t="s">
        <v>470</v>
      </c>
      <c r="Y8" s="49" t="s">
        <v>497</v>
      </c>
    </row>
    <row r="9" spans="1:25" x14ac:dyDescent="0.25">
      <c r="B9" s="5" t="str">
        <f>'3-Inputs'!B41</f>
        <v>Passenger Vehicles Annualization (days)</v>
      </c>
      <c r="C9" s="5">
        <f>'3-Inputs'!C41</f>
        <v>260</v>
      </c>
      <c r="E9" s="2">
        <f>IF(F9=$C$3,1,IF(F9&gt;$C$3,#REF!+1,0))</f>
        <v>0</v>
      </c>
      <c r="F9" s="2">
        <v>2020</v>
      </c>
      <c r="G9" s="50">
        <f>G3</f>
        <v>5724</v>
      </c>
      <c r="H9" s="50">
        <f>F3</f>
        <v>10176</v>
      </c>
      <c r="J9" s="129">
        <f>G9*$C$8</f>
        <v>2089260</v>
      </c>
      <c r="K9" s="129">
        <f>H9*$C$9</f>
        <v>2645760</v>
      </c>
      <c r="M9" s="236">
        <f t="shared" ref="M9:M17" si="0">IF(OR($F9=$C$3,$F9=$C$4),$C$16,IF($E9&gt;$C$7,0,1))</f>
        <v>1</v>
      </c>
      <c r="N9" s="129">
        <f>IF($F9&gt;=$C$5,J9,0)*M9</f>
        <v>0</v>
      </c>
      <c r="O9" s="129">
        <f t="shared" ref="O9:O48" si="1">IF($F9&gt;=$C$6,K9,0)*$M9</f>
        <v>0</v>
      </c>
      <c r="Q9" s="50">
        <f t="shared" ref="Q9:Q48" si="2">N9*$C$21</f>
        <v>0</v>
      </c>
      <c r="R9" s="50">
        <f t="shared" ref="R9:R48" si="3">O9*$C$21</f>
        <v>0</v>
      </c>
      <c r="T9" s="50">
        <f>IF(AND($F9&gt;=$C$3,$F9&lt;$C$5),J9*$C$30,0)*$M9</f>
        <v>0</v>
      </c>
      <c r="U9" s="50">
        <f>IF(AND($F9&gt;=$C$3,$F9&lt;$C$6),K9*$C$30,0)*$M9</f>
        <v>0</v>
      </c>
      <c r="W9" s="51">
        <f t="shared" ref="W9:W48" si="4">IF(OR($F9=$C$10,$F9=$C$11),$C$16,IF($E9&gt;$C$7,0,1))</f>
        <v>1</v>
      </c>
      <c r="X9" s="50">
        <f>IF(OR($F9&lt;$C$10,$F9&gt;$C$11),0,J9*$C$12)*$W9</f>
        <v>0</v>
      </c>
      <c r="Y9" s="50">
        <f>IF(OR($F9&lt;$C$10,$F9&gt;$C$11),0,K9*$C$12)*$W9</f>
        <v>0</v>
      </c>
    </row>
    <row r="10" spans="1:25" x14ac:dyDescent="0.25">
      <c r="B10" s="5" t="str">
        <f>'3-Inputs'!B11</f>
        <v>Construction Start Year</v>
      </c>
      <c r="C10" s="5">
        <f>'3-Inputs'!C11</f>
        <v>2026</v>
      </c>
      <c r="E10" s="2">
        <f t="shared" ref="E10:E29" si="5">IF(F10=$C$3,1,IF(F10&gt;$C$3,E9+1,0))</f>
        <v>0</v>
      </c>
      <c r="F10" s="2">
        <f t="shared" ref="F10:F29" si="6">F9+1</f>
        <v>2021</v>
      </c>
      <c r="G10" s="50">
        <f t="shared" ref="G10:G48" si="7">G9*(1+$G$5)</f>
        <v>5860.0952593656375</v>
      </c>
      <c r="H10" s="50">
        <f t="shared" ref="H10:H48" si="8">H9*(1+$F$5)</f>
        <v>10417.982675947909</v>
      </c>
      <c r="J10" s="129">
        <f t="shared" ref="J10:J48" si="9">G10*$C$8</f>
        <v>2138934.7696684576</v>
      </c>
      <c r="K10" s="129">
        <f t="shared" ref="K10:K48" si="10">H10*$C$9</f>
        <v>2708675.4957464566</v>
      </c>
      <c r="M10" s="236">
        <f t="shared" si="0"/>
        <v>1</v>
      </c>
      <c r="N10" s="129">
        <f t="shared" ref="N10:N48" si="11">IF($F10&gt;=$C$5,J10,0)*$M10</f>
        <v>0</v>
      </c>
      <c r="O10" s="129">
        <f t="shared" si="1"/>
        <v>0</v>
      </c>
      <c r="Q10" s="50">
        <f t="shared" si="2"/>
        <v>0</v>
      </c>
      <c r="R10" s="50">
        <f t="shared" si="3"/>
        <v>0</v>
      </c>
      <c r="T10" s="50">
        <f t="shared" ref="T10:T48" si="12">IF(AND($F10&gt;=$C$3,$F10&lt;$C$5),J10*$C$30,0)*$M10</f>
        <v>0</v>
      </c>
      <c r="U10" s="50">
        <f t="shared" ref="U10:U48" si="13">IF(AND($F10&gt;=$C$3,$F10&lt;$C$6),K10*$C$30,0)*$M10</f>
        <v>0</v>
      </c>
      <c r="W10" s="51">
        <f t="shared" si="4"/>
        <v>1</v>
      </c>
      <c r="X10" s="50">
        <f t="shared" ref="X10:X48" si="14">IF(OR($F10&lt;$C$10,$F10&gt;$C$11),0,J10*$C$12)*$W10</f>
        <v>0</v>
      </c>
      <c r="Y10" s="50">
        <f t="shared" ref="Y10:Y48" si="15">IF(OR($F10&lt;$C$10,$F10&gt;$C$11),0,K10*$C$12)*$W10</f>
        <v>0</v>
      </c>
    </row>
    <row r="11" spans="1:25" x14ac:dyDescent="0.25">
      <c r="B11" s="5" t="str">
        <f>'3-Inputs'!B12</f>
        <v>Construction End Year</v>
      </c>
      <c r="C11" s="5">
        <f>'3-Inputs'!C12</f>
        <v>2029</v>
      </c>
      <c r="E11" s="2">
        <f>IF(F11=$C$3,1,IF(F11&gt;$C$3,E10+1,0))</f>
        <v>0</v>
      </c>
      <c r="F11" s="2">
        <f t="shared" si="6"/>
        <v>2022</v>
      </c>
      <c r="G11" s="50">
        <f t="shared" si="7"/>
        <v>5999.4263537455654</v>
      </c>
      <c r="H11" s="50">
        <f t="shared" si="8"/>
        <v>10665.719638006169</v>
      </c>
      <c r="J11" s="129">
        <f t="shared" si="9"/>
        <v>2189790.6191171315</v>
      </c>
      <c r="K11" s="129">
        <f t="shared" si="10"/>
        <v>2773087.1058816039</v>
      </c>
      <c r="M11" s="236">
        <f t="shared" si="0"/>
        <v>1</v>
      </c>
      <c r="N11" s="129">
        <f t="shared" si="11"/>
        <v>0</v>
      </c>
      <c r="O11" s="129">
        <f t="shared" si="1"/>
        <v>0</v>
      </c>
      <c r="Q11" s="50">
        <f t="shared" si="2"/>
        <v>0</v>
      </c>
      <c r="R11" s="50">
        <f t="shared" si="3"/>
        <v>0</v>
      </c>
      <c r="T11" s="50">
        <f t="shared" si="12"/>
        <v>0</v>
      </c>
      <c r="U11" s="50">
        <f t="shared" si="13"/>
        <v>0</v>
      </c>
      <c r="W11" s="51">
        <f t="shared" si="4"/>
        <v>1</v>
      </c>
      <c r="X11" s="50">
        <f t="shared" si="14"/>
        <v>0</v>
      </c>
      <c r="Y11" s="50">
        <f t="shared" si="15"/>
        <v>0</v>
      </c>
    </row>
    <row r="12" spans="1:25" x14ac:dyDescent="0.25">
      <c r="B12" s="5" t="str">
        <f>'3-Inputs'!B112</f>
        <v>Construction Zone Length (miles)</v>
      </c>
      <c r="C12" s="5">
        <f>'3-Inputs'!C112</f>
        <v>4</v>
      </c>
      <c r="E12" s="2">
        <f t="shared" si="5"/>
        <v>0</v>
      </c>
      <c r="F12" s="2">
        <f t="shared" si="6"/>
        <v>2023</v>
      </c>
      <c r="G12" s="50">
        <f t="shared" si="7"/>
        <v>6142.0702191645105</v>
      </c>
      <c r="H12" s="50">
        <f t="shared" si="8"/>
        <v>10919.347721625951</v>
      </c>
      <c r="J12" s="129">
        <f t="shared" si="9"/>
        <v>2241855.6299950462</v>
      </c>
      <c r="K12" s="129">
        <f t="shared" si="10"/>
        <v>2839030.4076227471</v>
      </c>
      <c r="M12" s="236">
        <f t="shared" si="0"/>
        <v>1</v>
      </c>
      <c r="N12" s="129">
        <f t="shared" si="11"/>
        <v>0</v>
      </c>
      <c r="O12" s="129">
        <f t="shared" si="1"/>
        <v>0</v>
      </c>
      <c r="Q12" s="50">
        <f t="shared" si="2"/>
        <v>0</v>
      </c>
      <c r="R12" s="50">
        <f t="shared" si="3"/>
        <v>0</v>
      </c>
      <c r="T12" s="50">
        <f t="shared" si="12"/>
        <v>0</v>
      </c>
      <c r="U12" s="50">
        <f t="shared" si="13"/>
        <v>0</v>
      </c>
      <c r="W12" s="51">
        <f t="shared" si="4"/>
        <v>1</v>
      </c>
      <c r="X12" s="50">
        <f t="shared" si="14"/>
        <v>0</v>
      </c>
      <c r="Y12" s="50">
        <f t="shared" si="15"/>
        <v>0</v>
      </c>
    </row>
    <row r="13" spans="1:25" x14ac:dyDescent="0.25">
      <c r="E13" s="2">
        <f t="shared" si="5"/>
        <v>0</v>
      </c>
      <c r="F13" s="2">
        <f t="shared" si="6"/>
        <v>2024</v>
      </c>
      <c r="G13" s="50">
        <f t="shared" si="7"/>
        <v>6288.105620897416</v>
      </c>
      <c r="H13" s="50">
        <f t="shared" si="8"/>
        <v>11179.007016170444</v>
      </c>
      <c r="J13" s="129">
        <f t="shared" si="9"/>
        <v>2295158.5516275568</v>
      </c>
      <c r="K13" s="129">
        <f t="shared" si="10"/>
        <v>2906541.8242043154</v>
      </c>
      <c r="M13" s="236">
        <f t="shared" si="0"/>
        <v>1</v>
      </c>
      <c r="N13" s="129">
        <f t="shared" si="11"/>
        <v>0</v>
      </c>
      <c r="O13" s="129">
        <f t="shared" si="1"/>
        <v>0</v>
      </c>
      <c r="Q13" s="50">
        <f t="shared" si="2"/>
        <v>0</v>
      </c>
      <c r="R13" s="50">
        <f t="shared" si="3"/>
        <v>0</v>
      </c>
      <c r="T13" s="50">
        <f t="shared" si="12"/>
        <v>0</v>
      </c>
      <c r="U13" s="50">
        <f t="shared" si="13"/>
        <v>0</v>
      </c>
      <c r="W13" s="51">
        <f t="shared" si="4"/>
        <v>1</v>
      </c>
      <c r="X13" s="50">
        <f t="shared" si="14"/>
        <v>0</v>
      </c>
      <c r="Y13" s="50">
        <f t="shared" si="15"/>
        <v>0</v>
      </c>
    </row>
    <row r="14" spans="1:25" x14ac:dyDescent="0.25">
      <c r="E14" s="2">
        <f t="shared" si="5"/>
        <v>0</v>
      </c>
      <c r="F14" s="2">
        <f t="shared" si="6"/>
        <v>2025</v>
      </c>
      <c r="G14" s="50">
        <f t="shared" si="7"/>
        <v>6437.6131969621529</v>
      </c>
      <c r="H14" s="50">
        <f t="shared" si="8"/>
        <v>11444.840942292043</v>
      </c>
      <c r="J14" s="129">
        <f t="shared" si="9"/>
        <v>2349728.8168911859</v>
      </c>
      <c r="K14" s="129">
        <f t="shared" si="10"/>
        <v>2975658.6449959311</v>
      </c>
      <c r="M14" s="236">
        <f t="shared" si="0"/>
        <v>1</v>
      </c>
      <c r="N14" s="129">
        <f t="shared" si="11"/>
        <v>0</v>
      </c>
      <c r="O14" s="129">
        <f t="shared" si="1"/>
        <v>0</v>
      </c>
      <c r="Q14" s="50">
        <f t="shared" si="2"/>
        <v>0</v>
      </c>
      <c r="R14" s="50">
        <f t="shared" si="3"/>
        <v>0</v>
      </c>
      <c r="T14" s="50">
        <f t="shared" si="12"/>
        <v>0</v>
      </c>
      <c r="U14" s="50">
        <f t="shared" si="13"/>
        <v>0</v>
      </c>
      <c r="W14" s="51">
        <f t="shared" si="4"/>
        <v>1</v>
      </c>
      <c r="X14" s="50">
        <f t="shared" si="14"/>
        <v>0</v>
      </c>
      <c r="Y14" s="50">
        <f t="shared" si="15"/>
        <v>0</v>
      </c>
    </row>
    <row r="15" spans="1:25" x14ac:dyDescent="0.25">
      <c r="B15" s="5" t="str">
        <f>'3-Inputs'!B13</f>
        <v>Quarter Year Benefits</v>
      </c>
      <c r="C15" s="5">
        <f>'3-Inputs'!C13</f>
        <v>0.25</v>
      </c>
      <c r="E15" s="2">
        <f t="shared" si="5"/>
        <v>0</v>
      </c>
      <c r="F15" s="2">
        <f t="shared" si="6"/>
        <v>2026</v>
      </c>
      <c r="G15" s="50">
        <f t="shared" si="7"/>
        <v>6590.675502646327</v>
      </c>
      <c r="H15" s="50">
        <f t="shared" si="8"/>
        <v>11716.996331149554</v>
      </c>
      <c r="J15" s="129">
        <f t="shared" si="9"/>
        <v>2405596.5584659092</v>
      </c>
      <c r="K15" s="129">
        <f t="shared" si="10"/>
        <v>3046419.0460988842</v>
      </c>
      <c r="M15" s="236">
        <f t="shared" si="0"/>
        <v>1</v>
      </c>
      <c r="N15" s="129">
        <f t="shared" si="11"/>
        <v>0</v>
      </c>
      <c r="O15" s="129">
        <f t="shared" si="1"/>
        <v>0</v>
      </c>
      <c r="Q15" s="50">
        <f t="shared" si="2"/>
        <v>0</v>
      </c>
      <c r="R15" s="50">
        <f t="shared" si="3"/>
        <v>0</v>
      </c>
      <c r="T15" s="50">
        <f t="shared" si="12"/>
        <v>0</v>
      </c>
      <c r="U15" s="50">
        <f t="shared" si="13"/>
        <v>0</v>
      </c>
      <c r="W15" s="51">
        <f t="shared" si="4"/>
        <v>0.5</v>
      </c>
      <c r="X15" s="50">
        <f>IF(OR($F15&lt;$C$10,$F15&gt;$C$11),0,J15*$C$12)*$W15</f>
        <v>4811193.1169318184</v>
      </c>
      <c r="Y15" s="50">
        <f t="shared" si="15"/>
        <v>6092838.0921977684</v>
      </c>
    </row>
    <row r="16" spans="1:25" x14ac:dyDescent="0.25">
      <c r="B16" s="5" t="str">
        <f>'3-Inputs'!B14</f>
        <v>Half Year Benefits</v>
      </c>
      <c r="C16" s="5">
        <f>'3-Inputs'!C14</f>
        <v>0.5</v>
      </c>
      <c r="E16" s="2">
        <f t="shared" si="5"/>
        <v>0</v>
      </c>
      <c r="F16" s="2">
        <f t="shared" si="6"/>
        <v>2027</v>
      </c>
      <c r="G16" s="50">
        <f t="shared" si="7"/>
        <v>6747.3770560927642</v>
      </c>
      <c r="H16" s="50">
        <f t="shared" si="8"/>
        <v>11995.623505509166</v>
      </c>
      <c r="J16" s="129">
        <f t="shared" si="9"/>
        <v>2462792.6254738588</v>
      </c>
      <c r="K16" s="129">
        <f t="shared" si="10"/>
        <v>3118862.1114323828</v>
      </c>
      <c r="M16" s="236">
        <f t="shared" si="0"/>
        <v>1</v>
      </c>
      <c r="N16" s="129">
        <f t="shared" si="11"/>
        <v>0</v>
      </c>
      <c r="O16" s="129">
        <f t="shared" si="1"/>
        <v>0</v>
      </c>
      <c r="Q16" s="50">
        <f t="shared" si="2"/>
        <v>0</v>
      </c>
      <c r="R16" s="50">
        <f t="shared" si="3"/>
        <v>0</v>
      </c>
      <c r="T16" s="50">
        <f t="shared" si="12"/>
        <v>0</v>
      </c>
      <c r="U16" s="50">
        <f t="shared" si="13"/>
        <v>0</v>
      </c>
      <c r="W16" s="51">
        <f t="shared" si="4"/>
        <v>1</v>
      </c>
      <c r="X16" s="50">
        <f t="shared" si="14"/>
        <v>9851170.5018954352</v>
      </c>
      <c r="Y16" s="50">
        <f t="shared" si="15"/>
        <v>12475448.445729531</v>
      </c>
    </row>
    <row r="17" spans="2:25" x14ac:dyDescent="0.25">
      <c r="E17" s="2">
        <f t="shared" si="5"/>
        <v>0</v>
      </c>
      <c r="F17" s="2">
        <f t="shared" si="6"/>
        <v>2028</v>
      </c>
      <c r="G17" s="50">
        <f t="shared" si="7"/>
        <v>6907.8043849688465</v>
      </c>
      <c r="H17" s="50">
        <f t="shared" si="8"/>
        <v>12280.876362773981</v>
      </c>
      <c r="J17" s="129">
        <f t="shared" si="9"/>
        <v>2521348.6005136291</v>
      </c>
      <c r="K17" s="129">
        <f t="shared" si="10"/>
        <v>3193027.8543212349</v>
      </c>
      <c r="L17" s="113"/>
      <c r="M17" s="236">
        <f t="shared" si="0"/>
        <v>1</v>
      </c>
      <c r="N17" s="129">
        <f t="shared" si="11"/>
        <v>0</v>
      </c>
      <c r="O17" s="129">
        <f t="shared" si="1"/>
        <v>0</v>
      </c>
      <c r="Q17" s="129">
        <f t="shared" si="2"/>
        <v>0</v>
      </c>
      <c r="R17" s="129">
        <f t="shared" si="3"/>
        <v>0</v>
      </c>
      <c r="T17" s="50">
        <f t="shared" si="12"/>
        <v>0</v>
      </c>
      <c r="U17" s="50">
        <f t="shared" si="13"/>
        <v>0</v>
      </c>
      <c r="W17" s="51">
        <f t="shared" si="4"/>
        <v>1</v>
      </c>
      <c r="X17" s="50">
        <f t="shared" si="14"/>
        <v>10085394.402054517</v>
      </c>
      <c r="Y17" s="50">
        <f t="shared" si="15"/>
        <v>12772111.417284939</v>
      </c>
    </row>
    <row r="18" spans="2:25" x14ac:dyDescent="0.25">
      <c r="B18" s="5" t="str">
        <f>'3-Inputs'!B44</f>
        <v>Travel distance, Exit 291 - Exit 287 (miles)</v>
      </c>
      <c r="C18" s="84">
        <f>'3-Inputs'!C44</f>
        <v>4</v>
      </c>
      <c r="E18" s="106">
        <f t="shared" si="5"/>
        <v>1</v>
      </c>
      <c r="F18" s="106">
        <f t="shared" si="6"/>
        <v>2029</v>
      </c>
      <c r="G18" s="129">
        <f t="shared" si="7"/>
        <v>7072.0460742454752</v>
      </c>
      <c r="H18" s="129">
        <f t="shared" si="8"/>
        <v>12572.912459987963</v>
      </c>
      <c r="I18" s="113"/>
      <c r="J18" s="129">
        <f t="shared" si="9"/>
        <v>2581296.8170995982</v>
      </c>
      <c r="K18" s="129">
        <f t="shared" si="10"/>
        <v>3268957.2395968703</v>
      </c>
      <c r="L18" s="113"/>
      <c r="M18" s="236">
        <f>IF(OR($F18=$C$3,$F18=$C$4),$C$16,IF($E18&gt;$C$7,0,1))</f>
        <v>0.5</v>
      </c>
      <c r="N18" s="129">
        <f t="shared" si="11"/>
        <v>0</v>
      </c>
      <c r="O18" s="129">
        <f t="shared" si="1"/>
        <v>0</v>
      </c>
      <c r="Q18" s="129">
        <f t="shared" si="2"/>
        <v>0</v>
      </c>
      <c r="R18" s="129">
        <f t="shared" si="3"/>
        <v>0</v>
      </c>
      <c r="S18" s="113"/>
      <c r="T18" s="116">
        <f t="shared" si="12"/>
        <v>387194.52256493975</v>
      </c>
      <c r="U18" s="116">
        <f t="shared" si="13"/>
        <v>490343.58593953052</v>
      </c>
      <c r="W18" s="159">
        <f t="shared" si="4"/>
        <v>0.5</v>
      </c>
      <c r="X18" s="116">
        <f t="shared" si="14"/>
        <v>5162593.6341991965</v>
      </c>
      <c r="Y18" s="116">
        <f t="shared" si="15"/>
        <v>6537914.4791937405</v>
      </c>
    </row>
    <row r="19" spans="2:25" x14ac:dyDescent="0.25">
      <c r="B19" s="5" t="str">
        <f>'3-Inputs'!B46</f>
        <v>Travel distance - detour (miles)</v>
      </c>
      <c r="C19" s="5">
        <f>'3-Inputs'!C46</f>
        <v>8</v>
      </c>
      <c r="E19" s="161">
        <f t="shared" si="5"/>
        <v>2</v>
      </c>
      <c r="F19" s="161">
        <f t="shared" si="6"/>
        <v>2030</v>
      </c>
      <c r="G19" s="162">
        <f t="shared" si="7"/>
        <v>7240.1928151120328</v>
      </c>
      <c r="H19" s="162">
        <f t="shared" si="8"/>
        <v>12871.893100861264</v>
      </c>
      <c r="I19" s="113"/>
      <c r="J19" s="129">
        <f t="shared" si="9"/>
        <v>2642670.377515892</v>
      </c>
      <c r="K19" s="129">
        <f t="shared" si="10"/>
        <v>3346692.2062239284</v>
      </c>
      <c r="L19" s="113"/>
      <c r="M19" s="236">
        <f t="shared" ref="M19:M48" si="16">IF(OR($F19=$C$3,$F19=$C$4),$C$16,IF($E19&gt;$C$7,0,1))</f>
        <v>1</v>
      </c>
      <c r="N19" s="129">
        <f t="shared" si="11"/>
        <v>0</v>
      </c>
      <c r="O19" s="129">
        <f t="shared" si="1"/>
        <v>0</v>
      </c>
      <c r="Q19" s="129">
        <f t="shared" si="2"/>
        <v>0</v>
      </c>
      <c r="R19" s="129">
        <f t="shared" si="3"/>
        <v>0</v>
      </c>
      <c r="S19" s="163"/>
      <c r="T19" s="162">
        <f>IF(AND($F19&gt;=$C$3,$F19&lt;$C$5),J19*$C$30,0)*$M19</f>
        <v>792801.11325476761</v>
      </c>
      <c r="U19" s="162">
        <f>IF(AND($F19&gt;=$C$3,$F19&lt;$C$6),K19*$C$30,0)*$M19</f>
        <v>1004007.6618671785</v>
      </c>
      <c r="W19" s="164">
        <f t="shared" si="4"/>
        <v>1</v>
      </c>
      <c r="X19" s="129">
        <f t="shared" si="14"/>
        <v>0</v>
      </c>
      <c r="Y19" s="129">
        <f t="shared" si="15"/>
        <v>0</v>
      </c>
    </row>
    <row r="20" spans="2:25" x14ac:dyDescent="0.25">
      <c r="B20" s="47" t="s">
        <v>181</v>
      </c>
      <c r="E20" s="2">
        <f t="shared" si="5"/>
        <v>3</v>
      </c>
      <c r="F20" s="2">
        <f t="shared" si="6"/>
        <v>2031</v>
      </c>
      <c r="G20" s="50">
        <f t="shared" si="7"/>
        <v>7412.3374550543631</v>
      </c>
      <c r="H20" s="50">
        <f t="shared" si="8"/>
        <v>13177.983424864982</v>
      </c>
      <c r="I20" s="113"/>
      <c r="J20" s="129">
        <f t="shared" si="9"/>
        <v>2705503.1710948427</v>
      </c>
      <c r="K20" s="129">
        <f t="shared" si="10"/>
        <v>3426275.6904648952</v>
      </c>
      <c r="L20" s="113"/>
      <c r="M20" s="236">
        <f t="shared" si="16"/>
        <v>1</v>
      </c>
      <c r="N20" s="129">
        <f t="shared" si="11"/>
        <v>0</v>
      </c>
      <c r="O20" s="129">
        <f t="shared" si="1"/>
        <v>0</v>
      </c>
      <c r="Q20" s="129">
        <f t="shared" si="2"/>
        <v>0</v>
      </c>
      <c r="R20" s="129">
        <f t="shared" si="3"/>
        <v>0</v>
      </c>
      <c r="T20" s="50">
        <f t="shared" si="12"/>
        <v>811650.95132845279</v>
      </c>
      <c r="U20" s="50">
        <f t="shared" si="13"/>
        <v>1027882.7071394685</v>
      </c>
      <c r="W20" s="51">
        <f t="shared" si="4"/>
        <v>1</v>
      </c>
      <c r="X20" s="50">
        <f t="shared" si="14"/>
        <v>0</v>
      </c>
      <c r="Y20" s="50">
        <f t="shared" si="15"/>
        <v>0</v>
      </c>
    </row>
    <row r="21" spans="2:25" x14ac:dyDescent="0.25">
      <c r="B21" s="5" t="s">
        <v>401</v>
      </c>
      <c r="C21" s="85">
        <f>C19-C18</f>
        <v>4</v>
      </c>
      <c r="E21" s="2">
        <f>IF(F21=$C$3,1,IF(F21&gt;$C$3,E20+1,0))</f>
        <v>4</v>
      </c>
      <c r="F21" s="2">
        <f t="shared" si="6"/>
        <v>2032</v>
      </c>
      <c r="G21" s="50">
        <f t="shared" si="7"/>
        <v>7588.5750491234148</v>
      </c>
      <c r="H21" s="50">
        <f t="shared" si="8"/>
        <v>13491.352498444585</v>
      </c>
      <c r="I21" s="113"/>
      <c r="J21" s="129">
        <f t="shared" si="9"/>
        <v>2769829.8929300462</v>
      </c>
      <c r="K21" s="129">
        <f t="shared" si="10"/>
        <v>3507751.6495955922</v>
      </c>
      <c r="L21" s="113"/>
      <c r="M21" s="236">
        <f t="shared" si="16"/>
        <v>1</v>
      </c>
      <c r="N21" s="129">
        <f t="shared" si="11"/>
        <v>0</v>
      </c>
      <c r="O21" s="129">
        <f t="shared" si="1"/>
        <v>0</v>
      </c>
      <c r="Q21" s="129">
        <f t="shared" si="2"/>
        <v>0</v>
      </c>
      <c r="R21" s="129">
        <f t="shared" si="3"/>
        <v>0</v>
      </c>
      <c r="T21" s="50">
        <f t="shared" si="12"/>
        <v>830948.96787901386</v>
      </c>
      <c r="U21" s="50">
        <f t="shared" si="13"/>
        <v>1052325.4948786777</v>
      </c>
      <c r="W21" s="51">
        <f t="shared" si="4"/>
        <v>1</v>
      </c>
      <c r="X21" s="50">
        <f t="shared" si="14"/>
        <v>0</v>
      </c>
      <c r="Y21" s="50">
        <f t="shared" si="15"/>
        <v>0</v>
      </c>
    </row>
    <row r="22" spans="2:25" x14ac:dyDescent="0.25">
      <c r="E22" s="2">
        <f t="shared" si="5"/>
        <v>5</v>
      </c>
      <c r="F22" s="2">
        <f t="shared" si="6"/>
        <v>2033</v>
      </c>
      <c r="G22" s="50">
        <f t="shared" si="7"/>
        <v>7769.0029124228658</v>
      </c>
      <c r="H22" s="50">
        <f t="shared" si="8"/>
        <v>13812.173408402343</v>
      </c>
      <c r="I22" s="113"/>
      <c r="J22" s="129">
        <f t="shared" si="9"/>
        <v>2835686.0630343459</v>
      </c>
      <c r="K22" s="129">
        <f t="shared" si="10"/>
        <v>3591165.0861846092</v>
      </c>
      <c r="L22" s="113"/>
      <c r="M22" s="236">
        <f t="shared" si="16"/>
        <v>1</v>
      </c>
      <c r="N22" s="129">
        <f t="shared" si="11"/>
        <v>0</v>
      </c>
      <c r="O22" s="129">
        <f t="shared" si="1"/>
        <v>0</v>
      </c>
      <c r="Q22" s="129">
        <f t="shared" si="2"/>
        <v>0</v>
      </c>
      <c r="R22" s="129">
        <f t="shared" si="3"/>
        <v>0</v>
      </c>
      <c r="T22" s="50">
        <f t="shared" si="12"/>
        <v>850705.81891030376</v>
      </c>
      <c r="U22" s="50">
        <f t="shared" si="13"/>
        <v>1077349.5258553827</v>
      </c>
      <c r="W22" s="51">
        <f t="shared" si="4"/>
        <v>1</v>
      </c>
      <c r="X22" s="50">
        <f t="shared" si="14"/>
        <v>0</v>
      </c>
      <c r="Y22" s="50">
        <f t="shared" si="15"/>
        <v>0</v>
      </c>
    </row>
    <row r="23" spans="2:25" x14ac:dyDescent="0.25">
      <c r="E23" s="2">
        <f t="shared" si="5"/>
        <v>6</v>
      </c>
      <c r="F23" s="2">
        <f t="shared" si="6"/>
        <v>2034</v>
      </c>
      <c r="G23" s="50">
        <f t="shared" si="7"/>
        <v>7953.7206738447003</v>
      </c>
      <c r="H23" s="50">
        <f t="shared" si="8"/>
        <v>14140.623357500393</v>
      </c>
      <c r="I23" s="113"/>
      <c r="J23" s="129">
        <f t="shared" si="9"/>
        <v>2903108.0459533157</v>
      </c>
      <c r="K23" s="129">
        <f t="shared" si="10"/>
        <v>3676562.0729501024</v>
      </c>
      <c r="L23" s="113"/>
      <c r="M23" s="236">
        <f t="shared" si="16"/>
        <v>1</v>
      </c>
      <c r="N23" s="129">
        <f t="shared" si="11"/>
        <v>0</v>
      </c>
      <c r="O23" s="129">
        <f t="shared" si="1"/>
        <v>0</v>
      </c>
      <c r="Q23" s="129">
        <f t="shared" si="2"/>
        <v>0</v>
      </c>
      <c r="R23" s="129">
        <f t="shared" si="3"/>
        <v>0</v>
      </c>
      <c r="T23" s="50">
        <f t="shared" si="12"/>
        <v>870932.41378599463</v>
      </c>
      <c r="U23" s="50">
        <f t="shared" si="13"/>
        <v>1102968.6218850308</v>
      </c>
      <c r="W23" s="51">
        <f t="shared" si="4"/>
        <v>1</v>
      </c>
      <c r="X23" s="50">
        <f t="shared" si="14"/>
        <v>0</v>
      </c>
      <c r="Y23" s="50">
        <f t="shared" si="15"/>
        <v>0</v>
      </c>
    </row>
    <row r="24" spans="2:25" x14ac:dyDescent="0.25">
      <c r="B24" s="5" t="str">
        <f>'3-Inputs'!B35</f>
        <v>AADT 2020- Passenger Vehicle</v>
      </c>
      <c r="C24" s="28">
        <f>'3-Inputs'!C35</f>
        <v>10176</v>
      </c>
      <c r="E24" s="2">
        <f t="shared" si="5"/>
        <v>7</v>
      </c>
      <c r="F24" s="2">
        <f t="shared" si="6"/>
        <v>2035</v>
      </c>
      <c r="G24" s="50">
        <f t="shared" si="7"/>
        <v>8142.8303310824231</v>
      </c>
      <c r="H24" s="50">
        <f t="shared" si="8"/>
        <v>14476.883762337213</v>
      </c>
      <c r="I24" s="113"/>
      <c r="J24" s="129">
        <f t="shared" si="9"/>
        <v>2972133.0708450843</v>
      </c>
      <c r="K24" s="129">
        <f t="shared" si="10"/>
        <v>3763989.7782076756</v>
      </c>
      <c r="L24" s="113"/>
      <c r="M24" s="236">
        <f t="shared" si="16"/>
        <v>1</v>
      </c>
      <c r="N24" s="129">
        <f t="shared" si="11"/>
        <v>0</v>
      </c>
      <c r="O24" s="129">
        <f t="shared" si="1"/>
        <v>0</v>
      </c>
      <c r="Q24" s="129">
        <f t="shared" si="2"/>
        <v>0</v>
      </c>
      <c r="R24" s="129">
        <f t="shared" si="3"/>
        <v>0</v>
      </c>
      <c r="T24" s="50">
        <f t="shared" si="12"/>
        <v>891639.9212535253</v>
      </c>
      <c r="U24" s="50">
        <f t="shared" si="13"/>
        <v>1129196.9334623027</v>
      </c>
      <c r="W24" s="51">
        <f t="shared" si="4"/>
        <v>1</v>
      </c>
      <c r="X24" s="50">
        <f t="shared" si="14"/>
        <v>0</v>
      </c>
      <c r="Y24" s="50">
        <f t="shared" si="15"/>
        <v>0</v>
      </c>
    </row>
    <row r="25" spans="2:25" x14ac:dyDescent="0.25">
      <c r="B25" s="5" t="str">
        <f>'3-Inputs'!B36</f>
        <v>AADT 2040 Forecast- Passenger Vehicle</v>
      </c>
      <c r="C25" s="28">
        <f>'3-Inputs'!C36</f>
        <v>16282</v>
      </c>
      <c r="E25" s="2">
        <f t="shared" si="5"/>
        <v>8</v>
      </c>
      <c r="F25" s="2">
        <f t="shared" si="6"/>
        <v>2036</v>
      </c>
      <c r="G25" s="50">
        <f t="shared" si="7"/>
        <v>8336.4363069522769</v>
      </c>
      <c r="H25" s="50">
        <f t="shared" si="8"/>
        <v>14821.140353551562</v>
      </c>
      <c r="I25" s="113"/>
      <c r="J25" s="129">
        <f t="shared" si="9"/>
        <v>3042799.2520375811</v>
      </c>
      <c r="K25" s="129">
        <f t="shared" si="10"/>
        <v>3853496.4919234063</v>
      </c>
      <c r="L25" s="113"/>
      <c r="M25" s="236">
        <f t="shared" si="16"/>
        <v>1</v>
      </c>
      <c r="N25" s="129">
        <f t="shared" si="11"/>
        <v>0</v>
      </c>
      <c r="O25" s="129">
        <f t="shared" si="1"/>
        <v>0</v>
      </c>
      <c r="Q25" s="129">
        <f t="shared" si="2"/>
        <v>0</v>
      </c>
      <c r="R25" s="129">
        <f t="shared" si="3"/>
        <v>0</v>
      </c>
      <c r="T25" s="50">
        <f t="shared" si="12"/>
        <v>912839.77561127429</v>
      </c>
      <c r="U25" s="50">
        <f t="shared" si="13"/>
        <v>1156048.9475770218</v>
      </c>
      <c r="W25" s="51">
        <f t="shared" si="4"/>
        <v>1</v>
      </c>
      <c r="X25" s="50">
        <f t="shared" si="14"/>
        <v>0</v>
      </c>
      <c r="Y25" s="50">
        <f t="shared" si="15"/>
        <v>0</v>
      </c>
    </row>
    <row r="26" spans="2:25" x14ac:dyDescent="0.25">
      <c r="B26" s="5" t="str">
        <f>'3-Inputs'!B37</f>
        <v>AADT 2020- Trucks</v>
      </c>
      <c r="C26" s="28">
        <f>'3-Inputs'!C37</f>
        <v>5724</v>
      </c>
      <c r="E26" s="2">
        <f t="shared" si="5"/>
        <v>9</v>
      </c>
      <c r="F26" s="2">
        <f t="shared" si="6"/>
        <v>2037</v>
      </c>
      <c r="G26" s="50">
        <f t="shared" si="7"/>
        <v>8534.6455070535667</v>
      </c>
      <c r="H26" s="50">
        <f t="shared" si="8"/>
        <v>15173.583278409262</v>
      </c>
      <c r="I26" s="113"/>
      <c r="J26" s="129">
        <f t="shared" si="9"/>
        <v>3115145.6100745518</v>
      </c>
      <c r="K26" s="129">
        <f t="shared" si="10"/>
        <v>3945131.6523864078</v>
      </c>
      <c r="L26" s="113"/>
      <c r="M26" s="236">
        <f t="shared" si="16"/>
        <v>1</v>
      </c>
      <c r="N26" s="129">
        <f t="shared" si="11"/>
        <v>0</v>
      </c>
      <c r="O26" s="129">
        <f t="shared" si="1"/>
        <v>0</v>
      </c>
      <c r="Q26" s="129">
        <f t="shared" si="2"/>
        <v>0</v>
      </c>
      <c r="R26" s="129">
        <f t="shared" si="3"/>
        <v>0</v>
      </c>
      <c r="T26" s="50">
        <f t="shared" si="12"/>
        <v>934543.68302236556</v>
      </c>
      <c r="U26" s="50">
        <f t="shared" si="13"/>
        <v>1183539.4957159222</v>
      </c>
      <c r="W26" s="51">
        <f t="shared" si="4"/>
        <v>1</v>
      </c>
      <c r="X26" s="50">
        <f t="shared" si="14"/>
        <v>0</v>
      </c>
      <c r="Y26" s="50">
        <f t="shared" si="15"/>
        <v>0</v>
      </c>
    </row>
    <row r="27" spans="2:25" x14ac:dyDescent="0.25">
      <c r="B27" s="5" t="str">
        <f>'3-Inputs'!B38</f>
        <v>AADT 2040 Forecast- Trucks</v>
      </c>
      <c r="C27" s="28">
        <f>'3-Inputs'!C38</f>
        <v>9158</v>
      </c>
      <c r="E27" s="106">
        <f t="shared" si="5"/>
        <v>10</v>
      </c>
      <c r="F27" s="106">
        <f t="shared" si="6"/>
        <v>2038</v>
      </c>
      <c r="G27" s="129">
        <f t="shared" si="7"/>
        <v>8737.5673787999367</v>
      </c>
      <c r="H27" s="129">
        <f t="shared" si="8"/>
        <v>15534.407205829461</v>
      </c>
      <c r="I27" s="113"/>
      <c r="J27" s="129">
        <f t="shared" si="9"/>
        <v>3189212.0932619767</v>
      </c>
      <c r="K27" s="129">
        <f t="shared" si="10"/>
        <v>4038945.8735156599</v>
      </c>
      <c r="L27" s="113"/>
      <c r="M27" s="236">
        <f t="shared" si="16"/>
        <v>1</v>
      </c>
      <c r="N27" s="129">
        <f>IF($F27&gt;=$C$5,J27,0)*$M27</f>
        <v>3189212.0932619767</v>
      </c>
      <c r="O27" s="129">
        <f t="shared" si="1"/>
        <v>0</v>
      </c>
      <c r="Q27" s="129">
        <f>N27*$C$21</f>
        <v>12756848.373047907</v>
      </c>
      <c r="R27" s="129">
        <f t="shared" si="3"/>
        <v>0</v>
      </c>
      <c r="S27" s="113"/>
      <c r="T27" s="158">
        <f t="shared" si="12"/>
        <v>0</v>
      </c>
      <c r="U27" s="158">
        <f t="shared" si="13"/>
        <v>1211683.7620546978</v>
      </c>
      <c r="V27" s="113"/>
      <c r="W27" s="160">
        <f t="shared" si="4"/>
        <v>1</v>
      </c>
      <c r="X27" s="158">
        <f t="shared" si="14"/>
        <v>0</v>
      </c>
      <c r="Y27" s="158">
        <f t="shared" si="15"/>
        <v>0</v>
      </c>
    </row>
    <row r="28" spans="2:25" x14ac:dyDescent="0.25">
      <c r="E28" s="106">
        <f t="shared" si="5"/>
        <v>11</v>
      </c>
      <c r="F28" s="106">
        <f t="shared" si="6"/>
        <v>2039</v>
      </c>
      <c r="G28" s="129">
        <f t="shared" si="7"/>
        <v>8945.3139718541843</v>
      </c>
      <c r="H28" s="129">
        <f t="shared" si="8"/>
        <v>15903.811433908382</v>
      </c>
      <c r="I28" s="113"/>
      <c r="J28" s="129">
        <f t="shared" si="9"/>
        <v>3265039.5997267771</v>
      </c>
      <c r="K28" s="129">
        <f t="shared" si="10"/>
        <v>4134990.9728161795</v>
      </c>
      <c r="L28" s="113"/>
      <c r="M28" s="236">
        <f t="shared" si="16"/>
        <v>1</v>
      </c>
      <c r="N28" s="129">
        <f t="shared" si="11"/>
        <v>3265039.5997267771</v>
      </c>
      <c r="O28" s="129">
        <f t="shared" si="1"/>
        <v>0</v>
      </c>
      <c r="Q28" s="129">
        <f t="shared" si="2"/>
        <v>13060158.398907108</v>
      </c>
      <c r="R28" s="129">
        <f t="shared" si="3"/>
        <v>0</v>
      </c>
      <c r="S28" s="113"/>
      <c r="T28" s="50">
        <f t="shared" si="12"/>
        <v>0</v>
      </c>
      <c r="U28" s="50">
        <f t="shared" si="13"/>
        <v>1240497.2918448539</v>
      </c>
      <c r="V28" s="113"/>
      <c r="W28" s="51">
        <f t="shared" si="4"/>
        <v>1</v>
      </c>
      <c r="X28" s="50">
        <f t="shared" si="14"/>
        <v>0</v>
      </c>
      <c r="Y28" s="50">
        <f t="shared" si="15"/>
        <v>0</v>
      </c>
    </row>
    <row r="29" spans="2:25" x14ac:dyDescent="0.25">
      <c r="E29" s="106">
        <f t="shared" si="5"/>
        <v>12</v>
      </c>
      <c r="F29" s="106">
        <f t="shared" si="6"/>
        <v>2040</v>
      </c>
      <c r="G29" s="129">
        <f t="shared" si="7"/>
        <v>9157.9999999999836</v>
      </c>
      <c r="H29" s="129">
        <f t="shared" si="8"/>
        <v>16281.999999999982</v>
      </c>
      <c r="I29" s="113"/>
      <c r="J29" s="129">
        <f t="shared" si="9"/>
        <v>3342669.9999999939</v>
      </c>
      <c r="K29" s="129">
        <f t="shared" si="10"/>
        <v>4233319.9999999953</v>
      </c>
      <c r="L29" s="113"/>
      <c r="M29" s="236">
        <f t="shared" si="16"/>
        <v>1</v>
      </c>
      <c r="N29" s="129">
        <f t="shared" si="11"/>
        <v>3342669.9999999939</v>
      </c>
      <c r="O29" s="129">
        <f t="shared" si="1"/>
        <v>0</v>
      </c>
      <c r="Q29" s="129">
        <f t="shared" si="2"/>
        <v>13370679.999999976</v>
      </c>
      <c r="R29" s="129">
        <f t="shared" si="3"/>
        <v>0</v>
      </c>
      <c r="S29" s="113"/>
      <c r="T29" s="50">
        <f t="shared" si="12"/>
        <v>0</v>
      </c>
      <c r="U29" s="50">
        <f t="shared" si="13"/>
        <v>1269995.9999999986</v>
      </c>
      <c r="V29" s="113"/>
      <c r="W29" s="51">
        <f t="shared" si="4"/>
        <v>1</v>
      </c>
      <c r="X29" s="50">
        <f t="shared" si="14"/>
        <v>0</v>
      </c>
      <c r="Y29" s="50">
        <f t="shared" si="15"/>
        <v>0</v>
      </c>
    </row>
    <row r="30" spans="2:25" x14ac:dyDescent="0.25">
      <c r="B30" s="5" t="str">
        <f>'3-Inputs'!B39</f>
        <v>Length of I-40 Bridge (miles)</v>
      </c>
      <c r="C30" s="120">
        <f>'3-Inputs'!C39</f>
        <v>0.3</v>
      </c>
      <c r="E30" s="106">
        <f t="shared" ref="E30:E35" si="17">IF(F30=$C$3,1,IF(F30&gt;$C$3,E29+1,0))</f>
        <v>13</v>
      </c>
      <c r="F30" s="106">
        <f t="shared" ref="F30:F48" si="18">F29+1</f>
        <v>2041</v>
      </c>
      <c r="G30" s="129">
        <f t="shared" si="7"/>
        <v>9375.7429044846976</v>
      </c>
      <c r="H30" s="129">
        <f t="shared" si="8"/>
        <v>16669.181793414278</v>
      </c>
      <c r="I30" s="113"/>
      <c r="J30" s="129">
        <f t="shared" si="9"/>
        <v>3422146.1601369148</v>
      </c>
      <c r="K30" s="129">
        <f t="shared" si="10"/>
        <v>4333987.2662877124</v>
      </c>
      <c r="L30" s="113"/>
      <c r="M30" s="236">
        <f t="shared" si="16"/>
        <v>1</v>
      </c>
      <c r="N30" s="129">
        <f t="shared" si="11"/>
        <v>3422146.1601369148</v>
      </c>
      <c r="O30" s="129">
        <f t="shared" si="1"/>
        <v>0</v>
      </c>
      <c r="Q30" s="129">
        <f t="shared" si="2"/>
        <v>13688584.640547659</v>
      </c>
      <c r="R30" s="129">
        <f t="shared" si="3"/>
        <v>0</v>
      </c>
      <c r="S30" s="113"/>
      <c r="T30" s="50">
        <f t="shared" si="12"/>
        <v>0</v>
      </c>
      <c r="U30" s="50">
        <f t="shared" si="13"/>
        <v>1300196.1798863136</v>
      </c>
      <c r="V30" s="113"/>
      <c r="W30" s="51">
        <f t="shared" si="4"/>
        <v>1</v>
      </c>
      <c r="X30" s="50">
        <f t="shared" si="14"/>
        <v>0</v>
      </c>
      <c r="Y30" s="50">
        <f t="shared" si="15"/>
        <v>0</v>
      </c>
    </row>
    <row r="31" spans="2:25" x14ac:dyDescent="0.25">
      <c r="E31" s="106">
        <f t="shared" si="17"/>
        <v>14</v>
      </c>
      <c r="F31" s="106">
        <f t="shared" si="18"/>
        <v>2042</v>
      </c>
      <c r="G31" s="129">
        <f t="shared" si="7"/>
        <v>9598.6629188682364</v>
      </c>
      <c r="H31" s="129">
        <f t="shared" si="8"/>
        <v>17065.570670795623</v>
      </c>
      <c r="I31" s="113"/>
      <c r="J31" s="129">
        <f t="shared" si="9"/>
        <v>3503511.9653869062</v>
      </c>
      <c r="K31" s="129">
        <f t="shared" si="10"/>
        <v>4437048.3744068621</v>
      </c>
      <c r="L31" s="113"/>
      <c r="M31" s="236">
        <f t="shared" si="16"/>
        <v>1</v>
      </c>
      <c r="N31" s="129">
        <f t="shared" si="11"/>
        <v>3503511.9653869062</v>
      </c>
      <c r="O31" s="129">
        <f t="shared" si="1"/>
        <v>0</v>
      </c>
      <c r="Q31" s="129">
        <f t="shared" si="2"/>
        <v>14014047.861547625</v>
      </c>
      <c r="R31" s="129">
        <f t="shared" si="3"/>
        <v>0</v>
      </c>
      <c r="S31" s="113"/>
      <c r="T31" s="50">
        <f t="shared" si="12"/>
        <v>0</v>
      </c>
      <c r="U31" s="50">
        <f t="shared" si="13"/>
        <v>1331114.5123220587</v>
      </c>
      <c r="V31" s="113"/>
      <c r="W31" s="51">
        <f t="shared" si="4"/>
        <v>1</v>
      </c>
      <c r="X31" s="50">
        <f t="shared" si="14"/>
        <v>0</v>
      </c>
      <c r="Y31" s="50">
        <f t="shared" si="15"/>
        <v>0</v>
      </c>
    </row>
    <row r="32" spans="2:25" x14ac:dyDescent="0.25">
      <c r="E32" s="106">
        <f t="shared" si="17"/>
        <v>15</v>
      </c>
      <c r="F32" s="106">
        <f>F31+1</f>
        <v>2043</v>
      </c>
      <c r="G32" s="129">
        <f t="shared" si="7"/>
        <v>9826.8831354137819</v>
      </c>
      <c r="H32" s="129">
        <f t="shared" si="8"/>
        <v>17471.38557424465</v>
      </c>
      <c r="I32" s="113"/>
      <c r="J32" s="129">
        <f t="shared" si="9"/>
        <v>3586812.3444260303</v>
      </c>
      <c r="K32" s="129">
        <f t="shared" si="10"/>
        <v>4542560.2493036091</v>
      </c>
      <c r="L32" s="113"/>
      <c r="M32" s="236">
        <f t="shared" si="16"/>
        <v>1</v>
      </c>
      <c r="N32" s="129">
        <f t="shared" si="11"/>
        <v>3586812.3444260303</v>
      </c>
      <c r="O32" s="129">
        <f t="shared" si="1"/>
        <v>0</v>
      </c>
      <c r="Q32" s="129">
        <f t="shared" si="2"/>
        <v>14347249.377704121</v>
      </c>
      <c r="R32" s="129">
        <f t="shared" si="3"/>
        <v>0</v>
      </c>
      <c r="S32" s="113"/>
      <c r="T32" s="50">
        <f t="shared" si="12"/>
        <v>0</v>
      </c>
      <c r="U32" s="50">
        <f t="shared" si="13"/>
        <v>1362768.0747910826</v>
      </c>
      <c r="V32" s="113"/>
      <c r="W32" s="51">
        <f t="shared" si="4"/>
        <v>1</v>
      </c>
      <c r="X32" s="50">
        <f t="shared" si="14"/>
        <v>0</v>
      </c>
      <c r="Y32" s="50">
        <f t="shared" si="15"/>
        <v>0</v>
      </c>
    </row>
    <row r="33" spans="5:25" x14ac:dyDescent="0.25">
      <c r="E33" s="106">
        <f t="shared" si="17"/>
        <v>16</v>
      </c>
      <c r="F33" s="106">
        <f t="shared" si="18"/>
        <v>2044</v>
      </c>
      <c r="G33" s="129">
        <f t="shared" si="7"/>
        <v>10060.529573057029</v>
      </c>
      <c r="H33" s="129">
        <f t="shared" si="8"/>
        <v>17886.850652249115</v>
      </c>
      <c r="I33" s="113"/>
      <c r="J33" s="129">
        <f t="shared" si="9"/>
        <v>3672093.2941658157</v>
      </c>
      <c r="K33" s="129">
        <f t="shared" si="10"/>
        <v>4650581.1695847698</v>
      </c>
      <c r="L33" s="113"/>
      <c r="M33" s="236">
        <f t="shared" si="16"/>
        <v>1</v>
      </c>
      <c r="N33" s="129">
        <f t="shared" si="11"/>
        <v>3672093.2941658157</v>
      </c>
      <c r="O33" s="129">
        <f t="shared" si="1"/>
        <v>0</v>
      </c>
      <c r="Q33" s="129">
        <f t="shared" si="2"/>
        <v>14688373.176663263</v>
      </c>
      <c r="R33" s="129">
        <f t="shared" si="3"/>
        <v>0</v>
      </c>
      <c r="S33" s="113"/>
      <c r="T33" s="50">
        <f t="shared" si="12"/>
        <v>0</v>
      </c>
      <c r="U33" s="50">
        <f t="shared" si="13"/>
        <v>1395174.350875431</v>
      </c>
      <c r="V33" s="113"/>
      <c r="W33" s="51">
        <f t="shared" si="4"/>
        <v>1</v>
      </c>
      <c r="X33" s="50">
        <f t="shared" si="14"/>
        <v>0</v>
      </c>
      <c r="Y33" s="50">
        <f t="shared" si="15"/>
        <v>0</v>
      </c>
    </row>
    <row r="34" spans="5:25" x14ac:dyDescent="0.25">
      <c r="E34" s="106">
        <f t="shared" si="17"/>
        <v>17</v>
      </c>
      <c r="F34" s="106">
        <f t="shared" si="18"/>
        <v>2045</v>
      </c>
      <c r="G34" s="129">
        <f t="shared" si="7"/>
        <v>10299.73124699149</v>
      </c>
      <c r="H34" s="129">
        <f t="shared" si="8"/>
        <v>18312.195383490453</v>
      </c>
      <c r="I34" s="113"/>
      <c r="J34" s="129">
        <f t="shared" si="9"/>
        <v>3759401.9051518939</v>
      </c>
      <c r="K34" s="129">
        <f t="shared" si="10"/>
        <v>4761170.799707518</v>
      </c>
      <c r="L34" s="113"/>
      <c r="M34" s="236">
        <f t="shared" si="16"/>
        <v>1</v>
      </c>
      <c r="N34" s="129">
        <f t="shared" si="11"/>
        <v>3759401.9051518939</v>
      </c>
      <c r="O34" s="129">
        <f t="shared" si="1"/>
        <v>0</v>
      </c>
      <c r="Q34" s="129">
        <f t="shared" si="2"/>
        <v>15037607.620607575</v>
      </c>
      <c r="R34" s="129">
        <f t="shared" si="3"/>
        <v>0</v>
      </c>
      <c r="S34" s="113"/>
      <c r="T34" s="50">
        <f t="shared" si="12"/>
        <v>0</v>
      </c>
      <c r="U34" s="50">
        <f t="shared" si="13"/>
        <v>1428351.2399122554</v>
      </c>
      <c r="V34" s="113"/>
      <c r="W34" s="51">
        <f t="shared" si="4"/>
        <v>1</v>
      </c>
      <c r="X34" s="50">
        <f t="shared" si="14"/>
        <v>0</v>
      </c>
      <c r="Y34" s="50">
        <f t="shared" si="15"/>
        <v>0</v>
      </c>
    </row>
    <row r="35" spans="5:25" x14ac:dyDescent="0.25">
      <c r="E35" s="106">
        <f t="shared" si="17"/>
        <v>18</v>
      </c>
      <c r="F35" s="106">
        <f t="shared" si="18"/>
        <v>2046</v>
      </c>
      <c r="G35" s="129">
        <f t="shared" si="7"/>
        <v>10544.620239908274</v>
      </c>
      <c r="H35" s="129">
        <f t="shared" si="8"/>
        <v>18747.65470359442</v>
      </c>
      <c r="I35" s="113"/>
      <c r="J35" s="129">
        <f t="shared" si="9"/>
        <v>3848786.3875665199</v>
      </c>
      <c r="K35" s="129">
        <f t="shared" si="10"/>
        <v>4874390.2229345497</v>
      </c>
      <c r="L35" s="113"/>
      <c r="M35" s="236">
        <f t="shared" si="16"/>
        <v>1</v>
      </c>
      <c r="N35" s="129">
        <f t="shared" si="11"/>
        <v>3848786.3875665199</v>
      </c>
      <c r="O35" s="129">
        <f t="shared" si="1"/>
        <v>0</v>
      </c>
      <c r="Q35" s="129">
        <f t="shared" si="2"/>
        <v>15395145.55026608</v>
      </c>
      <c r="R35" s="129">
        <f t="shared" si="3"/>
        <v>0</v>
      </c>
      <c r="S35" s="113"/>
      <c r="T35" s="50">
        <f t="shared" si="12"/>
        <v>0</v>
      </c>
      <c r="U35" s="50">
        <f t="shared" si="13"/>
        <v>1462317.0668803649</v>
      </c>
      <c r="V35" s="113"/>
      <c r="W35" s="51">
        <f t="shared" si="4"/>
        <v>1</v>
      </c>
      <c r="X35" s="50">
        <f t="shared" si="14"/>
        <v>0</v>
      </c>
      <c r="Y35" s="50">
        <f t="shared" si="15"/>
        <v>0</v>
      </c>
    </row>
    <row r="36" spans="5:25" x14ac:dyDescent="0.25">
      <c r="E36" s="106">
        <f t="shared" ref="E36:E38" si="19">IF(F36=$C$3,1,IF(F36&gt;$C$3,E35+1,0))</f>
        <v>19</v>
      </c>
      <c r="F36" s="106">
        <f t="shared" si="18"/>
        <v>2047</v>
      </c>
      <c r="G36" s="129">
        <f t="shared" si="7"/>
        <v>10795.331774929669</v>
      </c>
      <c r="H36" s="129">
        <f t="shared" si="8"/>
        <v>19193.469134895837</v>
      </c>
      <c r="I36" s="113"/>
      <c r="J36" s="129">
        <f t="shared" si="9"/>
        <v>3940296.0978493295</v>
      </c>
      <c r="K36" s="129">
        <f t="shared" si="10"/>
        <v>4990301.9750729175</v>
      </c>
      <c r="L36" s="113"/>
      <c r="M36" s="236">
        <f t="shared" si="16"/>
        <v>1</v>
      </c>
      <c r="N36" s="129">
        <f t="shared" si="11"/>
        <v>3940296.0978493295</v>
      </c>
      <c r="O36" s="129">
        <f t="shared" si="1"/>
        <v>0</v>
      </c>
      <c r="Q36" s="129">
        <f t="shared" si="2"/>
        <v>15761184.391397318</v>
      </c>
      <c r="R36" s="129">
        <f t="shared" si="3"/>
        <v>0</v>
      </c>
      <c r="S36" s="113"/>
      <c r="T36" s="50">
        <f t="shared" si="12"/>
        <v>0</v>
      </c>
      <c r="U36" s="50">
        <f t="shared" si="13"/>
        <v>1497090.5925218752</v>
      </c>
      <c r="V36" s="113"/>
      <c r="W36" s="51">
        <f t="shared" si="4"/>
        <v>1</v>
      </c>
      <c r="X36" s="50">
        <f t="shared" si="14"/>
        <v>0</v>
      </c>
      <c r="Y36" s="50">
        <f t="shared" si="15"/>
        <v>0</v>
      </c>
    </row>
    <row r="37" spans="5:25" x14ac:dyDescent="0.25">
      <c r="E37" s="106">
        <f t="shared" si="19"/>
        <v>20</v>
      </c>
      <c r="F37" s="106">
        <f t="shared" si="18"/>
        <v>2048</v>
      </c>
      <c r="G37" s="129">
        <f t="shared" si="7"/>
        <v>11052.004290276833</v>
      </c>
      <c r="H37" s="129">
        <f t="shared" si="8"/>
        <v>19649.884919289088</v>
      </c>
      <c r="I37" s="113"/>
      <c r="J37" s="129">
        <f t="shared" si="9"/>
        <v>4033981.5659510437</v>
      </c>
      <c r="K37" s="129">
        <f t="shared" si="10"/>
        <v>5108970.0790151628</v>
      </c>
      <c r="L37" s="113"/>
      <c r="M37" s="236">
        <f t="shared" si="16"/>
        <v>1</v>
      </c>
      <c r="N37" s="129">
        <f t="shared" si="11"/>
        <v>4033981.5659510437</v>
      </c>
      <c r="O37" s="129">
        <f t="shared" si="1"/>
        <v>0</v>
      </c>
      <c r="Q37" s="129">
        <f t="shared" si="2"/>
        <v>16135926.263804175</v>
      </c>
      <c r="R37" s="129">
        <f t="shared" si="3"/>
        <v>0</v>
      </c>
      <c r="S37" s="113"/>
      <c r="T37" s="50">
        <f t="shared" si="12"/>
        <v>0</v>
      </c>
      <c r="U37" s="50">
        <f t="shared" si="13"/>
        <v>1532691.0237045488</v>
      </c>
      <c r="V37" s="113"/>
      <c r="W37" s="51">
        <f t="shared" si="4"/>
        <v>1</v>
      </c>
      <c r="X37" s="50">
        <f t="shared" si="14"/>
        <v>0</v>
      </c>
      <c r="Y37" s="50">
        <f t="shared" si="15"/>
        <v>0</v>
      </c>
    </row>
    <row r="38" spans="5:25" x14ac:dyDescent="0.25">
      <c r="E38" s="106">
        <f t="shared" si="19"/>
        <v>21</v>
      </c>
      <c r="F38" s="106">
        <f t="shared" si="18"/>
        <v>2049</v>
      </c>
      <c r="G38" s="129">
        <f t="shared" si="7"/>
        <v>11314.77951571278</v>
      </c>
      <c r="H38" s="129">
        <f t="shared" si="8"/>
        <v>20117.154154237796</v>
      </c>
      <c r="I38" s="113"/>
      <c r="J38" s="129">
        <f t="shared" si="9"/>
        <v>4129894.5232351646</v>
      </c>
      <c r="K38" s="129">
        <f t="shared" si="10"/>
        <v>5230460.0801018272</v>
      </c>
      <c r="L38" s="113"/>
      <c r="M38" s="236">
        <f t="shared" si="16"/>
        <v>1</v>
      </c>
      <c r="N38" s="129">
        <f t="shared" si="11"/>
        <v>4129894.5232351646</v>
      </c>
      <c r="O38" s="129">
        <f t="shared" si="1"/>
        <v>0</v>
      </c>
      <c r="Q38" s="129">
        <f t="shared" si="2"/>
        <v>16519578.092940658</v>
      </c>
      <c r="R38" s="129">
        <f t="shared" si="3"/>
        <v>0</v>
      </c>
      <c r="S38" s="113"/>
      <c r="T38" s="50">
        <f t="shared" si="12"/>
        <v>0</v>
      </c>
      <c r="U38" s="50">
        <f t="shared" si="13"/>
        <v>1569138.0240305481</v>
      </c>
      <c r="V38" s="113"/>
      <c r="W38" s="51">
        <f t="shared" si="4"/>
        <v>1</v>
      </c>
      <c r="X38" s="50">
        <f t="shared" si="14"/>
        <v>0</v>
      </c>
      <c r="Y38" s="50">
        <f t="shared" si="15"/>
        <v>0</v>
      </c>
    </row>
    <row r="39" spans="5:25" x14ac:dyDescent="0.25">
      <c r="E39" s="106">
        <f t="shared" ref="E39:E48" si="20">IF(F39=$C$3,1,IF(F39&gt;$C$3,E38+1,0))</f>
        <v>22</v>
      </c>
      <c r="F39" s="106">
        <f t="shared" si="18"/>
        <v>2050</v>
      </c>
      <c r="G39" s="129">
        <f t="shared" si="7"/>
        <v>11583.802550802915</v>
      </c>
      <c r="H39" s="129">
        <f t="shared" si="8"/>
        <v>20595.53493201876</v>
      </c>
      <c r="I39" s="113"/>
      <c r="J39" s="129">
        <f t="shared" si="9"/>
        <v>4228087.9310430642</v>
      </c>
      <c r="K39" s="129">
        <f t="shared" si="10"/>
        <v>5354839.0823248774</v>
      </c>
      <c r="L39" s="113"/>
      <c r="M39" s="236">
        <f t="shared" si="16"/>
        <v>1</v>
      </c>
      <c r="N39" s="129">
        <f t="shared" si="11"/>
        <v>4228087.9310430642</v>
      </c>
      <c r="O39" s="129">
        <f t="shared" si="1"/>
        <v>0</v>
      </c>
      <c r="Q39" s="129">
        <f t="shared" si="2"/>
        <v>16912351.724172257</v>
      </c>
      <c r="R39" s="129">
        <f t="shared" si="3"/>
        <v>0</v>
      </c>
      <c r="S39" s="113"/>
      <c r="T39" s="50">
        <f t="shared" si="12"/>
        <v>0</v>
      </c>
      <c r="U39" s="50">
        <f t="shared" si="13"/>
        <v>1606451.7246974632</v>
      </c>
      <c r="V39" s="113"/>
      <c r="W39" s="51">
        <f t="shared" si="4"/>
        <v>1</v>
      </c>
      <c r="X39" s="50">
        <f t="shared" si="14"/>
        <v>0</v>
      </c>
      <c r="Y39" s="50">
        <f t="shared" si="15"/>
        <v>0</v>
      </c>
    </row>
    <row r="40" spans="5:25" x14ac:dyDescent="0.25">
      <c r="E40" s="106">
        <f t="shared" si="20"/>
        <v>23</v>
      </c>
      <c r="F40" s="106">
        <f t="shared" si="18"/>
        <v>2051</v>
      </c>
      <c r="G40" s="129">
        <f t="shared" si="7"/>
        <v>11859.221945036294</v>
      </c>
      <c r="H40" s="129">
        <f t="shared" si="8"/>
        <v>21085.291482277069</v>
      </c>
      <c r="I40" s="113"/>
      <c r="J40" s="129">
        <f t="shared" si="9"/>
        <v>4328616.0099382475</v>
      </c>
      <c r="K40" s="129">
        <f t="shared" si="10"/>
        <v>5482175.7853920376</v>
      </c>
      <c r="L40" s="113"/>
      <c r="M40" s="236">
        <f t="shared" si="16"/>
        <v>1</v>
      </c>
      <c r="N40" s="129">
        <f t="shared" si="11"/>
        <v>4328616.0099382475</v>
      </c>
      <c r="O40" s="129">
        <f t="shared" si="1"/>
        <v>0</v>
      </c>
      <c r="Q40" s="129">
        <f t="shared" si="2"/>
        <v>17314464.03975299</v>
      </c>
      <c r="R40" s="129">
        <f t="shared" si="3"/>
        <v>0</v>
      </c>
      <c r="S40" s="113"/>
      <c r="T40" s="50">
        <f t="shared" si="12"/>
        <v>0</v>
      </c>
      <c r="U40" s="50">
        <f t="shared" si="13"/>
        <v>1644652.7356176113</v>
      </c>
      <c r="V40" s="113"/>
      <c r="W40" s="51">
        <f t="shared" si="4"/>
        <v>1</v>
      </c>
      <c r="X40" s="50">
        <f t="shared" si="14"/>
        <v>0</v>
      </c>
      <c r="Y40" s="50">
        <f t="shared" si="15"/>
        <v>0</v>
      </c>
    </row>
    <row r="41" spans="5:25" x14ac:dyDescent="0.25">
      <c r="E41" s="106">
        <f t="shared" si="20"/>
        <v>24</v>
      </c>
      <c r="F41" s="106">
        <f t="shared" si="18"/>
        <v>2052</v>
      </c>
      <c r="G41" s="129">
        <f t="shared" si="7"/>
        <v>12141.189779851873</v>
      </c>
      <c r="H41" s="129">
        <f t="shared" si="8"/>
        <v>21586.69431797116</v>
      </c>
      <c r="I41" s="113"/>
      <c r="J41" s="129">
        <f t="shared" si="9"/>
        <v>4431534.269645934</v>
      </c>
      <c r="K41" s="129">
        <f t="shared" si="10"/>
        <v>5612540.5226725014</v>
      </c>
      <c r="L41" s="113"/>
      <c r="M41" s="236">
        <f t="shared" si="16"/>
        <v>1</v>
      </c>
      <c r="N41" s="129">
        <f t="shared" si="11"/>
        <v>4431534.269645934</v>
      </c>
      <c r="O41" s="129">
        <f t="shared" si="1"/>
        <v>5612540.5226725014</v>
      </c>
      <c r="Q41" s="129">
        <f t="shared" si="2"/>
        <v>17726137.078583736</v>
      </c>
      <c r="R41" s="129">
        <f t="shared" si="3"/>
        <v>22450162.090690006</v>
      </c>
      <c r="S41" s="113"/>
      <c r="T41" s="158">
        <f t="shared" si="12"/>
        <v>0</v>
      </c>
      <c r="U41" s="158">
        <f t="shared" si="13"/>
        <v>0</v>
      </c>
      <c r="V41" s="113"/>
      <c r="W41" s="160">
        <f t="shared" si="4"/>
        <v>1</v>
      </c>
      <c r="X41" s="158">
        <f t="shared" si="14"/>
        <v>0</v>
      </c>
      <c r="Y41" s="158">
        <f t="shared" si="15"/>
        <v>0</v>
      </c>
    </row>
    <row r="42" spans="5:25" x14ac:dyDescent="0.25">
      <c r="E42" s="106">
        <f t="shared" si="20"/>
        <v>25</v>
      </c>
      <c r="F42" s="106">
        <f t="shared" si="18"/>
        <v>2053</v>
      </c>
      <c r="G42" s="129">
        <f t="shared" si="7"/>
        <v>12429.861752615039</v>
      </c>
      <c r="H42" s="129">
        <f t="shared" si="8"/>
        <v>22100.020384788397</v>
      </c>
      <c r="I42" s="113"/>
      <c r="J42" s="129">
        <f t="shared" si="9"/>
        <v>4536899.5397044895</v>
      </c>
      <c r="K42" s="129">
        <f t="shared" si="10"/>
        <v>5746005.3000449836</v>
      </c>
      <c r="L42" s="113"/>
      <c r="M42" s="236">
        <f t="shared" si="16"/>
        <v>1</v>
      </c>
      <c r="N42" s="129">
        <f t="shared" si="11"/>
        <v>4536899.5397044895</v>
      </c>
      <c r="O42" s="129">
        <f t="shared" si="1"/>
        <v>5746005.3000449836</v>
      </c>
      <c r="Q42" s="50">
        <f t="shared" si="2"/>
        <v>18147598.158817958</v>
      </c>
      <c r="R42" s="50">
        <f t="shared" si="3"/>
        <v>22984021.200179935</v>
      </c>
      <c r="T42" s="50">
        <f t="shared" si="12"/>
        <v>0</v>
      </c>
      <c r="U42" s="50">
        <f t="shared" si="13"/>
        <v>0</v>
      </c>
      <c r="V42" s="113"/>
      <c r="W42" s="51">
        <f t="shared" si="4"/>
        <v>1</v>
      </c>
      <c r="X42" s="50">
        <f t="shared" si="14"/>
        <v>0</v>
      </c>
      <c r="Y42" s="50">
        <f t="shared" si="15"/>
        <v>0</v>
      </c>
    </row>
    <row r="43" spans="5:25" x14ac:dyDescent="0.25">
      <c r="E43" s="106">
        <f t="shared" si="20"/>
        <v>26</v>
      </c>
      <c r="F43" s="106">
        <f t="shared" si="18"/>
        <v>2054</v>
      </c>
      <c r="G43" s="129">
        <f t="shared" si="7"/>
        <v>12725.397262590783</v>
      </c>
      <c r="H43" s="129">
        <f t="shared" si="8"/>
        <v>22625.553214113716</v>
      </c>
      <c r="I43" s="130"/>
      <c r="J43" s="129">
        <f t="shared" si="9"/>
        <v>4644770.0008456353</v>
      </c>
      <c r="K43" s="129">
        <f t="shared" si="10"/>
        <v>5882643.8356695659</v>
      </c>
      <c r="L43" s="130"/>
      <c r="M43" s="51">
        <f t="shared" si="16"/>
        <v>1</v>
      </c>
      <c r="N43" s="50">
        <f t="shared" si="11"/>
        <v>4644770.0008456353</v>
      </c>
      <c r="O43" s="50">
        <f t="shared" si="1"/>
        <v>5882643.8356695659</v>
      </c>
      <c r="Q43" s="50">
        <f t="shared" si="2"/>
        <v>18579080.003382541</v>
      </c>
      <c r="R43" s="50">
        <f t="shared" si="3"/>
        <v>23530575.342678264</v>
      </c>
      <c r="T43" s="50">
        <f t="shared" si="12"/>
        <v>0</v>
      </c>
      <c r="U43" s="50">
        <f t="shared" si="13"/>
        <v>0</v>
      </c>
      <c r="V43" s="113"/>
      <c r="W43" s="51">
        <f t="shared" si="4"/>
        <v>1</v>
      </c>
      <c r="X43" s="50">
        <f t="shared" si="14"/>
        <v>0</v>
      </c>
      <c r="Y43" s="50">
        <f t="shared" si="15"/>
        <v>0</v>
      </c>
    </row>
    <row r="44" spans="5:25" x14ac:dyDescent="0.25">
      <c r="E44" s="106">
        <f t="shared" si="20"/>
        <v>27</v>
      </c>
      <c r="F44" s="106">
        <f t="shared" si="18"/>
        <v>2055</v>
      </c>
      <c r="G44" s="129">
        <f t="shared" si="7"/>
        <v>13027.95949896099</v>
      </c>
      <c r="H44" s="129">
        <f t="shared" si="8"/>
        <v>23163.583079635835</v>
      </c>
      <c r="I44" s="130"/>
      <c r="J44" s="129">
        <f t="shared" si="9"/>
        <v>4755205.2171207611</v>
      </c>
      <c r="K44" s="129">
        <f t="shared" si="10"/>
        <v>6022531.6007053172</v>
      </c>
      <c r="L44"/>
      <c r="M44" s="51">
        <f t="shared" si="16"/>
        <v>1</v>
      </c>
      <c r="N44" s="50">
        <f t="shared" si="11"/>
        <v>4755205.2171207611</v>
      </c>
      <c r="O44" s="50">
        <f t="shared" si="1"/>
        <v>6022531.6007053172</v>
      </c>
      <c r="Q44" s="50">
        <f t="shared" si="2"/>
        <v>19020820.868483044</v>
      </c>
      <c r="R44" s="50">
        <f t="shared" si="3"/>
        <v>24090126.402821269</v>
      </c>
      <c r="T44" s="50">
        <f t="shared" si="12"/>
        <v>0</v>
      </c>
      <c r="U44" s="50">
        <f t="shared" si="13"/>
        <v>0</v>
      </c>
      <c r="V44" s="113"/>
      <c r="W44" s="51">
        <f t="shared" si="4"/>
        <v>1</v>
      </c>
      <c r="X44" s="50">
        <f t="shared" si="14"/>
        <v>0</v>
      </c>
      <c r="Y44" s="50">
        <f t="shared" si="15"/>
        <v>0</v>
      </c>
    </row>
    <row r="45" spans="5:25" x14ac:dyDescent="0.25">
      <c r="E45" s="106">
        <f t="shared" si="20"/>
        <v>28</v>
      </c>
      <c r="F45" s="106">
        <f t="shared" si="18"/>
        <v>2056</v>
      </c>
      <c r="G45" s="129">
        <f t="shared" si="7"/>
        <v>13337.715530934456</v>
      </c>
      <c r="H45" s="129">
        <f t="shared" si="8"/>
        <v>23714.407157677502</v>
      </c>
      <c r="I45" s="130"/>
      <c r="J45" s="129">
        <f t="shared" si="9"/>
        <v>4868266.1687910762</v>
      </c>
      <c r="K45" s="129">
        <f t="shared" si="10"/>
        <v>6165745.8609961504</v>
      </c>
      <c r="L45"/>
      <c r="M45" s="51">
        <f t="shared" si="16"/>
        <v>1</v>
      </c>
      <c r="N45" s="50">
        <f t="shared" si="11"/>
        <v>4868266.1687910762</v>
      </c>
      <c r="O45" s="50">
        <f t="shared" si="1"/>
        <v>6165745.8609961504</v>
      </c>
      <c r="Q45" s="50">
        <f t="shared" si="2"/>
        <v>19473064.675164305</v>
      </c>
      <c r="R45" s="50">
        <f t="shared" si="3"/>
        <v>24662983.443984602</v>
      </c>
      <c r="T45" s="50">
        <f t="shared" si="12"/>
        <v>0</v>
      </c>
      <c r="U45" s="50">
        <f t="shared" si="13"/>
        <v>0</v>
      </c>
      <c r="V45" s="113"/>
      <c r="W45" s="51">
        <f t="shared" si="4"/>
        <v>1</v>
      </c>
      <c r="X45" s="50">
        <f t="shared" si="14"/>
        <v>0</v>
      </c>
      <c r="Y45" s="50">
        <f t="shared" si="15"/>
        <v>0</v>
      </c>
    </row>
    <row r="46" spans="5:25" x14ac:dyDescent="0.25">
      <c r="E46" s="106">
        <f t="shared" si="20"/>
        <v>29</v>
      </c>
      <c r="F46" s="106">
        <f t="shared" si="18"/>
        <v>2057</v>
      </c>
      <c r="G46" s="129">
        <f t="shared" si="7"/>
        <v>13654.836399999378</v>
      </c>
      <c r="H46" s="129">
        <f t="shared" si="8"/>
        <v>24278.329691338378</v>
      </c>
      <c r="I46" s="130"/>
      <c r="J46" s="129">
        <f t="shared" si="9"/>
        <v>4984015.2859997731</v>
      </c>
      <c r="K46" s="129">
        <f t="shared" si="10"/>
        <v>6312365.7197479783</v>
      </c>
      <c r="L46"/>
      <c r="M46" s="51">
        <f t="shared" si="16"/>
        <v>1</v>
      </c>
      <c r="N46" s="50">
        <f t="shared" si="11"/>
        <v>4984015.2859997731</v>
      </c>
      <c r="O46" s="50">
        <f t="shared" si="1"/>
        <v>6312365.7197479783</v>
      </c>
      <c r="Q46" s="50">
        <f t="shared" si="2"/>
        <v>19936061.143999092</v>
      </c>
      <c r="R46" s="50">
        <f t="shared" si="3"/>
        <v>25249462.878991913</v>
      </c>
      <c r="T46" s="50">
        <f t="shared" si="12"/>
        <v>0</v>
      </c>
      <c r="U46" s="50">
        <f t="shared" si="13"/>
        <v>0</v>
      </c>
      <c r="W46" s="51">
        <f t="shared" si="4"/>
        <v>1</v>
      </c>
      <c r="X46" s="50">
        <f t="shared" si="14"/>
        <v>0</v>
      </c>
      <c r="Y46" s="50">
        <f t="shared" si="15"/>
        <v>0</v>
      </c>
    </row>
    <row r="47" spans="5:25" x14ac:dyDescent="0.25">
      <c r="E47" s="106">
        <f t="shared" si="20"/>
        <v>30</v>
      </c>
      <c r="F47" s="106">
        <f t="shared" si="18"/>
        <v>2058</v>
      </c>
      <c r="G47" s="129">
        <f t="shared" si="7"/>
        <v>13979.49721436927</v>
      </c>
      <c r="H47" s="129">
        <f t="shared" si="8"/>
        <v>24855.662158541174</v>
      </c>
      <c r="I47" s="130"/>
      <c r="J47" s="129">
        <f t="shared" si="9"/>
        <v>5102516.4832447832</v>
      </c>
      <c r="K47" s="129">
        <f t="shared" si="10"/>
        <v>6462472.1612207051</v>
      </c>
      <c r="L47"/>
      <c r="M47" s="51">
        <f t="shared" si="16"/>
        <v>0.5</v>
      </c>
      <c r="N47" s="50">
        <f t="shared" si="11"/>
        <v>2551258.2416223916</v>
      </c>
      <c r="O47" s="50">
        <f t="shared" si="1"/>
        <v>3231236.0806103526</v>
      </c>
      <c r="Q47" s="50">
        <f t="shared" si="2"/>
        <v>10205032.966489566</v>
      </c>
      <c r="R47" s="50">
        <f t="shared" si="3"/>
        <v>12924944.32244141</v>
      </c>
      <c r="T47" s="50">
        <f t="shared" si="12"/>
        <v>0</v>
      </c>
      <c r="U47" s="50">
        <f t="shared" si="13"/>
        <v>0</v>
      </c>
      <c r="W47" s="51">
        <f t="shared" si="4"/>
        <v>1</v>
      </c>
      <c r="X47" s="50">
        <f t="shared" si="14"/>
        <v>0</v>
      </c>
      <c r="Y47" s="50">
        <f t="shared" si="15"/>
        <v>0</v>
      </c>
    </row>
    <row r="48" spans="5:25" x14ac:dyDescent="0.25">
      <c r="E48" s="106">
        <f t="shared" si="20"/>
        <v>31</v>
      </c>
      <c r="F48" s="106">
        <f t="shared" si="18"/>
        <v>2059</v>
      </c>
      <c r="G48" s="129">
        <f t="shared" si="7"/>
        <v>14311.877245674439</v>
      </c>
      <c r="H48" s="129">
        <f t="shared" si="8"/>
        <v>25446.723444073898</v>
      </c>
      <c r="I48"/>
      <c r="J48" s="50">
        <f t="shared" si="9"/>
        <v>5223835.1946711699</v>
      </c>
      <c r="K48" s="50">
        <f t="shared" si="10"/>
        <v>6616148.0954592135</v>
      </c>
      <c r="L48"/>
      <c r="M48" s="51">
        <f t="shared" si="16"/>
        <v>0</v>
      </c>
      <c r="N48" s="50">
        <f t="shared" si="11"/>
        <v>0</v>
      </c>
      <c r="O48" s="50">
        <f t="shared" si="1"/>
        <v>0</v>
      </c>
      <c r="Q48" s="50">
        <f t="shared" si="2"/>
        <v>0</v>
      </c>
      <c r="R48" s="50">
        <f t="shared" si="3"/>
        <v>0</v>
      </c>
      <c r="T48" s="50">
        <f t="shared" si="12"/>
        <v>0</v>
      </c>
      <c r="U48" s="50">
        <f t="shared" si="13"/>
        <v>0</v>
      </c>
      <c r="W48" s="51">
        <f t="shared" si="4"/>
        <v>0</v>
      </c>
      <c r="X48" s="50">
        <f t="shared" si="14"/>
        <v>0</v>
      </c>
      <c r="Y48" s="50">
        <f t="shared" si="15"/>
        <v>0</v>
      </c>
    </row>
    <row r="49" spans="5:25" x14ac:dyDescent="0.25">
      <c r="E49" s="130"/>
      <c r="F49" s="130"/>
      <c r="G49" s="130"/>
      <c r="H49" s="130"/>
      <c r="I49"/>
      <c r="J49"/>
      <c r="K49"/>
      <c r="L49"/>
      <c r="M49"/>
      <c r="N49"/>
      <c r="O49"/>
      <c r="Q49"/>
      <c r="R49"/>
      <c r="W49"/>
    </row>
    <row r="50" spans="5:25" x14ac:dyDescent="0.25">
      <c r="E50"/>
      <c r="F50"/>
      <c r="G50"/>
      <c r="H50"/>
      <c r="I50"/>
      <c r="J50" s="107"/>
      <c r="K50" s="107"/>
      <c r="L50"/>
      <c r="M50" t="s">
        <v>156</v>
      </c>
      <c r="N50" s="107"/>
      <c r="O50" s="107"/>
      <c r="Q50" s="165">
        <f>SUM(Q9:Q48)</f>
        <v>332089994.40627891</v>
      </c>
      <c r="R50" s="165">
        <f>SUM(R9:R48)</f>
        <v>155892275.68178737</v>
      </c>
      <c r="T50" s="165">
        <f>SUM(T9:T48)</f>
        <v>7283257.1676106378</v>
      </c>
      <c r="U50" s="165">
        <f>SUM(U9:U48)</f>
        <v>29075785.553459615</v>
      </c>
      <c r="W50"/>
      <c r="X50" s="165">
        <f>SUM(X9:X48)</f>
        <v>29910351.655080967</v>
      </c>
      <c r="Y50" s="165">
        <f>SUM(Y9:Y48)</f>
        <v>37878312.434405982</v>
      </c>
    </row>
    <row r="51" spans="5:25" x14ac:dyDescent="0.25">
      <c r="E51"/>
      <c r="F51"/>
      <c r="G51"/>
      <c r="H51"/>
      <c r="I51"/>
      <c r="J51" s="107"/>
      <c r="K51" s="107"/>
      <c r="L51"/>
      <c r="M51"/>
      <c r="N51" s="107"/>
      <c r="O51" s="107"/>
      <c r="Q51"/>
      <c r="R51" s="165"/>
      <c r="W51"/>
    </row>
    <row r="52" spans="5:25" x14ac:dyDescent="0.25">
      <c r="E52"/>
      <c r="F52"/>
      <c r="G52"/>
      <c r="H52"/>
      <c r="I52"/>
      <c r="J52" s="107"/>
      <c r="K52" s="107"/>
      <c r="L52"/>
      <c r="M52"/>
      <c r="N52" s="107"/>
      <c r="O52" s="107"/>
      <c r="Q52"/>
      <c r="R52"/>
      <c r="W52"/>
    </row>
    <row r="53" spans="5:25" x14ac:dyDescent="0.25">
      <c r="E53"/>
      <c r="F53"/>
      <c r="G53"/>
      <c r="H53"/>
      <c r="I53"/>
      <c r="J53" s="107"/>
      <c r="K53" s="107"/>
      <c r="L53"/>
      <c r="M53"/>
      <c r="N53" s="107"/>
      <c r="O53" s="107"/>
      <c r="Q53"/>
      <c r="R53"/>
      <c r="W53"/>
    </row>
    <row r="54" spans="5:25" x14ac:dyDescent="0.25">
      <c r="J54" s="107"/>
      <c r="K54" s="107"/>
      <c r="N54" s="107"/>
      <c r="O54" s="107"/>
    </row>
    <row r="55" spans="5:25" x14ac:dyDescent="0.25">
      <c r="J55" s="107"/>
      <c r="K55" s="107"/>
      <c r="N55" s="107"/>
      <c r="O55" s="107"/>
    </row>
    <row r="56" spans="5:25" x14ac:dyDescent="0.25">
      <c r="J56" s="107"/>
      <c r="K56" s="107"/>
      <c r="N56" s="107"/>
      <c r="O56" s="107"/>
    </row>
    <row r="57" spans="5:25" x14ac:dyDescent="0.25">
      <c r="J57" s="107"/>
      <c r="K57" s="107"/>
      <c r="N57" s="107"/>
      <c r="O57" s="107"/>
    </row>
    <row r="58" spans="5:25" x14ac:dyDescent="0.25">
      <c r="J58" s="107"/>
      <c r="K58" s="107"/>
      <c r="N58" s="107"/>
      <c r="O58" s="107"/>
    </row>
    <row r="59" spans="5:25" x14ac:dyDescent="0.25">
      <c r="J59" s="107"/>
      <c r="K59" s="107"/>
      <c r="N59" s="107"/>
      <c r="O59" s="107"/>
    </row>
    <row r="60" spans="5:25" x14ac:dyDescent="0.25">
      <c r="J60" s="107"/>
      <c r="K60" s="107"/>
      <c r="N60" s="107"/>
      <c r="O60" s="107"/>
    </row>
    <row r="61" spans="5:25" x14ac:dyDescent="0.25">
      <c r="J61" s="107"/>
      <c r="K61" s="107"/>
      <c r="N61" s="107"/>
      <c r="O61" s="107"/>
    </row>
    <row r="62" spans="5:25" x14ac:dyDescent="0.25">
      <c r="J62" s="107"/>
      <c r="K62" s="107"/>
      <c r="N62" s="107"/>
      <c r="O62" s="107"/>
    </row>
    <row r="63" spans="5:25" x14ac:dyDescent="0.25">
      <c r="J63" s="107"/>
      <c r="K63" s="107"/>
      <c r="N63" s="107"/>
      <c r="O63" s="107"/>
    </row>
    <row r="64" spans="5:25" x14ac:dyDescent="0.25">
      <c r="J64" s="107"/>
      <c r="K64" s="107"/>
      <c r="N64" s="107"/>
      <c r="O64" s="107"/>
    </row>
    <row r="65" spans="10:15" x14ac:dyDescent="0.25">
      <c r="J65" s="107"/>
      <c r="K65" s="107"/>
      <c r="N65" s="107"/>
      <c r="O65" s="107"/>
    </row>
    <row r="66" spans="10:15" x14ac:dyDescent="0.25">
      <c r="J66" s="107"/>
      <c r="K66" s="107"/>
      <c r="N66" s="107"/>
      <c r="O66" s="107"/>
    </row>
    <row r="67" spans="10:15" x14ac:dyDescent="0.25">
      <c r="J67" s="107"/>
      <c r="K67" s="107"/>
      <c r="N67" s="107"/>
      <c r="O67" s="107"/>
    </row>
    <row r="68" spans="10:15" x14ac:dyDescent="0.25">
      <c r="J68" s="107"/>
      <c r="K68" s="107"/>
      <c r="N68" s="107"/>
      <c r="O68" s="107"/>
    </row>
    <row r="69" spans="10:15" x14ac:dyDescent="0.25">
      <c r="J69" s="107"/>
      <c r="K69" s="107"/>
      <c r="N69" s="107"/>
      <c r="O69" s="107"/>
    </row>
    <row r="70" spans="10:15" x14ac:dyDescent="0.25">
      <c r="J70" s="107"/>
      <c r="K70" s="107"/>
      <c r="N70" s="107"/>
      <c r="O70" s="107"/>
    </row>
    <row r="71" spans="10:15" x14ac:dyDescent="0.25">
      <c r="J71" s="107"/>
      <c r="K71" s="107"/>
      <c r="N71" s="107"/>
      <c r="O71" s="107"/>
    </row>
    <row r="72" spans="10:15" x14ac:dyDescent="0.25">
      <c r="J72" s="107"/>
      <c r="K72" s="107"/>
      <c r="N72" s="107"/>
      <c r="O72" s="107"/>
    </row>
    <row r="73" spans="10:15" x14ac:dyDescent="0.25">
      <c r="J73" s="107"/>
      <c r="K73" s="107"/>
      <c r="N73" s="107"/>
      <c r="O73" s="107"/>
    </row>
    <row r="74" spans="10:15" x14ac:dyDescent="0.25">
      <c r="J74" s="107"/>
      <c r="K74" s="107"/>
      <c r="N74" s="107"/>
      <c r="O74" s="107"/>
    </row>
    <row r="75" spans="10:15" x14ac:dyDescent="0.25">
      <c r="J75" s="107"/>
      <c r="K75" s="107"/>
      <c r="N75" s="107"/>
      <c r="O75" s="107"/>
    </row>
    <row r="76" spans="10:15" x14ac:dyDescent="0.25">
      <c r="J76" s="107"/>
      <c r="K76" s="107"/>
      <c r="N76" s="107"/>
      <c r="O76" s="107"/>
    </row>
    <row r="77" spans="10:15" x14ac:dyDescent="0.25">
      <c r="J77" s="107"/>
      <c r="K77" s="107"/>
      <c r="N77" s="107"/>
      <c r="O77" s="107"/>
    </row>
    <row r="78" spans="10:15" x14ac:dyDescent="0.25">
      <c r="J78" s="107"/>
      <c r="K78" s="107"/>
      <c r="N78" s="107"/>
      <c r="O78" s="107"/>
    </row>
    <row r="79" spans="10:15" x14ac:dyDescent="0.25">
      <c r="J79" s="107"/>
      <c r="K79" s="107"/>
      <c r="N79" s="107"/>
      <c r="O79" s="107"/>
    </row>
    <row r="80" spans="10:15" x14ac:dyDescent="0.25">
      <c r="J80" s="107"/>
      <c r="K80" s="107"/>
      <c r="N80" s="107"/>
      <c r="O80" s="107"/>
    </row>
    <row r="81" spans="10:15" x14ac:dyDescent="0.25">
      <c r="J81" s="107"/>
      <c r="K81" s="107"/>
      <c r="N81" s="107"/>
      <c r="O81" s="107"/>
    </row>
    <row r="82" spans="10:15" x14ac:dyDescent="0.25">
      <c r="J82" s="107"/>
      <c r="K82" s="107"/>
      <c r="N82" s="107"/>
      <c r="O82" s="107"/>
    </row>
    <row r="83" spans="10:15" x14ac:dyDescent="0.25">
      <c r="J83" s="107"/>
      <c r="K83" s="107"/>
      <c r="N83" s="107"/>
      <c r="O83" s="107"/>
    </row>
    <row r="84" spans="10:15" x14ac:dyDescent="0.25">
      <c r="J84" s="107"/>
      <c r="K84" s="107"/>
      <c r="N84" s="107"/>
      <c r="O84" s="107"/>
    </row>
    <row r="85" spans="10:15" x14ac:dyDescent="0.25">
      <c r="J85" s="107"/>
      <c r="K85" s="107"/>
      <c r="N85" s="107"/>
      <c r="O85" s="107"/>
    </row>
    <row r="86" spans="10:15" x14ac:dyDescent="0.25">
      <c r="J86" s="107"/>
      <c r="K86" s="107"/>
      <c r="N86" s="107"/>
      <c r="O86" s="107"/>
    </row>
    <row r="87" spans="10:15" x14ac:dyDescent="0.25">
      <c r="J87" s="107"/>
      <c r="K87" s="107"/>
      <c r="N87" s="107"/>
      <c r="O87" s="107"/>
    </row>
    <row r="88" spans="10:15" x14ac:dyDescent="0.25">
      <c r="J88" s="107"/>
      <c r="K88" s="107"/>
      <c r="N88" s="107"/>
      <c r="O88" s="107"/>
    </row>
    <row r="89" spans="10:15" x14ac:dyDescent="0.25">
      <c r="J89" s="107"/>
      <c r="K89" s="107"/>
      <c r="N89" s="107"/>
      <c r="O89" s="107"/>
    </row>
  </sheetData>
  <sheetProtection algorithmName="SHA-512" hashValue="A6pZiiLjOVYZUonMVQW5lkNWXfXjiuCfE1+EOw5IzC9+amguC+KZQQHtEH3y7pGTQJ7qOPgrwFbpfO0BPakfAQ==" saltValue="UbGZmt5laEnuv10g0oKZYw==" spinCount="100000" sheet="1" objects="1" scenarios="1"/>
  <mergeCells count="6">
    <mergeCell ref="G7:H7"/>
    <mergeCell ref="J7:K7"/>
    <mergeCell ref="Q7:R7"/>
    <mergeCell ref="T7:U7"/>
    <mergeCell ref="X7:Y7"/>
    <mergeCell ref="N7:O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d6693958830e04eaecded991684a3afd">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24e6518201d8910a423ec3cde12fc710"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060e13-48ab-4f65-89d9-584b8a076273">
      <Terms xmlns="http://schemas.microsoft.com/office/infopath/2007/PartnerControls"/>
    </lcf76f155ced4ddcb4097134ff3c332f>
    <TaxCatchAll xmlns="10195425-0631-417d-9576-672d1304af43" xsi:nil="true"/>
  </documentManagement>
</p:properties>
</file>

<file path=customXml/itemProps1.xml><?xml version="1.0" encoding="utf-8"?>
<ds:datastoreItem xmlns:ds="http://schemas.openxmlformats.org/officeDocument/2006/customXml" ds:itemID="{FD798DB6-78DA-49B3-9B34-C3AAAF7DE474}"/>
</file>

<file path=customXml/itemProps2.xml><?xml version="1.0" encoding="utf-8"?>
<ds:datastoreItem xmlns:ds="http://schemas.openxmlformats.org/officeDocument/2006/customXml" ds:itemID="{AA901FB0-0883-49E8-9542-10A8E71690FF}">
  <ds:schemaRefs>
    <ds:schemaRef ds:uri="http://schemas.microsoft.com/sharepoint/v3/contenttype/forms"/>
  </ds:schemaRefs>
</ds:datastoreItem>
</file>

<file path=customXml/itemProps3.xml><?xml version="1.0" encoding="utf-8"?>
<ds:datastoreItem xmlns:ds="http://schemas.openxmlformats.org/officeDocument/2006/customXml" ds:itemID="{6F59BC3C-A01E-48B5-9DC1-0E5DFF146396}">
  <ds:schemaRefs>
    <ds:schemaRef ds:uri="http://purl.org/dc/terms/"/>
    <ds:schemaRef ds:uri="d15e4803-de21-49db-97bc-01ea8c8a1f92"/>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www.w3.org/XML/1998/namespace"/>
    <ds:schemaRef ds:uri="152aefdf-0e78-47b3-96d8-ef3156bca62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ReadMe</vt:lpstr>
      <vt:lpstr>1-Summary</vt:lpstr>
      <vt:lpstr>2-Matrix</vt:lpstr>
      <vt:lpstr>3-Inputs</vt:lpstr>
      <vt:lpstr>3a-Emissions Inputs</vt:lpstr>
      <vt:lpstr>3b-Emissions Factors</vt:lpstr>
      <vt:lpstr>4-Schedule</vt:lpstr>
      <vt:lpstr>5-Capital Costs</vt:lpstr>
      <vt:lpstr>6-Traffic Data</vt:lpstr>
      <vt:lpstr>7-Bridge Closure</vt:lpstr>
      <vt:lpstr>8-Annual O&amp;M</vt:lpstr>
      <vt:lpstr>9-Travel Time Savings</vt:lpstr>
      <vt:lpstr>10-Safety</vt:lpstr>
      <vt:lpstr>11-Vehicle Operating Cost</vt:lpstr>
      <vt:lpstr>12-Shoulder Widening</vt:lpstr>
      <vt:lpstr>13-Marginal Social Cost</vt:lpstr>
      <vt:lpstr>14-Emissions</vt:lpstr>
      <vt:lpstr>15-Emergency Medical Response</vt:lpstr>
      <vt:lpstr>16-Residual Value</vt:lpstr>
      <vt:lpstr>17-O&amp;M Cost Avoided</vt:lpstr>
      <vt:lpstr>18-Travel Time Disbenefits</vt:lpstr>
      <vt:lpstr>19-Safety Disbenefits</vt:lpstr>
      <vt:lpstr>Detour</vt:lpstr>
      <vt:lpstr>Graphics</vt:lpstr>
      <vt:lpstr>Deflator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Shuck, Hana</dc:creator>
  <cp:keywords/>
  <dc:description/>
  <cp:lastModifiedBy>Redstone, Thomas</cp:lastModifiedBy>
  <cp:revision/>
  <dcterms:created xsi:type="dcterms:W3CDTF">2024-10-04T19:35:47Z</dcterms:created>
  <dcterms:modified xsi:type="dcterms:W3CDTF">2024-10-30T13:49:13Z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0x01010022EC2B4E5301104E93F4699810BBBBF9</vt:lpwstr>
  </property>
  <property fmtid="{D5CDD505-2E9C-101B-9397-08002B2CF9AE}" pid="3" name="MediaServiceImageTags">
    <vt:lpwstr/>
  </property>
</Properties>
</file>