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https://officemgmtentserv.sharepoint.com/sites/Planning/Shared Documents/Grants/Bridge Investment Program/2022/Bridge Project Grant/US-69 in Durant/Grants.gov/BCA/"/>
    </mc:Choice>
  </mc:AlternateContent>
  <xr:revisionPtr revIDLastSave="0" documentId="8_{61237CD5-B17D-449A-AB25-CB032B7D5968}" xr6:coauthVersionLast="47" xr6:coauthVersionMax="47" xr10:uidLastSave="{00000000-0000-0000-0000-000000000000}"/>
  <bookViews>
    <workbookView xWindow="-28920" yWindow="-120" windowWidth="29040" windowHeight="15840" xr2:uid="{F666AE40-716F-49C2-8888-FBA016C3CD92}"/>
  </bookViews>
  <sheets>
    <sheet name="Summary" sheetId="12" r:id="rId1"/>
    <sheet name="Summary Table" sheetId="41" r:id="rId2"/>
    <sheet name="NPV" sheetId="5" r:id="rId3"/>
    <sheet name="Costs" sheetId="27" r:id="rId4"/>
    <sheet name="Maintenance" sheetId="49" r:id="rId5"/>
    <sheet name="Safety" sheetId="21" r:id="rId6"/>
    <sheet name="Travel Time" sheetId="51" r:id="rId7"/>
    <sheet name="Environmental Protection" sheetId="47" r:id="rId8"/>
  </sheets>
  <externalReferences>
    <externalReference r:id="rId9"/>
    <externalReference r:id="rId10"/>
    <externalReference r:id="rId11"/>
  </externalReferences>
  <definedNames>
    <definedName name="Annual_Traffic_Growth_Rate">'[1]START Assumptions'!$B$39</definedName>
    <definedName name="Auto_Occ" localSheetId="4">'[1]START Assumptions'!#REF!</definedName>
    <definedName name="Auto_Occ" localSheetId="6">'[1]START Assumptions'!#REF!</definedName>
    <definedName name="Auto_Occ">'[1]START Assumptions'!#REF!</definedName>
    <definedName name="Auto_Op_Cost">'[1]START Assumptions'!$B$37</definedName>
    <definedName name="Ave_Fatal_Cost" localSheetId="4">'[1]START Assumptions'!#REF!</definedName>
    <definedName name="Ave_Fatal_Cost" localSheetId="6">'[1]START Assumptions'!#REF!</definedName>
    <definedName name="Ave_Fatal_Cost">'[1]START Assumptions'!#REF!</definedName>
    <definedName name="Ave_PD_Cost" localSheetId="4">'[1]START Assumptions'!#REF!</definedName>
    <definedName name="Ave_PD_Cost" localSheetId="6">'[1]START Assumptions'!#REF!</definedName>
    <definedName name="Ave_PD_Cost">'[1]START Assumptions'!#REF!</definedName>
    <definedName name="Ave_Type_A_Cost" localSheetId="4">'[1]START Assumptions'!#REF!</definedName>
    <definedName name="Ave_Type_A_Cost">'[1]START Assumptions'!#REF!</definedName>
    <definedName name="Ave_Type_B_Cost" localSheetId="4">'[1]START Assumptions'!#REF!</definedName>
    <definedName name="Ave_Type_B_Cost">'[1]START Assumptions'!#REF!</definedName>
    <definedName name="Ave_Type_C_Cost" localSheetId="4">'[1]START Assumptions'!#REF!</definedName>
    <definedName name="Ave_Type_C_Cost">'[1]START Assumptions'!#REF!</definedName>
    <definedName name="Ave_Type_Fatal_Cost" localSheetId="4">'[1]START Assumptions'!#REF!</definedName>
    <definedName name="Ave_Type_Fatal_Cost">'[1]START Assumptions'!#REF!</definedName>
    <definedName name="Ave_Type_PD_Cost" localSheetId="4">'[1]START Assumptions'!#REF!</definedName>
    <definedName name="Ave_Type_PD_Cost">'[1]START Assumptions'!#REF!</definedName>
    <definedName name="Avg_Crash_Cost" localSheetId="4">'[1]START Assumptions'!#REF!</definedName>
    <definedName name="Avg_Crash_Cost">'[1]START Assumptions'!#REF!</definedName>
    <definedName name="Base_Year">'[1]START Assumptions'!$B$31</definedName>
    <definedName name="Base_Year_Traffic" localSheetId="4">'[1]START Assumptions'!#REF!</definedName>
    <definedName name="Base_Year_Traffic" localSheetId="6">'[1]START Assumptions'!#REF!</definedName>
    <definedName name="Base_Year_Traffic">'[1]START Assumptions'!#REF!</definedName>
    <definedName name="Benefit_Period">'[1]START Assumptions'!$B$33</definedName>
    <definedName name="CIP" localSheetId="7">#REF!</definedName>
    <definedName name="CIP" localSheetId="4">#REF!</definedName>
    <definedName name="CIP" localSheetId="1">#REF!</definedName>
    <definedName name="CIP" localSheetId="6">#REF!</definedName>
    <definedName name="CIP">#REF!</definedName>
    <definedName name="Const_Comp_Year">'[1]START Assumptions'!$B$32</definedName>
    <definedName name="Crash_Rate_AC" localSheetId="4">'[1]START Assumptions'!#REF!</definedName>
    <definedName name="Crash_Rate_AC" localSheetId="6">'[1]START Assumptions'!#REF!</definedName>
    <definedName name="Crash_Rate_AC">'[1]START Assumptions'!#REF!</definedName>
    <definedName name="Crash_Rate_BC" localSheetId="4">'[1]START Assumptions'!#REF!</definedName>
    <definedName name="Crash_Rate_BC" localSheetId="6">'[1]START Assumptions'!#REF!</definedName>
    <definedName name="Crash_Rate_BC">'[1]START Assumptions'!#REF!</definedName>
    <definedName name="dblStack">'[2]Tunnel Capacity'!$C$6</definedName>
    <definedName name="Discount_Rate">'[1]START Assumptions'!$B$35</definedName>
    <definedName name="domstackRate">'[2]Tunnel Capacity'!$C$4</definedName>
    <definedName name="Fatal_Crash_Cost" localSheetId="4">'[1]START Assumptions'!#REF!</definedName>
    <definedName name="Fatal_Crash_Cost" localSheetId="6">'[1]START Assumptions'!#REF!</definedName>
    <definedName name="Fatal_Crash_Cost">'[1]START Assumptions'!#REF!</definedName>
    <definedName name="Fatal_Crash_Rate_AC" localSheetId="4">'[1]START Assumptions'!#REF!</definedName>
    <definedName name="Fatal_Crash_Rate_AC" localSheetId="6">'[1]START Assumptions'!#REF!</definedName>
    <definedName name="Fatal_Crash_Rate_AC">'[1]START Assumptions'!#REF!</definedName>
    <definedName name="Fatal_Crash_Rate_BC" localSheetId="4">'[1]START Assumptions'!#REF!</definedName>
    <definedName name="Fatal_Crash_Rate_BC">'[1]START Assumptions'!#REF!</definedName>
    <definedName name="HCV_Cost_Op" localSheetId="4">'[1]START Assumptions'!#REF!</definedName>
    <definedName name="HCV_Cost_Op">'[1]START Assumptions'!#REF!</definedName>
    <definedName name="HCV_Density_AC" localSheetId="4">'[1]START Assumptions'!#REF!</definedName>
    <definedName name="HCV_Density_AC">'[1]START Assumptions'!#REF!</definedName>
    <definedName name="HCV_Density_BC" localSheetId="4">'[1]START Assumptions'!#REF!</definedName>
    <definedName name="HCV_Density_BC">'[1]START Assumptions'!#REF!</definedName>
    <definedName name="HCV_Occ" localSheetId="4">'[1]START Assumptions'!#REF!</definedName>
    <definedName name="HCV_Occ">'[1]START Assumptions'!#REF!</definedName>
    <definedName name="HCV_Value_of_Time" localSheetId="4">'[1]START Assumptions'!#REF!</definedName>
    <definedName name="HCV_Value_of_Time">'[1]START Assumptions'!#REF!</definedName>
    <definedName name="Injury_Crash_Cost" localSheetId="4">'[1]START Assumptions'!#REF!</definedName>
    <definedName name="Injury_Crash_Cost">'[1]START Assumptions'!#REF!</definedName>
    <definedName name="Injury_Crash_Rate_AC" localSheetId="4">'[1]START Assumptions'!#REF!</definedName>
    <definedName name="Injury_Crash_Rate_AC">'[1]START Assumptions'!#REF!</definedName>
    <definedName name="Injury_Crash_Rate_BC" localSheetId="4">'[1]START Assumptions'!#REF!</definedName>
    <definedName name="Injury_Crash_Rate_BC">'[1]START Assumptions'!#REF!</definedName>
    <definedName name="intlstackRate">'[2]Tunnel Capacity'!$C$3</definedName>
    <definedName name="Length_AC" localSheetId="4">'[1]START Assumptions'!#REF!</definedName>
    <definedName name="Length_AC" localSheetId="6">'[1]START Assumptions'!#REF!</definedName>
    <definedName name="Length_AC">'[1]START Assumptions'!#REF!</definedName>
    <definedName name="Length_BC" localSheetId="4">'[1]START Assumptions'!#REF!</definedName>
    <definedName name="Length_BC" localSheetId="6">'[1]START Assumptions'!#REF!</definedName>
    <definedName name="Length_BC">'[1]START Assumptions'!#REF!</definedName>
    <definedName name="List">'[3]NEW ROAD'!$A$2:$A$19</definedName>
    <definedName name="maxLength">'[2]Tunnel Capacity'!$C$2</definedName>
    <definedName name="NEW">'[3]NEW ROAD'!$A$4:$A$5</definedName>
    <definedName name="NPV_Costs">'[1]START Costs'!$I$5</definedName>
    <definedName name="NPV_Distance" localSheetId="4">'[1]START Distance Benefit'!#REF!</definedName>
    <definedName name="NPV_Distance" localSheetId="6">'[1]START Distance Benefit'!#REF!</definedName>
    <definedName name="NPV_Distance">'[1]START Distance Benefit'!#REF!</definedName>
    <definedName name="NPV_maint">'[1]START Costs'!$L$5</definedName>
    <definedName name="NPV_Safety" localSheetId="4">#REF!</definedName>
    <definedName name="NPV_Safety" localSheetId="6">#REF!</definedName>
    <definedName name="NPV_Safety">#REF!</definedName>
    <definedName name="NPV_Time" localSheetId="4">#REF!</definedName>
    <definedName name="NPV_Time">#REF!</definedName>
    <definedName name="PD_Crash_Cost" localSheetId="4">'[1]START Assumptions'!#REF!</definedName>
    <definedName name="PD_Crash_Cost" localSheetId="6">'[1]START Assumptions'!#REF!</definedName>
    <definedName name="PD_Crash_Cost">'[1]START Assumptions'!#REF!</definedName>
    <definedName name="PD_Crash_Rate_AC" localSheetId="4">'[1]START Assumptions'!#REF!</definedName>
    <definedName name="PD_Crash_Rate_AC" localSheetId="6">'[1]START Assumptions'!#REF!</definedName>
    <definedName name="PD_Crash_Rate_AC">'[1]START Assumptions'!#REF!</definedName>
    <definedName name="PD_Crash_Rate_BC" localSheetId="4">'[1]START Assumptions'!#REF!</definedName>
    <definedName name="PD_Crash_Rate_BC">'[1]START Assumptions'!#REF!</definedName>
    <definedName name="_xlnm.Print_Area" localSheetId="3">Costs!$A$2:$I$39</definedName>
    <definedName name="_xlnm.Print_Area" localSheetId="7">'Environmental Protection'!$A$6:$P$64</definedName>
    <definedName name="_xlnm.Print_Area" localSheetId="4">Maintenance!$A$5:$H$29</definedName>
    <definedName name="_xlnm.Print_Area" localSheetId="2">NPV!$A$1:$C$43</definedName>
    <definedName name="_xlnm.Print_Area" localSheetId="5">Safety!$A$1:$M$128,Safety!#REF!</definedName>
    <definedName name="_xlnm.Print_Area" localSheetId="0">Summary!$B$2:$H$3</definedName>
    <definedName name="_xlnm.Print_Area" localSheetId="1">'Summary Table'!$A$1:$G$39</definedName>
    <definedName name="_xlnm.Print_Area" localSheetId="6">'Travel Time'!$A$62:$M$88,'Travel Time'!$A$117:$M$122</definedName>
    <definedName name="printa" localSheetId="7">#REF!</definedName>
    <definedName name="printa" localSheetId="4">#REF!</definedName>
    <definedName name="printa" localSheetId="1">#REF!</definedName>
    <definedName name="printa" localSheetId="6">#REF!</definedName>
    <definedName name="printa">#REF!</definedName>
    <definedName name="Prop_Dam_Crash_Cost" localSheetId="4">'[1]START Assumptions'!#REF!</definedName>
    <definedName name="Prop_Dam_Crash_Cost" localSheetId="6">'[1]START Assumptions'!#REF!</definedName>
    <definedName name="Prop_Dam_Crash_Cost">'[1]START Assumptions'!#REF!</definedName>
    <definedName name="singleStack">'[2]Tunnel Capacity'!$C$5</definedName>
    <definedName name="Speed_AC" localSheetId="4">'[1]START Assumptions'!#REF!</definedName>
    <definedName name="Speed_AC" localSheetId="6">'[1]START Assumptions'!#REF!</definedName>
    <definedName name="Speed_AC">'[1]START Assumptions'!#REF!</definedName>
    <definedName name="Speed_BC" localSheetId="4">'[1]START Assumptions'!#REF!</definedName>
    <definedName name="Speed_BC" localSheetId="6">'[1]START Assumptions'!#REF!</definedName>
    <definedName name="Speed_BC">'[1]START Assumptions'!#REF!</definedName>
    <definedName name="Type_A_Crash_Rate_AC" localSheetId="4">'[1]START Assumptions'!#REF!</definedName>
    <definedName name="Type_A_Crash_Rate_AC">'[1]START Assumptions'!#REF!</definedName>
    <definedName name="Type_A_Crash_Rate_BC" localSheetId="4">'[1]START Assumptions'!#REF!</definedName>
    <definedName name="Type_A_Crash_Rate_BC">'[1]START Assumptions'!#REF!</definedName>
    <definedName name="Type_B_Crash_Rate_AC" localSheetId="4">'[1]START Assumptions'!#REF!</definedName>
    <definedName name="Type_B_Crash_Rate_AC">'[1]START Assumptions'!#REF!</definedName>
    <definedName name="Type_B_Crash_Rate_BC" localSheetId="4">'[1]START Assumptions'!#REF!</definedName>
    <definedName name="Type_B_Crash_Rate_BC">'[1]START Assumptions'!#REF!</definedName>
    <definedName name="Type_C_Crash_Rate_AC" localSheetId="4">'[1]START Assumptions'!#REF!</definedName>
    <definedName name="Type_C_Crash_Rate_AC">'[1]START Assumptions'!#REF!</definedName>
    <definedName name="Type_C_Crash_Rate_BC" localSheetId="4">'[1]START Assumptions'!#REF!</definedName>
    <definedName name="Type_C_Crash_Rate_BC">'[1]START Assumptions'!#REF!</definedName>
    <definedName name="Type_Fatal_Crash_Rate_AC" localSheetId="4">'[1]START Assumptions'!#REF!</definedName>
    <definedName name="Type_Fatal_Crash_Rate_AC">'[1]START Assumptions'!#REF!</definedName>
    <definedName name="Type_Fatal_Crash_Rate_BC" localSheetId="4">'[1]START Assumptions'!#REF!</definedName>
    <definedName name="Type_Fatal_Crash_Rate_BC">'[1]START Assumptions'!#REF!</definedName>
    <definedName name="Type_PD_Crash_Rate_AC" localSheetId="4">'[1]START Assumptions'!#REF!</definedName>
    <definedName name="Type_PD_Crash_Rate_AC">'[1]START Assumptions'!#REF!</definedName>
    <definedName name="Type_PD_Crash_Rate_BC" localSheetId="4">'[1]START Assumptions'!#REF!</definedName>
    <definedName name="Type_PD_Crash_Rate_BC">'[1]START Assumptions'!#REF!</definedName>
    <definedName name="Version2" localSheetId="7">#REF!</definedName>
    <definedName name="Version2" localSheetId="4">#REF!</definedName>
    <definedName name="Version2" localSheetId="1">#REF!</definedName>
    <definedName name="Version2" localSheetId="6">#REF!</definedName>
    <definedName name="Version2">#REF!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49" l="1"/>
  <c r="B34" i="49"/>
  <c r="B96" i="51"/>
  <c r="B101" i="51"/>
  <c r="B110" i="51"/>
  <c r="B108" i="51"/>
  <c r="B104" i="21"/>
  <c r="B103" i="21"/>
  <c r="D62" i="49"/>
  <c r="G10" i="27"/>
  <c r="G9" i="27"/>
  <c r="G8" i="27"/>
  <c r="G7" i="27"/>
  <c r="G6" i="27"/>
  <c r="B64" i="51"/>
  <c r="C64" i="51" l="1"/>
  <c r="D64" i="51" s="1"/>
  <c r="B48" i="27"/>
  <c r="B41" i="27"/>
  <c r="C3" i="27" s="1"/>
  <c r="C4" i="27" s="1"/>
  <c r="G30" i="27" s="1"/>
  <c r="K20" i="47"/>
  <c r="K21" i="47"/>
  <c r="K22" i="47"/>
  <c r="K23" i="47"/>
  <c r="K24" i="47"/>
  <c r="K25" i="47"/>
  <c r="K26" i="47"/>
  <c r="K27" i="47"/>
  <c r="F9" i="27" l="1"/>
  <c r="F8" i="27"/>
  <c r="F10" i="27"/>
  <c r="F7" i="27"/>
  <c r="F6" i="27"/>
  <c r="F81" i="21"/>
  <c r="F89" i="21"/>
  <c r="L50" i="51"/>
  <c r="L51" i="51"/>
  <c r="L52" i="51"/>
  <c r="L53" i="51"/>
  <c r="L54" i="51"/>
  <c r="L55" i="51"/>
  <c r="L56" i="51"/>
  <c r="L57" i="51"/>
  <c r="C110" i="51"/>
  <c r="D63" i="49" l="1"/>
  <c r="F63" i="49" s="1"/>
  <c r="D64" i="49"/>
  <c r="F64" i="49" s="1"/>
  <c r="D65" i="49"/>
  <c r="F65" i="49" s="1"/>
  <c r="F62" i="49"/>
  <c r="F66" i="49" l="1"/>
  <c r="B75" i="49"/>
  <c r="F38" i="49" l="1"/>
  <c r="F42" i="49" s="1"/>
  <c r="B8" i="49"/>
  <c r="T12" i="41"/>
  <c r="C14" i="41"/>
  <c r="C15" i="41"/>
  <c r="C16" i="41"/>
  <c r="C17" i="41"/>
  <c r="C12" i="41"/>
  <c r="C13" i="41"/>
  <c r="B9" i="49"/>
  <c r="G11" i="27" l="1"/>
  <c r="G12" i="27"/>
  <c r="G13" i="27"/>
  <c r="G14" i="27"/>
  <c r="G15" i="27"/>
  <c r="G16" i="27"/>
  <c r="G17" i="27"/>
  <c r="G18" i="27"/>
  <c r="G19" i="27"/>
  <c r="G20" i="27"/>
  <c r="G21" i="27"/>
  <c r="G22" i="27"/>
  <c r="G23" i="27"/>
  <c r="G24" i="27"/>
  <c r="G25" i="27"/>
  <c r="G26" i="27"/>
  <c r="G27" i="27"/>
  <c r="G28" i="27"/>
  <c r="G29" i="27"/>
  <c r="B116" i="21"/>
  <c r="H5" i="27"/>
  <c r="C7" i="5" l="1"/>
  <c r="C10" i="5"/>
  <c r="A65" i="51" l="1"/>
  <c r="A112" i="21"/>
  <c r="A113" i="21" s="1"/>
  <c r="A114" i="21" s="1"/>
  <c r="A115" i="21" s="1"/>
  <c r="A116" i="21" s="1"/>
  <c r="A34" i="49"/>
  <c r="E34" i="49" s="1"/>
  <c r="A36" i="21"/>
  <c r="M36" i="21" s="1"/>
  <c r="A35" i="47"/>
  <c r="A36" i="47"/>
  <c r="A37" i="47"/>
  <c r="A38" i="47" s="1"/>
  <c r="A39" i="47" s="1"/>
  <c r="A40" i="47" s="1"/>
  <c r="A41" i="47" s="1"/>
  <c r="A42" i="47" s="1"/>
  <c r="A43" i="47" s="1"/>
  <c r="A44" i="47" s="1"/>
  <c r="A45" i="47" s="1"/>
  <c r="A46" i="47" s="1"/>
  <c r="A47" i="47" s="1"/>
  <c r="A48" i="47" s="1"/>
  <c r="A49" i="47" s="1"/>
  <c r="A50" i="47" s="1"/>
  <c r="A51" i="47" s="1"/>
  <c r="A52" i="47" s="1"/>
  <c r="A53" i="47" s="1"/>
  <c r="A54" i="47" s="1"/>
  <c r="A55" i="47" s="1"/>
  <c r="A56" i="47" s="1"/>
  <c r="A57" i="47" s="1"/>
  <c r="A58" i="47" s="1"/>
  <c r="A59" i="47" s="1"/>
  <c r="A60" i="47" s="1"/>
  <c r="A61" i="47" s="1"/>
  <c r="A62" i="47" s="1"/>
  <c r="A34" i="47"/>
  <c r="A38" i="51"/>
  <c r="H61" i="21"/>
  <c r="H62" i="21"/>
  <c r="H63" i="21"/>
  <c r="H64" i="21"/>
  <c r="H65" i="21"/>
  <c r="H66" i="21"/>
  <c r="H67" i="21"/>
  <c r="H68" i="21"/>
  <c r="H69" i="21"/>
  <c r="H70" i="21"/>
  <c r="S13" i="41"/>
  <c r="S14" i="41" s="1"/>
  <c r="S15" i="41" s="1"/>
  <c r="S16" i="41" s="1"/>
  <c r="S17" i="41" s="1"/>
  <c r="S18" i="41" s="1"/>
  <c r="S19" i="41" s="1"/>
  <c r="S20" i="41" s="1"/>
  <c r="S21" i="41" s="1"/>
  <c r="S22" i="41" s="1"/>
  <c r="S23" i="41" s="1"/>
  <c r="S24" i="41" s="1"/>
  <c r="S25" i="41" s="1"/>
  <c r="S26" i="41" s="1"/>
  <c r="S27" i="41" s="1"/>
  <c r="S28" i="41" s="1"/>
  <c r="S29" i="41" s="1"/>
  <c r="S30" i="41" s="1"/>
  <c r="S31" i="41" s="1"/>
  <c r="S32" i="41" s="1"/>
  <c r="S33" i="41" s="1"/>
  <c r="S34" i="41" s="1"/>
  <c r="S35" i="41" s="1"/>
  <c r="S36" i="41" s="1"/>
  <c r="S37" i="41" s="1"/>
  <c r="B65" i="51" l="1"/>
  <c r="F54" i="49"/>
  <c r="A9" i="47"/>
  <c r="A12" i="51"/>
  <c r="B3" i="12"/>
  <c r="C8" i="49"/>
  <c r="D8" i="49" s="1"/>
  <c r="E8" i="49" s="1"/>
  <c r="B103" i="51"/>
  <c r="B13" i="49"/>
  <c r="C13" i="49"/>
  <c r="B14" i="49"/>
  <c r="C14" i="49"/>
  <c r="B15" i="49"/>
  <c r="C15" i="49"/>
  <c r="B16" i="49"/>
  <c r="C16" i="49"/>
  <c r="B17" i="49"/>
  <c r="C17" i="49"/>
  <c r="B18" i="49"/>
  <c r="C18" i="49"/>
  <c r="B19" i="49"/>
  <c r="C19" i="49"/>
  <c r="B20" i="49"/>
  <c r="C20" i="49"/>
  <c r="B21" i="49"/>
  <c r="C21" i="49"/>
  <c r="B22" i="49"/>
  <c r="C22" i="49"/>
  <c r="B23" i="49"/>
  <c r="C23" i="49"/>
  <c r="B24" i="49"/>
  <c r="C24" i="49"/>
  <c r="B25" i="49"/>
  <c r="C25" i="49"/>
  <c r="B26" i="49"/>
  <c r="C26" i="49"/>
  <c r="B27" i="49"/>
  <c r="C27" i="49"/>
  <c r="C9" i="49"/>
  <c r="C10" i="49"/>
  <c r="C11" i="49"/>
  <c r="C12" i="49"/>
  <c r="B10" i="49"/>
  <c r="B11" i="49"/>
  <c r="B12" i="49"/>
  <c r="A35" i="49"/>
  <c r="B54" i="49"/>
  <c r="D27" i="49" l="1"/>
  <c r="D17" i="49"/>
  <c r="C96" i="51"/>
  <c r="C95" i="51" s="1"/>
  <c r="D14" i="49"/>
  <c r="D26" i="49"/>
  <c r="D23" i="49"/>
  <c r="D15" i="49"/>
  <c r="D25" i="49"/>
  <c r="A10" i="47"/>
  <c r="A11" i="47" s="1"/>
  <c r="A12" i="47" s="1"/>
  <c r="A13" i="47" s="1"/>
  <c r="A14" i="47" s="1"/>
  <c r="A15" i="47" s="1"/>
  <c r="A16" i="47" s="1"/>
  <c r="A17" i="47" s="1"/>
  <c r="A18" i="47" s="1"/>
  <c r="A19" i="47" s="1"/>
  <c r="A20" i="47" s="1"/>
  <c r="A21" i="47" s="1"/>
  <c r="A22" i="47" s="1"/>
  <c r="A23" i="47" s="1"/>
  <c r="A24" i="47" s="1"/>
  <c r="A25" i="47" s="1"/>
  <c r="A26" i="47" s="1"/>
  <c r="A27" i="47" s="1"/>
  <c r="A13" i="51"/>
  <c r="A36" i="49"/>
  <c r="E35" i="49"/>
  <c r="B95" i="51"/>
  <c r="D22" i="49"/>
  <c r="D24" i="49"/>
  <c r="D16" i="49"/>
  <c r="D19" i="49"/>
  <c r="D12" i="49"/>
  <c r="D11" i="49"/>
  <c r="D10" i="49"/>
  <c r="D21" i="49"/>
  <c r="D18" i="49"/>
  <c r="D9" i="49"/>
  <c r="D20" i="49"/>
  <c r="D13" i="49"/>
  <c r="B28" i="49"/>
  <c r="A37" i="49" l="1"/>
  <c r="E36" i="49"/>
  <c r="A38" i="49" l="1"/>
  <c r="E37" i="49"/>
  <c r="D4" i="5"/>
  <c r="A39" i="49" l="1"/>
  <c r="E38" i="49"/>
  <c r="D3" i="5"/>
  <c r="A40" i="49" l="1"/>
  <c r="E39" i="49"/>
  <c r="D72" i="21"/>
  <c r="D71" i="21"/>
  <c r="C72" i="21"/>
  <c r="C71" i="21"/>
  <c r="A39" i="51"/>
  <c r="A41" i="49" l="1"/>
  <c r="E40" i="49"/>
  <c r="A40" i="51"/>
  <c r="G72" i="21"/>
  <c r="F72" i="21"/>
  <c r="E72" i="21"/>
  <c r="A41" i="51" l="1"/>
  <c r="A42" i="49"/>
  <c r="E41" i="49"/>
  <c r="H72" i="21"/>
  <c r="A14" i="51"/>
  <c r="A42" i="51" l="1"/>
  <c r="A43" i="49"/>
  <c r="E42" i="49"/>
  <c r="I72" i="21"/>
  <c r="I62" i="21"/>
  <c r="I66" i="21"/>
  <c r="I68" i="21"/>
  <c r="I64" i="21"/>
  <c r="I70" i="21"/>
  <c r="A15" i="51"/>
  <c r="A43" i="51" l="1"/>
  <c r="A44" i="49"/>
  <c r="E43" i="49"/>
  <c r="A16" i="51"/>
  <c r="A44" i="51" l="1"/>
  <c r="A45" i="49"/>
  <c r="E44" i="49"/>
  <c r="A17" i="51"/>
  <c r="A45" i="51" l="1"/>
  <c r="A46" i="49"/>
  <c r="E45" i="49"/>
  <c r="A18" i="51"/>
  <c r="A46" i="51" l="1"/>
  <c r="A47" i="49"/>
  <c r="E46" i="49"/>
  <c r="A19" i="51"/>
  <c r="A47" i="51" l="1"/>
  <c r="A48" i="49"/>
  <c r="E47" i="49"/>
  <c r="A20" i="51"/>
  <c r="A48" i="51" l="1"/>
  <c r="A49" i="49"/>
  <c r="E48" i="49"/>
  <c r="A21" i="51"/>
  <c r="D43" i="5"/>
  <c r="A49" i="51" l="1"/>
  <c r="A50" i="49"/>
  <c r="E49" i="49"/>
  <c r="A22" i="51"/>
  <c r="A50" i="51" l="1"/>
  <c r="A51" i="49"/>
  <c r="E50" i="49"/>
  <c r="A23" i="51"/>
  <c r="L11" i="51" s="1"/>
  <c r="L12" i="51" l="1"/>
  <c r="L13" i="51"/>
  <c r="L14" i="51"/>
  <c r="L15" i="51"/>
  <c r="L16" i="51"/>
  <c r="L17" i="51"/>
  <c r="L18" i="51"/>
  <c r="L19" i="51"/>
  <c r="L20" i="51"/>
  <c r="L21" i="51"/>
  <c r="L22" i="51"/>
  <c r="A51" i="51"/>
  <c r="A52" i="49"/>
  <c r="E51" i="49"/>
  <c r="A24" i="51"/>
  <c r="K16" i="47" l="1"/>
  <c r="L46" i="51"/>
  <c r="K19" i="47"/>
  <c r="L49" i="51"/>
  <c r="K12" i="47"/>
  <c r="L42" i="51"/>
  <c r="K17" i="47"/>
  <c r="L47" i="51"/>
  <c r="K14" i="47"/>
  <c r="L44" i="51"/>
  <c r="K9" i="47"/>
  <c r="L39" i="51"/>
  <c r="K18" i="47"/>
  <c r="L48" i="51"/>
  <c r="K15" i="47"/>
  <c r="L45" i="51"/>
  <c r="K13" i="47"/>
  <c r="L43" i="51"/>
  <c r="K11" i="47"/>
  <c r="L41" i="51"/>
  <c r="K10" i="47"/>
  <c r="L40" i="51"/>
  <c r="K8" i="47"/>
  <c r="L38" i="51"/>
  <c r="A52" i="51"/>
  <c r="A53" i="49"/>
  <c r="E53" i="49" s="1"/>
  <c r="E52" i="49"/>
  <c r="A25" i="51"/>
  <c r="A53" i="51" l="1"/>
  <c r="A26" i="51"/>
  <c r="B118" i="21" l="1"/>
  <c r="B36" i="21" s="1"/>
  <c r="A54" i="51"/>
  <c r="A66" i="51"/>
  <c r="A27" i="51"/>
  <c r="B66" i="51" l="1"/>
  <c r="B112" i="21"/>
  <c r="B115" i="21"/>
  <c r="B114" i="21"/>
  <c r="B113" i="21"/>
  <c r="B117" i="21"/>
  <c r="A67" i="51"/>
  <c r="B67" i="51" s="1"/>
  <c r="A55" i="51"/>
  <c r="A28" i="51"/>
  <c r="B108" i="21" l="1"/>
  <c r="C36" i="21" s="1"/>
  <c r="A68" i="51"/>
  <c r="A56" i="51"/>
  <c r="A29" i="51"/>
  <c r="B68" i="51" l="1"/>
  <c r="J36" i="21"/>
  <c r="I36" i="21"/>
  <c r="D36" i="21"/>
  <c r="H36" i="21"/>
  <c r="F36" i="21"/>
  <c r="O36" i="21" s="1"/>
  <c r="G36" i="21"/>
  <c r="P36" i="21" s="1"/>
  <c r="E36" i="21"/>
  <c r="K36" i="21" s="1"/>
  <c r="A57" i="51"/>
  <c r="A69" i="51"/>
  <c r="A30" i="51"/>
  <c r="C65" i="51"/>
  <c r="D65" i="51" s="1"/>
  <c r="C66" i="51"/>
  <c r="D66" i="51" s="1"/>
  <c r="C68" i="51"/>
  <c r="D68" i="51" s="1"/>
  <c r="C67" i="51"/>
  <c r="D67" i="51" s="1"/>
  <c r="N36" i="21" l="1"/>
  <c r="B10" i="21"/>
  <c r="B69" i="51"/>
  <c r="A70" i="51"/>
  <c r="L69" i="51" l="1"/>
  <c r="K69" i="51"/>
  <c r="F69" i="51"/>
  <c r="E69" i="51"/>
  <c r="B70" i="51"/>
  <c r="C69" i="51"/>
  <c r="A71" i="51"/>
  <c r="G69" i="51" l="1"/>
  <c r="H69" i="51" s="1"/>
  <c r="D69" i="51"/>
  <c r="B11" i="51" s="1"/>
  <c r="B38" i="51" s="1"/>
  <c r="C11" i="51"/>
  <c r="M69" i="51"/>
  <c r="E38" i="51" s="1"/>
  <c r="L70" i="51"/>
  <c r="E70" i="51"/>
  <c r="O69" i="51"/>
  <c r="P69" i="51" s="1"/>
  <c r="I69" i="51"/>
  <c r="J69" i="51" s="1"/>
  <c r="F70" i="51"/>
  <c r="I70" i="51" s="1"/>
  <c r="J70" i="51" s="1"/>
  <c r="K70" i="51"/>
  <c r="M70" i="51" s="1"/>
  <c r="E11" i="51"/>
  <c r="B71" i="51"/>
  <c r="C70" i="51"/>
  <c r="C12" i="51" s="1"/>
  <c r="C39" i="51" s="1"/>
  <c r="A72" i="51"/>
  <c r="N69" i="51" l="1"/>
  <c r="L71" i="51"/>
  <c r="E71" i="51"/>
  <c r="K71" i="51"/>
  <c r="F71" i="51"/>
  <c r="B72" i="51"/>
  <c r="G11" i="51"/>
  <c r="I11" i="51" s="1"/>
  <c r="D70" i="51"/>
  <c r="C71" i="51"/>
  <c r="C13" i="51" s="1"/>
  <c r="C40" i="51" s="1"/>
  <c r="A73" i="51"/>
  <c r="G12" i="51"/>
  <c r="N70" i="51"/>
  <c r="D39" i="51" s="1"/>
  <c r="E39" i="51"/>
  <c r="O70" i="51"/>
  <c r="G39" i="51" s="1"/>
  <c r="G70" i="51"/>
  <c r="E12" i="51" s="1"/>
  <c r="L72" i="51" l="1"/>
  <c r="E72" i="51"/>
  <c r="F72" i="51"/>
  <c r="K72" i="51"/>
  <c r="B73" i="51"/>
  <c r="I12" i="51"/>
  <c r="D71" i="51"/>
  <c r="I39" i="51"/>
  <c r="C9" i="47" s="1"/>
  <c r="H70" i="51"/>
  <c r="D12" i="51" s="1"/>
  <c r="P70" i="51"/>
  <c r="F39" i="51" s="1"/>
  <c r="H39" i="51" s="1"/>
  <c r="F12" i="51"/>
  <c r="C72" i="51"/>
  <c r="C14" i="51" s="1"/>
  <c r="C41" i="51" s="1"/>
  <c r="A74" i="51"/>
  <c r="M71" i="51"/>
  <c r="N71" i="51" s="1"/>
  <c r="G71" i="51"/>
  <c r="E13" i="51" s="1"/>
  <c r="J39" i="51" l="1"/>
  <c r="B9" i="47"/>
  <c r="L73" i="51"/>
  <c r="E73" i="51"/>
  <c r="F73" i="51"/>
  <c r="K73" i="51"/>
  <c r="B74" i="51"/>
  <c r="H12" i="51"/>
  <c r="J12" i="51" s="1"/>
  <c r="H71" i="51"/>
  <c r="D13" i="51" s="1"/>
  <c r="D72" i="51"/>
  <c r="A75" i="51"/>
  <c r="C73" i="51"/>
  <c r="D73" i="51" s="1"/>
  <c r="M72" i="51"/>
  <c r="N72" i="51" s="1"/>
  <c r="G72" i="51"/>
  <c r="E14" i="51" s="1"/>
  <c r="L74" i="51" l="1"/>
  <c r="E74" i="51"/>
  <c r="F74" i="51"/>
  <c r="K74" i="51"/>
  <c r="B75" i="51"/>
  <c r="H72" i="51"/>
  <c r="D14" i="51" s="1"/>
  <c r="G73" i="51"/>
  <c r="H73" i="51" s="1"/>
  <c r="A76" i="51"/>
  <c r="M73" i="51"/>
  <c r="N73" i="51" s="1"/>
  <c r="C74" i="51"/>
  <c r="D74" i="51" s="1"/>
  <c r="L75" i="51" l="1"/>
  <c r="E75" i="51"/>
  <c r="F75" i="51"/>
  <c r="K75" i="51"/>
  <c r="B76" i="51"/>
  <c r="G74" i="51"/>
  <c r="H74" i="51" s="1"/>
  <c r="C75" i="51"/>
  <c r="D75" i="51" s="1"/>
  <c r="A77" i="51"/>
  <c r="M74" i="51"/>
  <c r="N74" i="51" s="1"/>
  <c r="L76" i="51" l="1"/>
  <c r="E76" i="51"/>
  <c r="K76" i="51"/>
  <c r="F76" i="51"/>
  <c r="B77" i="51"/>
  <c r="C76" i="51"/>
  <c r="D76" i="51" s="1"/>
  <c r="A78" i="51"/>
  <c r="G75" i="51"/>
  <c r="H75" i="51" s="1"/>
  <c r="M75" i="51"/>
  <c r="N75" i="51" s="1"/>
  <c r="L77" i="51" l="1"/>
  <c r="E77" i="51"/>
  <c r="F77" i="51"/>
  <c r="K77" i="51"/>
  <c r="B78" i="51"/>
  <c r="A79" i="51"/>
  <c r="G76" i="51"/>
  <c r="H76" i="51" s="1"/>
  <c r="C77" i="51"/>
  <c r="D77" i="51" s="1"/>
  <c r="M76" i="51"/>
  <c r="N76" i="51" s="1"/>
  <c r="L78" i="51" l="1"/>
  <c r="E78" i="51"/>
  <c r="F78" i="51"/>
  <c r="K78" i="51"/>
  <c r="B79" i="51"/>
  <c r="M77" i="51"/>
  <c r="N77" i="51" s="1"/>
  <c r="A80" i="51"/>
  <c r="G77" i="51"/>
  <c r="H77" i="51" s="1"/>
  <c r="C78" i="51"/>
  <c r="D78" i="51" s="1"/>
  <c r="L79" i="51" l="1"/>
  <c r="E79" i="51"/>
  <c r="F79" i="51"/>
  <c r="K79" i="51"/>
  <c r="B80" i="51"/>
  <c r="E80" i="51" s="1"/>
  <c r="G78" i="51"/>
  <c r="H78" i="51" s="1"/>
  <c r="M78" i="51"/>
  <c r="N78" i="51" s="1"/>
  <c r="C79" i="51"/>
  <c r="D79" i="51" s="1"/>
  <c r="A81" i="51"/>
  <c r="L80" i="51" l="1"/>
  <c r="F80" i="51"/>
  <c r="K80" i="51"/>
  <c r="B81" i="51"/>
  <c r="C80" i="51"/>
  <c r="D80" i="51" s="1"/>
  <c r="A82" i="51"/>
  <c r="G79" i="51"/>
  <c r="H79" i="51" s="1"/>
  <c r="M79" i="51"/>
  <c r="N79" i="51" s="1"/>
  <c r="F81" i="51" l="1"/>
  <c r="K81" i="51"/>
  <c r="E81" i="51"/>
  <c r="L81" i="51"/>
  <c r="B82" i="51"/>
  <c r="E82" i="51" s="1"/>
  <c r="C81" i="51"/>
  <c r="D81" i="51" s="1"/>
  <c r="A83" i="51"/>
  <c r="G80" i="51"/>
  <c r="H80" i="51" s="1"/>
  <c r="M80" i="51"/>
  <c r="N80" i="51" s="1"/>
  <c r="A9" i="49"/>
  <c r="G81" i="51" l="1"/>
  <c r="H81" i="51" s="1"/>
  <c r="O81" i="51"/>
  <c r="P81" i="51" s="1"/>
  <c r="M81" i="51"/>
  <c r="N81" i="51" s="1"/>
  <c r="I81" i="51"/>
  <c r="J81" i="51" s="1"/>
  <c r="F82" i="51"/>
  <c r="L82" i="51"/>
  <c r="O82" i="51" s="1"/>
  <c r="B83" i="51"/>
  <c r="E83" i="51" s="1"/>
  <c r="E9" i="49"/>
  <c r="C82" i="51"/>
  <c r="D82" i="51" s="1"/>
  <c r="K82" i="51"/>
  <c r="A84" i="51"/>
  <c r="A10" i="49"/>
  <c r="F83" i="51" l="1"/>
  <c r="L83" i="51"/>
  <c r="O83" i="51" s="1"/>
  <c r="B84" i="51"/>
  <c r="E84" i="51" s="1"/>
  <c r="K83" i="51"/>
  <c r="C83" i="51"/>
  <c r="D83" i="51" s="1"/>
  <c r="M82" i="51"/>
  <c r="N82" i="51" s="1"/>
  <c r="A85" i="51"/>
  <c r="G82" i="51"/>
  <c r="H82" i="51" s="1"/>
  <c r="A11" i="49"/>
  <c r="E10" i="49"/>
  <c r="C28" i="49"/>
  <c r="D28" i="49"/>
  <c r="B2" i="49" s="1"/>
  <c r="F84" i="51" l="1"/>
  <c r="L84" i="51"/>
  <c r="O84" i="51" s="1"/>
  <c r="B85" i="51"/>
  <c r="E85" i="51" s="1"/>
  <c r="A86" i="51"/>
  <c r="G83" i="51"/>
  <c r="H83" i="51" s="1"/>
  <c r="K84" i="51"/>
  <c r="C84" i="51"/>
  <c r="D84" i="51" s="1"/>
  <c r="M83" i="51"/>
  <c r="N83" i="51" s="1"/>
  <c r="A12" i="49"/>
  <c r="E11" i="49"/>
  <c r="F85" i="51" l="1"/>
  <c r="L85" i="51"/>
  <c r="O85" i="51" s="1"/>
  <c r="B86" i="51"/>
  <c r="E86" i="51" s="1"/>
  <c r="A87" i="51"/>
  <c r="G84" i="51"/>
  <c r="H84" i="51" s="1"/>
  <c r="C85" i="51"/>
  <c r="D85" i="51" s="1"/>
  <c r="K85" i="51"/>
  <c r="M84" i="51"/>
  <c r="N84" i="51" s="1"/>
  <c r="A13" i="49"/>
  <c r="E12" i="49"/>
  <c r="F5" i="5"/>
  <c r="F6" i="5" s="1"/>
  <c r="F7" i="5" s="1"/>
  <c r="F8" i="5" s="1"/>
  <c r="F9" i="5" s="1"/>
  <c r="F10" i="5" s="1"/>
  <c r="F11" i="5" s="1"/>
  <c r="F12" i="5" s="1"/>
  <c r="F13" i="5" s="1"/>
  <c r="F14" i="5" s="1"/>
  <c r="F15" i="5" s="1"/>
  <c r="F16" i="5" s="1"/>
  <c r="F17" i="5" s="1"/>
  <c r="F18" i="5" s="1"/>
  <c r="F19" i="5" s="1"/>
  <c r="F20" i="5" s="1"/>
  <c r="F21" i="5" s="1"/>
  <c r="F86" i="51" l="1"/>
  <c r="L86" i="51"/>
  <c r="O86" i="51" s="1"/>
  <c r="B87" i="51"/>
  <c r="E87" i="51" s="1"/>
  <c r="M85" i="51"/>
  <c r="N85" i="51" s="1"/>
  <c r="K86" i="51"/>
  <c r="C86" i="51"/>
  <c r="D86" i="51" s="1"/>
  <c r="G85" i="51"/>
  <c r="H85" i="51" s="1"/>
  <c r="A88" i="51"/>
  <c r="A14" i="49"/>
  <c r="E13" i="49"/>
  <c r="A4" i="5"/>
  <c r="B24" i="51" l="1"/>
  <c r="B13" i="51"/>
  <c r="B15" i="51"/>
  <c r="B26" i="51"/>
  <c r="B53" i="51" s="1"/>
  <c r="B23" i="51"/>
  <c r="B50" i="51" s="1"/>
  <c r="B14" i="51"/>
  <c r="B25" i="51"/>
  <c r="B52" i="51" s="1"/>
  <c r="B16" i="51"/>
  <c r="B43" i="51" s="1"/>
  <c r="B21" i="51"/>
  <c r="B48" i="51" s="1"/>
  <c r="B18" i="51"/>
  <c r="B45" i="51" s="1"/>
  <c r="B19" i="51"/>
  <c r="B46" i="51" s="1"/>
  <c r="B17" i="51"/>
  <c r="B44" i="51" s="1"/>
  <c r="B22" i="51"/>
  <c r="B49" i="51" s="1"/>
  <c r="B20" i="51"/>
  <c r="B47" i="51" s="1"/>
  <c r="B27" i="51"/>
  <c r="B54" i="51" s="1"/>
  <c r="B28" i="51"/>
  <c r="B55" i="51" s="1"/>
  <c r="F87" i="51"/>
  <c r="L87" i="51"/>
  <c r="O87" i="51" s="1"/>
  <c r="F38" i="51"/>
  <c r="B88" i="51"/>
  <c r="E88" i="51" s="1"/>
  <c r="M86" i="51"/>
  <c r="N86" i="51" s="1"/>
  <c r="D55" i="51" s="1"/>
  <c r="K87" i="51"/>
  <c r="C87" i="51"/>
  <c r="D87" i="51" s="1"/>
  <c r="D51" i="51"/>
  <c r="D43" i="51"/>
  <c r="D53" i="51"/>
  <c r="D46" i="51"/>
  <c r="E42" i="51"/>
  <c r="B42" i="51"/>
  <c r="E43" i="51"/>
  <c r="E50" i="51"/>
  <c r="D44" i="51"/>
  <c r="E48" i="51"/>
  <c r="D52" i="51"/>
  <c r="E46" i="51"/>
  <c r="E53" i="51"/>
  <c r="D42" i="51"/>
  <c r="D50" i="51"/>
  <c r="E47" i="51"/>
  <c r="B51" i="51"/>
  <c r="E49" i="51"/>
  <c r="E45" i="51"/>
  <c r="E51" i="51"/>
  <c r="D49" i="51"/>
  <c r="E52" i="51"/>
  <c r="D48" i="51"/>
  <c r="E44" i="51"/>
  <c r="D45" i="51"/>
  <c r="D47" i="51"/>
  <c r="E26" i="51"/>
  <c r="E54" i="51"/>
  <c r="E24" i="51"/>
  <c r="E17" i="51"/>
  <c r="E23" i="51"/>
  <c r="D21" i="51"/>
  <c r="E18" i="51"/>
  <c r="D24" i="51"/>
  <c r="D18" i="51"/>
  <c r="D17" i="51"/>
  <c r="C22" i="51"/>
  <c r="C49" i="51" s="1"/>
  <c r="D26" i="51"/>
  <c r="D25" i="51"/>
  <c r="D19" i="51"/>
  <c r="D54" i="51"/>
  <c r="C23" i="51"/>
  <c r="C50" i="51" s="1"/>
  <c r="E20" i="51"/>
  <c r="C20" i="51"/>
  <c r="C47" i="51" s="1"/>
  <c r="C18" i="51"/>
  <c r="C45" i="51" s="1"/>
  <c r="D20" i="51"/>
  <c r="C21" i="51"/>
  <c r="C48" i="51" s="1"/>
  <c r="C25" i="51"/>
  <c r="C52" i="51" s="1"/>
  <c r="C19" i="51"/>
  <c r="C46" i="51" s="1"/>
  <c r="D22" i="51"/>
  <c r="E25" i="51"/>
  <c r="E21" i="51"/>
  <c r="E22" i="51"/>
  <c r="C24" i="51"/>
  <c r="C51" i="51" s="1"/>
  <c r="E19" i="51"/>
  <c r="D23" i="51"/>
  <c r="C26" i="51"/>
  <c r="C53" i="51" s="1"/>
  <c r="E27" i="51"/>
  <c r="D27" i="51"/>
  <c r="C27" i="51"/>
  <c r="C54" i="51" s="1"/>
  <c r="C28" i="51"/>
  <c r="C55" i="51" s="1"/>
  <c r="G86" i="51"/>
  <c r="E28" i="51" s="1"/>
  <c r="A15" i="49"/>
  <c r="E14" i="49"/>
  <c r="A5" i="5"/>
  <c r="E55" i="51" l="1"/>
  <c r="B29" i="51"/>
  <c r="B56" i="51" s="1"/>
  <c r="F88" i="51"/>
  <c r="L88" i="51"/>
  <c r="O88" i="51" s="1"/>
  <c r="C29" i="51"/>
  <c r="C56" i="51" s="1"/>
  <c r="H86" i="51"/>
  <c r="D28" i="51" s="1"/>
  <c r="G87" i="51"/>
  <c r="E29" i="51" s="1"/>
  <c r="M87" i="51"/>
  <c r="E56" i="51" s="1"/>
  <c r="K88" i="51"/>
  <c r="C88" i="51"/>
  <c r="C38" i="51" s="1"/>
  <c r="A16" i="49"/>
  <c r="E15" i="49"/>
  <c r="A6" i="5"/>
  <c r="D5" i="5"/>
  <c r="H87" i="51" l="1"/>
  <c r="D29" i="51" s="1"/>
  <c r="N87" i="51"/>
  <c r="D56" i="51" s="1"/>
  <c r="C15" i="51"/>
  <c r="C42" i="51" s="1"/>
  <c r="C16" i="51"/>
  <c r="C43" i="51" s="1"/>
  <c r="C17" i="51"/>
  <c r="C44" i="51" s="1"/>
  <c r="C30" i="51"/>
  <c r="C57" i="51" s="1"/>
  <c r="D88" i="51"/>
  <c r="G88" i="51"/>
  <c r="H88" i="51" s="1"/>
  <c r="D11" i="51" s="1"/>
  <c r="M88" i="51"/>
  <c r="N88" i="51" s="1"/>
  <c r="D38" i="51" s="1"/>
  <c r="H38" i="51" s="1"/>
  <c r="A17" i="49"/>
  <c r="E16" i="49"/>
  <c r="A7" i="5"/>
  <c r="D6" i="5"/>
  <c r="B8" i="47" l="1"/>
  <c r="B12" i="51"/>
  <c r="B39" i="51" s="1"/>
  <c r="B30" i="51"/>
  <c r="D40" i="51"/>
  <c r="D41" i="51"/>
  <c r="D57" i="51"/>
  <c r="B41" i="51"/>
  <c r="B40" i="51"/>
  <c r="B57" i="51"/>
  <c r="E40" i="51"/>
  <c r="E41" i="51"/>
  <c r="E57" i="51"/>
  <c r="E15" i="51"/>
  <c r="E16" i="51"/>
  <c r="E30" i="51"/>
  <c r="D15" i="51"/>
  <c r="D16" i="51"/>
  <c r="D30" i="51"/>
  <c r="A18" i="49"/>
  <c r="E17" i="49"/>
  <c r="A8" i="5"/>
  <c r="D7" i="5"/>
  <c r="G14" i="41"/>
  <c r="G15" i="41" s="1"/>
  <c r="G16" i="41" s="1"/>
  <c r="G17" i="41" s="1"/>
  <c r="G18" i="41" s="1"/>
  <c r="A14" i="41"/>
  <c r="A15" i="41" s="1"/>
  <c r="A16" i="41" s="1"/>
  <c r="A17" i="41" s="1"/>
  <c r="A18" i="41" s="1"/>
  <c r="A19" i="41" s="1"/>
  <c r="A20" i="41" s="1"/>
  <c r="A21" i="41" s="1"/>
  <c r="A22" i="41" s="1"/>
  <c r="A23" i="41" s="1"/>
  <c r="G19" i="41" l="1"/>
  <c r="H18" i="41"/>
  <c r="A19" i="49"/>
  <c r="E18" i="49"/>
  <c r="A9" i="5"/>
  <c r="D8" i="5"/>
  <c r="A24" i="41"/>
  <c r="A25" i="41" s="1"/>
  <c r="A26" i="41" s="1"/>
  <c r="A27" i="41" s="1"/>
  <c r="A28" i="41" s="1"/>
  <c r="A29" i="41" s="1"/>
  <c r="A30" i="41" s="1"/>
  <c r="A31" i="41" s="1"/>
  <c r="A32" i="41" s="1"/>
  <c r="A33" i="41" s="1"/>
  <c r="A34" i="41" s="1"/>
  <c r="A35" i="41" s="1"/>
  <c r="A36" i="41" s="1"/>
  <c r="A37" i="41" s="1"/>
  <c r="A11" i="21"/>
  <c r="G20" i="41" l="1"/>
  <c r="H19" i="41"/>
  <c r="A12" i="21"/>
  <c r="A13" i="21" s="1"/>
  <c r="A14" i="21" s="1"/>
  <c r="A15" i="21" s="1"/>
  <c r="A16" i="21" s="1"/>
  <c r="A17" i="21" s="1"/>
  <c r="A18" i="21" s="1"/>
  <c r="A19" i="21" s="1"/>
  <c r="A20" i="21" s="1"/>
  <c r="A21" i="21" s="1"/>
  <c r="A22" i="21" s="1"/>
  <c r="A23" i="21" s="1"/>
  <c r="A24" i="21" s="1"/>
  <c r="A25" i="21" s="1"/>
  <c r="A26" i="21" s="1"/>
  <c r="A27" i="21" s="1"/>
  <c r="A28" i="21" s="1"/>
  <c r="A29" i="21" s="1"/>
  <c r="A20" i="49"/>
  <c r="E19" i="49"/>
  <c r="A10" i="5"/>
  <c r="D9" i="5"/>
  <c r="G21" i="41" l="1"/>
  <c r="H20" i="41"/>
  <c r="A21" i="49"/>
  <c r="E20" i="49"/>
  <c r="A11" i="5"/>
  <c r="D10" i="5"/>
  <c r="G22" i="41" l="1"/>
  <c r="H21" i="41"/>
  <c r="A22" i="49"/>
  <c r="E21" i="49"/>
  <c r="A12" i="5"/>
  <c r="D11" i="5"/>
  <c r="G23" i="41" l="1"/>
  <c r="H22" i="41"/>
  <c r="A23" i="49"/>
  <c r="E22" i="49"/>
  <c r="A13" i="5"/>
  <c r="D12" i="5"/>
  <c r="H23" i="41" l="1"/>
  <c r="G24" i="41"/>
  <c r="G25" i="41" s="1"/>
  <c r="G26" i="41"/>
  <c r="A24" i="49"/>
  <c r="E23" i="49"/>
  <c r="A14" i="5"/>
  <c r="D13" i="5"/>
  <c r="G27" i="41" l="1"/>
  <c r="A25" i="49"/>
  <c r="E24" i="49"/>
  <c r="A15" i="5"/>
  <c r="D14" i="5"/>
  <c r="G28" i="41" l="1"/>
  <c r="A26" i="49"/>
  <c r="E25" i="49"/>
  <c r="A16" i="5"/>
  <c r="D15" i="5"/>
  <c r="G29" i="41" l="1"/>
  <c r="A27" i="49"/>
  <c r="E26" i="49"/>
  <c r="A17" i="5"/>
  <c r="D16" i="5"/>
  <c r="G30" i="41" l="1"/>
  <c r="E27" i="49"/>
  <c r="H26" i="41"/>
  <c r="H25" i="41"/>
  <c r="H24" i="41"/>
  <c r="H28" i="41"/>
  <c r="H29" i="41"/>
  <c r="H30" i="41"/>
  <c r="H27" i="41"/>
  <c r="E28" i="49"/>
  <c r="B3" i="49" s="1"/>
  <c r="A18" i="5"/>
  <c r="D17" i="5"/>
  <c r="G31" i="41" l="1"/>
  <c r="A19" i="5"/>
  <c r="D18" i="5"/>
  <c r="G32" i="41" l="1"/>
  <c r="H31" i="41"/>
  <c r="A20" i="5"/>
  <c r="D19" i="5"/>
  <c r="A37" i="21"/>
  <c r="B37" i="21" l="1"/>
  <c r="M37" i="21"/>
  <c r="G33" i="41"/>
  <c r="H32" i="41"/>
  <c r="A21" i="5"/>
  <c r="D20" i="5"/>
  <c r="A38" i="21"/>
  <c r="B38" i="21" l="1"/>
  <c r="M38" i="21"/>
  <c r="G34" i="41"/>
  <c r="H33" i="41"/>
  <c r="A22" i="5"/>
  <c r="D21" i="5"/>
  <c r="A39" i="21"/>
  <c r="B39" i="21" l="1"/>
  <c r="M39" i="21"/>
  <c r="G35" i="41"/>
  <c r="H34" i="41"/>
  <c r="A23" i="5"/>
  <c r="D22" i="5"/>
  <c r="A40" i="21"/>
  <c r="B40" i="21" l="1"/>
  <c r="M40" i="21"/>
  <c r="G36" i="41"/>
  <c r="H35" i="41"/>
  <c r="A24" i="5"/>
  <c r="D23" i="5"/>
  <c r="A41" i="21"/>
  <c r="B41" i="21" l="1"/>
  <c r="M41" i="21"/>
  <c r="G37" i="41"/>
  <c r="H36" i="41"/>
  <c r="D24" i="5"/>
  <c r="A25" i="5"/>
  <c r="A42" i="21"/>
  <c r="B42" i="21" l="1"/>
  <c r="M42" i="21"/>
  <c r="H37" i="41"/>
  <c r="H38" i="41" s="1"/>
  <c r="A43" i="21"/>
  <c r="A44" i="21" s="1"/>
  <c r="E6" i="27"/>
  <c r="D25" i="5"/>
  <c r="A26" i="5"/>
  <c r="B44" i="21" l="1"/>
  <c r="M44" i="21"/>
  <c r="B43" i="21"/>
  <c r="M43" i="21"/>
  <c r="E7" i="27"/>
  <c r="H7" i="27" s="1"/>
  <c r="H6" i="27"/>
  <c r="D26" i="5"/>
  <c r="A27" i="5"/>
  <c r="A45" i="21"/>
  <c r="B45" i="21" l="1"/>
  <c r="M45" i="21"/>
  <c r="E8" i="27"/>
  <c r="D27" i="5"/>
  <c r="A28" i="5"/>
  <c r="A46" i="21"/>
  <c r="B46" i="21" l="1"/>
  <c r="M46" i="21"/>
  <c r="E9" i="27"/>
  <c r="H9" i="27" s="1"/>
  <c r="D28" i="5"/>
  <c r="A29" i="5"/>
  <c r="A47" i="21"/>
  <c r="B47" i="21" l="1"/>
  <c r="M47" i="21"/>
  <c r="E10" i="27"/>
  <c r="H10" i="27" s="1"/>
  <c r="D29" i="5"/>
  <c r="A30" i="5"/>
  <c r="A48" i="21"/>
  <c r="B48" i="21" l="1"/>
  <c r="M48" i="21"/>
  <c r="E11" i="27"/>
  <c r="A31" i="5"/>
  <c r="D30" i="5"/>
  <c r="A49" i="21"/>
  <c r="G71" i="21"/>
  <c r="F71" i="21"/>
  <c r="E71" i="21"/>
  <c r="B49" i="21" l="1"/>
  <c r="M49" i="21"/>
  <c r="H71" i="21"/>
  <c r="E12" i="27"/>
  <c r="A32" i="5"/>
  <c r="D31" i="5"/>
  <c r="A50" i="21"/>
  <c r="B50" i="21" l="1"/>
  <c r="M50" i="21"/>
  <c r="I71" i="21"/>
  <c r="E13" i="27"/>
  <c r="I61" i="21"/>
  <c r="I65" i="21"/>
  <c r="I63" i="21"/>
  <c r="I69" i="21"/>
  <c r="I67" i="21"/>
  <c r="D32" i="5"/>
  <c r="A33" i="5"/>
  <c r="A51" i="21"/>
  <c r="B51" i="21" l="1"/>
  <c r="M51" i="21"/>
  <c r="C39" i="21"/>
  <c r="E14" i="27"/>
  <c r="E15" i="27" s="1"/>
  <c r="E16" i="27" s="1"/>
  <c r="E17" i="27" s="1"/>
  <c r="E18" i="27" s="1"/>
  <c r="E19" i="27" s="1"/>
  <c r="E20" i="27" s="1"/>
  <c r="E21" i="27" s="1"/>
  <c r="E22" i="27" s="1"/>
  <c r="E23" i="27" s="1"/>
  <c r="E24" i="27" s="1"/>
  <c r="E25" i="27" s="1"/>
  <c r="E26" i="27" s="1"/>
  <c r="E27" i="27" s="1"/>
  <c r="E28" i="27" s="1"/>
  <c r="E29" i="27" s="1"/>
  <c r="E30" i="27" s="1"/>
  <c r="H30" i="27" s="1"/>
  <c r="T14" i="41"/>
  <c r="U14" i="41" s="1"/>
  <c r="C40" i="21"/>
  <c r="D33" i="5"/>
  <c r="A34" i="5"/>
  <c r="C48" i="21"/>
  <c r="C38" i="21"/>
  <c r="C41" i="21"/>
  <c r="C45" i="21"/>
  <c r="C50" i="21"/>
  <c r="C47" i="21"/>
  <c r="C42" i="21"/>
  <c r="C44" i="21"/>
  <c r="C49" i="21"/>
  <c r="C46" i="21"/>
  <c r="C43" i="21"/>
  <c r="A52" i="21"/>
  <c r="C37" i="21"/>
  <c r="C51" i="21" l="1"/>
  <c r="J51" i="21" s="1"/>
  <c r="S51" i="21" s="1"/>
  <c r="B52" i="21"/>
  <c r="M52" i="21"/>
  <c r="F39" i="21"/>
  <c r="O39" i="21" s="1"/>
  <c r="H39" i="21"/>
  <c r="Q39" i="21" s="1"/>
  <c r="J39" i="21"/>
  <c r="S39" i="21" s="1"/>
  <c r="I39" i="21"/>
  <c r="R39" i="21" s="1"/>
  <c r="E39" i="21"/>
  <c r="N39" i="21" s="1"/>
  <c r="G39" i="21"/>
  <c r="P39" i="21" s="1"/>
  <c r="G41" i="21"/>
  <c r="P41" i="21" s="1"/>
  <c r="I41" i="21"/>
  <c r="R41" i="21" s="1"/>
  <c r="H41" i="21"/>
  <c r="Q41" i="21" s="1"/>
  <c r="J41" i="21"/>
  <c r="S41" i="21" s="1"/>
  <c r="F41" i="21"/>
  <c r="O41" i="21" s="1"/>
  <c r="E41" i="21"/>
  <c r="N41" i="21" s="1"/>
  <c r="I48" i="21"/>
  <c r="R48" i="21" s="1"/>
  <c r="H48" i="21"/>
  <c r="Q48" i="21" s="1"/>
  <c r="G48" i="21"/>
  <c r="P48" i="21" s="1"/>
  <c r="F48" i="21"/>
  <c r="O48" i="21" s="1"/>
  <c r="E48" i="21"/>
  <c r="N48" i="21" s="1"/>
  <c r="J48" i="21"/>
  <c r="S48" i="21" s="1"/>
  <c r="J49" i="21"/>
  <c r="S49" i="21" s="1"/>
  <c r="I49" i="21"/>
  <c r="R49" i="21" s="1"/>
  <c r="G49" i="21"/>
  <c r="P49" i="21" s="1"/>
  <c r="E49" i="21"/>
  <c r="N49" i="21" s="1"/>
  <c r="H49" i="21"/>
  <c r="Q49" i="21" s="1"/>
  <c r="F49" i="21"/>
  <c r="O49" i="21" s="1"/>
  <c r="G43" i="21"/>
  <c r="P43" i="21" s="1"/>
  <c r="F43" i="21"/>
  <c r="O43" i="21" s="1"/>
  <c r="I43" i="21"/>
  <c r="R43" i="21" s="1"/>
  <c r="E43" i="21"/>
  <c r="N43" i="21" s="1"/>
  <c r="H43" i="21"/>
  <c r="Q43" i="21" s="1"/>
  <c r="J43" i="21"/>
  <c r="S43" i="21" s="1"/>
  <c r="I40" i="21"/>
  <c r="R40" i="21" s="1"/>
  <c r="H40" i="21"/>
  <c r="Q40" i="21" s="1"/>
  <c r="G40" i="21"/>
  <c r="P40" i="21" s="1"/>
  <c r="F40" i="21"/>
  <c r="O40" i="21" s="1"/>
  <c r="E40" i="21"/>
  <c r="N40" i="21" s="1"/>
  <c r="J40" i="21"/>
  <c r="S40" i="21" s="1"/>
  <c r="I44" i="21"/>
  <c r="R44" i="21" s="1"/>
  <c r="G44" i="21"/>
  <c r="P44" i="21" s="1"/>
  <c r="J44" i="21"/>
  <c r="S44" i="21" s="1"/>
  <c r="H44" i="21"/>
  <c r="Q44" i="21" s="1"/>
  <c r="E44" i="21"/>
  <c r="N44" i="21" s="1"/>
  <c r="F44" i="21"/>
  <c r="O44" i="21" s="1"/>
  <c r="E46" i="21"/>
  <c r="N46" i="21" s="1"/>
  <c r="I46" i="21"/>
  <c r="R46" i="21" s="1"/>
  <c r="J46" i="21"/>
  <c r="S46" i="21" s="1"/>
  <c r="H46" i="21"/>
  <c r="Q46" i="21" s="1"/>
  <c r="F46" i="21"/>
  <c r="O46" i="21" s="1"/>
  <c r="G46" i="21"/>
  <c r="P46" i="21" s="1"/>
  <c r="G47" i="21"/>
  <c r="P47" i="21" s="1"/>
  <c r="J47" i="21"/>
  <c r="S47" i="21" s="1"/>
  <c r="F47" i="21"/>
  <c r="O47" i="21" s="1"/>
  <c r="I47" i="21"/>
  <c r="R47" i="21" s="1"/>
  <c r="E47" i="21"/>
  <c r="N47" i="21" s="1"/>
  <c r="H47" i="21"/>
  <c r="Q47" i="21" s="1"/>
  <c r="J45" i="21"/>
  <c r="S45" i="21" s="1"/>
  <c r="I45" i="21"/>
  <c r="R45" i="21" s="1"/>
  <c r="H45" i="21"/>
  <c r="Q45" i="21" s="1"/>
  <c r="G45" i="21"/>
  <c r="P45" i="21" s="1"/>
  <c r="F45" i="21"/>
  <c r="O45" i="21" s="1"/>
  <c r="E45" i="21"/>
  <c r="N45" i="21" s="1"/>
  <c r="J42" i="21"/>
  <c r="S42" i="21" s="1"/>
  <c r="I42" i="21"/>
  <c r="R42" i="21" s="1"/>
  <c r="H42" i="21"/>
  <c r="Q42" i="21" s="1"/>
  <c r="G42" i="21"/>
  <c r="P42" i="21" s="1"/>
  <c r="F42" i="21"/>
  <c r="O42" i="21" s="1"/>
  <c r="E42" i="21"/>
  <c r="N42" i="21" s="1"/>
  <c r="J50" i="21"/>
  <c r="S50" i="21" s="1"/>
  <c r="I50" i="21"/>
  <c r="R50" i="21" s="1"/>
  <c r="H50" i="21"/>
  <c r="Q50" i="21" s="1"/>
  <c r="G50" i="21"/>
  <c r="P50" i="21" s="1"/>
  <c r="E50" i="21"/>
  <c r="N50" i="21" s="1"/>
  <c r="F50" i="21"/>
  <c r="O50" i="21" s="1"/>
  <c r="E51" i="21"/>
  <c r="N51" i="21" s="1"/>
  <c r="I51" i="21"/>
  <c r="R51" i="21" s="1"/>
  <c r="H51" i="21"/>
  <c r="Q51" i="21" s="1"/>
  <c r="T16" i="41"/>
  <c r="U12" i="41"/>
  <c r="B12" i="41" s="1"/>
  <c r="T13" i="41"/>
  <c r="U13" i="41" s="1"/>
  <c r="B13" i="41" s="1"/>
  <c r="D13" i="41" s="1"/>
  <c r="D40" i="21"/>
  <c r="S36" i="21"/>
  <c r="R36" i="21"/>
  <c r="Q36" i="21"/>
  <c r="T36" i="21" s="1"/>
  <c r="C10" i="21" s="1"/>
  <c r="D10" i="21" s="1"/>
  <c r="E10" i="21" s="1"/>
  <c r="D34" i="5"/>
  <c r="A35" i="5"/>
  <c r="D39" i="21"/>
  <c r="D47" i="21"/>
  <c r="D37" i="21"/>
  <c r="F37" i="21"/>
  <c r="O37" i="21" s="1"/>
  <c r="J37" i="21"/>
  <c r="S37" i="21" s="1"/>
  <c r="D48" i="21"/>
  <c r="D43" i="21"/>
  <c r="D46" i="21"/>
  <c r="D45" i="21"/>
  <c r="D49" i="21"/>
  <c r="D50" i="21"/>
  <c r="D41" i="21"/>
  <c r="D38" i="21"/>
  <c r="F38" i="21"/>
  <c r="O38" i="21" s="1"/>
  <c r="J38" i="21"/>
  <c r="S38" i="21" s="1"/>
  <c r="D44" i="21"/>
  <c r="D42" i="21"/>
  <c r="C52" i="21"/>
  <c r="A53" i="21"/>
  <c r="D51" i="21" l="1"/>
  <c r="F51" i="21"/>
  <c r="O51" i="21" s="1"/>
  <c r="G51" i="21"/>
  <c r="P51" i="21" s="1"/>
  <c r="T43" i="21"/>
  <c r="C17" i="21" s="1"/>
  <c r="B53" i="21"/>
  <c r="M53" i="21"/>
  <c r="T45" i="21"/>
  <c r="C19" i="21" s="1"/>
  <c r="T46" i="21"/>
  <c r="C20" i="21" s="1"/>
  <c r="T51" i="21"/>
  <c r="C25" i="21" s="1"/>
  <c r="T49" i="21"/>
  <c r="C23" i="21" s="1"/>
  <c r="T41" i="21"/>
  <c r="C15" i="21" s="1"/>
  <c r="T50" i="21"/>
  <c r="C24" i="21" s="1"/>
  <c r="T39" i="21"/>
  <c r="C13" i="21" s="1"/>
  <c r="T47" i="21"/>
  <c r="C21" i="21" s="1"/>
  <c r="T48" i="21"/>
  <c r="C22" i="21" s="1"/>
  <c r="K51" i="21"/>
  <c r="K42" i="21"/>
  <c r="K49" i="21"/>
  <c r="K48" i="21"/>
  <c r="K41" i="21"/>
  <c r="H52" i="21"/>
  <c r="Q52" i="21" s="1"/>
  <c r="E52" i="21"/>
  <c r="N52" i="21" s="1"/>
  <c r="F52" i="21"/>
  <c r="O52" i="21" s="1"/>
  <c r="J52" i="21"/>
  <c r="S52" i="21" s="1"/>
  <c r="I52" i="21"/>
  <c r="R52" i="21" s="1"/>
  <c r="G52" i="21"/>
  <c r="P52" i="21" s="1"/>
  <c r="K40" i="21"/>
  <c r="K44" i="21"/>
  <c r="K50" i="21"/>
  <c r="T42" i="21"/>
  <c r="C16" i="21" s="1"/>
  <c r="K46" i="21"/>
  <c r="T40" i="21"/>
  <c r="C14" i="21" s="1"/>
  <c r="T44" i="21"/>
  <c r="C18" i="21" s="1"/>
  <c r="K45" i="21"/>
  <c r="K43" i="21"/>
  <c r="K47" i="21"/>
  <c r="A36" i="5"/>
  <c r="D35" i="5"/>
  <c r="D52" i="21"/>
  <c r="C53" i="21"/>
  <c r="A54" i="21"/>
  <c r="B54" i="21" l="1"/>
  <c r="M54" i="21"/>
  <c r="J53" i="21"/>
  <c r="S53" i="21" s="1"/>
  <c r="I53" i="21"/>
  <c r="R53" i="21" s="1"/>
  <c r="H53" i="21"/>
  <c r="Q53" i="21" s="1"/>
  <c r="G53" i="21"/>
  <c r="P53" i="21" s="1"/>
  <c r="F53" i="21"/>
  <c r="O53" i="21" s="1"/>
  <c r="E53" i="21"/>
  <c r="N53" i="21" s="1"/>
  <c r="K52" i="21"/>
  <c r="T52" i="21"/>
  <c r="C26" i="21" s="1"/>
  <c r="T37" i="21"/>
  <c r="C11" i="21" s="1"/>
  <c r="M18" i="41"/>
  <c r="G38" i="21"/>
  <c r="P38" i="21" s="1"/>
  <c r="T38" i="21" s="1"/>
  <c r="C12" i="21" s="1"/>
  <c r="A37" i="5"/>
  <c r="D36" i="5"/>
  <c r="D53" i="21"/>
  <c r="G37" i="21"/>
  <c r="P37" i="21" s="1"/>
  <c r="I38" i="21"/>
  <c r="R38" i="21" s="1"/>
  <c r="I37" i="21"/>
  <c r="R37" i="21" s="1"/>
  <c r="H38" i="21"/>
  <c r="Q38" i="21" s="1"/>
  <c r="H37" i="21"/>
  <c r="Q37" i="21" s="1"/>
  <c r="A55" i="21"/>
  <c r="E37" i="21"/>
  <c r="N37" i="21" s="1"/>
  <c r="E38" i="21"/>
  <c r="N38" i="21" s="1"/>
  <c r="K39" i="21"/>
  <c r="B13" i="21" s="1"/>
  <c r="T53" i="21" l="1"/>
  <c r="C27" i="21" s="1"/>
  <c r="C54" i="21"/>
  <c r="H54" i="21" s="1"/>
  <c r="Q54" i="21" s="1"/>
  <c r="B55" i="21"/>
  <c r="M55" i="21"/>
  <c r="K53" i="21"/>
  <c r="B27" i="21" s="1"/>
  <c r="E54" i="21"/>
  <c r="N54" i="21" s="1"/>
  <c r="G54" i="21"/>
  <c r="P54" i="21" s="1"/>
  <c r="F54" i="21"/>
  <c r="O54" i="21" s="1"/>
  <c r="B19" i="21"/>
  <c r="A38" i="5"/>
  <c r="D37" i="5"/>
  <c r="B18" i="21"/>
  <c r="B26" i="21"/>
  <c r="B22" i="21"/>
  <c r="B23" i="21"/>
  <c r="B25" i="21"/>
  <c r="B20" i="21"/>
  <c r="B24" i="21"/>
  <c r="B21" i="21"/>
  <c r="B16" i="21"/>
  <c r="B17" i="21"/>
  <c r="B15" i="21"/>
  <c r="K38" i="21"/>
  <c r="B12" i="21" s="1"/>
  <c r="B14" i="21"/>
  <c r="K37" i="21"/>
  <c r="B11" i="21" s="1"/>
  <c r="B4" i="5"/>
  <c r="B5" i="5" s="1"/>
  <c r="B6" i="5" s="1"/>
  <c r="B7" i="5" s="1"/>
  <c r="B8" i="5" s="1"/>
  <c r="B9" i="5" s="1"/>
  <c r="B10" i="5" s="1"/>
  <c r="B11" i="5" s="1"/>
  <c r="B12" i="5" s="1"/>
  <c r="B13" i="5" s="1"/>
  <c r="B14" i="5" s="1"/>
  <c r="B15" i="5" s="1"/>
  <c r="B16" i="5" s="1"/>
  <c r="B17" i="5" s="1"/>
  <c r="B18" i="5" s="1"/>
  <c r="B19" i="5" s="1"/>
  <c r="B20" i="5" s="1"/>
  <c r="B21" i="5" s="1"/>
  <c r="B22" i="5" s="1"/>
  <c r="B23" i="5" s="1"/>
  <c r="B24" i="5" s="1"/>
  <c r="C43" i="5"/>
  <c r="C4" i="5" s="1"/>
  <c r="D12" i="41" s="1"/>
  <c r="E12" i="41" s="1"/>
  <c r="D54" i="21" l="1"/>
  <c r="J54" i="21"/>
  <c r="S54" i="21" s="1"/>
  <c r="C55" i="21"/>
  <c r="H55" i="21" s="1"/>
  <c r="Q55" i="21" s="1"/>
  <c r="I54" i="21"/>
  <c r="I55" i="21"/>
  <c r="R55" i="21" s="1"/>
  <c r="A39" i="5"/>
  <c r="D38" i="5"/>
  <c r="C36" i="5"/>
  <c r="C37" i="5"/>
  <c r="C38" i="5"/>
  <c r="C39" i="5"/>
  <c r="C25" i="5"/>
  <c r="C26" i="5"/>
  <c r="C27" i="5"/>
  <c r="C28" i="5"/>
  <c r="C29" i="5"/>
  <c r="C32" i="5"/>
  <c r="C33" i="5"/>
  <c r="C34" i="5"/>
  <c r="C35" i="5"/>
  <c r="B25" i="5"/>
  <c r="B26" i="5" s="1"/>
  <c r="B27" i="5" s="1"/>
  <c r="B28" i="5" s="1"/>
  <c r="B29" i="5" s="1"/>
  <c r="B30" i="5" s="1"/>
  <c r="B31" i="5" s="1"/>
  <c r="B32" i="5" s="1"/>
  <c r="B33" i="5" s="1"/>
  <c r="B34" i="5" s="1"/>
  <c r="B35" i="5" s="1"/>
  <c r="B36" i="5" s="1"/>
  <c r="B37" i="5" s="1"/>
  <c r="B38" i="5" s="1"/>
  <c r="B39" i="5" s="1"/>
  <c r="B40" i="5" s="1"/>
  <c r="B41" i="5" s="1"/>
  <c r="B42" i="5" s="1"/>
  <c r="C13" i="5"/>
  <c r="C12" i="5"/>
  <c r="C18" i="5"/>
  <c r="C21" i="5"/>
  <c r="C22" i="5"/>
  <c r="C5" i="5"/>
  <c r="C31" i="5"/>
  <c r="C30" i="5"/>
  <c r="C24" i="5"/>
  <c r="C17" i="5"/>
  <c r="C15" i="5"/>
  <c r="C6" i="5"/>
  <c r="C9" i="5"/>
  <c r="C20" i="5"/>
  <c r="C11" i="5"/>
  <c r="C23" i="5"/>
  <c r="C14" i="5"/>
  <c r="C19" i="5"/>
  <c r="C8" i="5"/>
  <c r="C16" i="5"/>
  <c r="K54" i="21" l="1"/>
  <c r="R54" i="21"/>
  <c r="T54" i="21" s="1"/>
  <c r="J55" i="21"/>
  <c r="S55" i="21" s="1"/>
  <c r="F55" i="21"/>
  <c r="O55" i="21" s="1"/>
  <c r="D55" i="21"/>
  <c r="E55" i="21"/>
  <c r="N55" i="21" s="1"/>
  <c r="G55" i="21"/>
  <c r="P55" i="21" s="1"/>
  <c r="C28" i="21"/>
  <c r="A40" i="5"/>
  <c r="D39" i="5"/>
  <c r="T55" i="21" l="1"/>
  <c r="C29" i="21" s="1"/>
  <c r="K55" i="21"/>
  <c r="B29" i="21" s="1"/>
  <c r="B28" i="21"/>
  <c r="A41" i="5"/>
  <c r="D40" i="5"/>
  <c r="C40" i="5"/>
  <c r="T56" i="21" l="1"/>
  <c r="A42" i="5"/>
  <c r="D41" i="5"/>
  <c r="C41" i="5"/>
  <c r="D42" i="5" l="1"/>
  <c r="C42" i="5"/>
  <c r="B30" i="21" l="1"/>
  <c r="K56" i="21"/>
  <c r="E13" i="41" l="1"/>
  <c r="I80" i="51" l="1"/>
  <c r="G22" i="51" s="1"/>
  <c r="I22" i="51" s="1"/>
  <c r="I86" i="51"/>
  <c r="G28" i="51" s="1"/>
  <c r="I28" i="51" s="1"/>
  <c r="I72" i="51"/>
  <c r="G14" i="51" s="1"/>
  <c r="I14" i="51" s="1"/>
  <c r="G38" i="51"/>
  <c r="I77" i="51"/>
  <c r="G19" i="51" s="1"/>
  <c r="I19" i="51" s="1"/>
  <c r="I88" i="51"/>
  <c r="I71" i="51"/>
  <c r="O78" i="51"/>
  <c r="G47" i="51" s="1"/>
  <c r="I47" i="51" s="1"/>
  <c r="C17" i="47" s="1"/>
  <c r="I74" i="51"/>
  <c r="O80" i="51"/>
  <c r="G49" i="51" s="1"/>
  <c r="I49" i="51" s="1"/>
  <c r="C19" i="47" s="1"/>
  <c r="G52" i="51"/>
  <c r="I52" i="51" s="1"/>
  <c r="C22" i="47" s="1"/>
  <c r="I75" i="51"/>
  <c r="I83" i="51"/>
  <c r="G25" i="51" s="1"/>
  <c r="I25" i="51" s="1"/>
  <c r="I78" i="51"/>
  <c r="G20" i="51" s="1"/>
  <c r="I20" i="51" s="1"/>
  <c r="G56" i="51"/>
  <c r="I56" i="51" s="1"/>
  <c r="C26" i="47" s="1"/>
  <c r="I76" i="51"/>
  <c r="G18" i="51" s="1"/>
  <c r="I18" i="51" s="1"/>
  <c r="I73" i="51"/>
  <c r="G53" i="51"/>
  <c r="I53" i="51" s="1"/>
  <c r="C23" i="47" s="1"/>
  <c r="I82" i="51"/>
  <c r="G24" i="51" s="1"/>
  <c r="I24" i="51" s="1"/>
  <c r="O76" i="51"/>
  <c r="G45" i="51" s="1"/>
  <c r="I45" i="51" s="1"/>
  <c r="C15" i="47" s="1"/>
  <c r="G54" i="51"/>
  <c r="I54" i="51" s="1"/>
  <c r="C24" i="47" s="1"/>
  <c r="I84" i="51"/>
  <c r="G26" i="51" s="1"/>
  <c r="I26" i="51" s="1"/>
  <c r="O72" i="51"/>
  <c r="O75" i="51"/>
  <c r="G44" i="51" s="1"/>
  <c r="I44" i="51" s="1"/>
  <c r="C14" i="47" s="1"/>
  <c r="O71" i="51"/>
  <c r="I85" i="51"/>
  <c r="G27" i="51" s="1"/>
  <c r="I27" i="51" s="1"/>
  <c r="O77" i="51"/>
  <c r="G46" i="51" s="1"/>
  <c r="I46" i="51" s="1"/>
  <c r="C16" i="47" s="1"/>
  <c r="I38" i="51" l="1"/>
  <c r="G41" i="51"/>
  <c r="I41" i="51" s="1"/>
  <c r="C11" i="47" s="1"/>
  <c r="G40" i="51"/>
  <c r="I40" i="51" s="1"/>
  <c r="C10" i="47" s="1"/>
  <c r="G57" i="51"/>
  <c r="I57" i="51" s="1"/>
  <c r="C27" i="47" s="1"/>
  <c r="G13" i="51"/>
  <c r="I13" i="51" s="1"/>
  <c r="G15" i="51"/>
  <c r="I15" i="51" s="1"/>
  <c r="G16" i="51"/>
  <c r="I16" i="51" s="1"/>
  <c r="G17" i="51"/>
  <c r="I17" i="51" s="1"/>
  <c r="G30" i="51"/>
  <c r="I30" i="51" s="1"/>
  <c r="O74" i="51"/>
  <c r="G43" i="51" s="1"/>
  <c r="I43" i="51" s="1"/>
  <c r="C13" i="47" s="1"/>
  <c r="O79" i="51"/>
  <c r="G48" i="51" s="1"/>
  <c r="I48" i="51" s="1"/>
  <c r="C18" i="47" s="1"/>
  <c r="G51" i="51"/>
  <c r="I51" i="51" s="1"/>
  <c r="C21" i="47" s="1"/>
  <c r="I87" i="51"/>
  <c r="G29" i="51" s="1"/>
  <c r="I29" i="51" s="1"/>
  <c r="G23" i="51"/>
  <c r="I23" i="51" s="1"/>
  <c r="G55" i="51"/>
  <c r="I55" i="51" s="1"/>
  <c r="C25" i="47" s="1"/>
  <c r="I79" i="51"/>
  <c r="G21" i="51" s="1"/>
  <c r="I21" i="51" s="1"/>
  <c r="O73" i="51"/>
  <c r="G42" i="51" s="1"/>
  <c r="I42" i="51" s="1"/>
  <c r="C12" i="47" s="1"/>
  <c r="G50" i="51"/>
  <c r="I50" i="51" s="1"/>
  <c r="C20" i="47" s="1"/>
  <c r="P88" i="51"/>
  <c r="P76" i="51"/>
  <c r="F45" i="51" s="1"/>
  <c r="H45" i="51" s="1"/>
  <c r="J80" i="51"/>
  <c r="F22" i="51" s="1"/>
  <c r="P71" i="51"/>
  <c r="P75" i="51"/>
  <c r="F44" i="51" s="1"/>
  <c r="H44" i="51" s="1"/>
  <c r="P77" i="51"/>
  <c r="F46" i="51" s="1"/>
  <c r="H46" i="51" s="1"/>
  <c r="P83" i="51"/>
  <c r="F52" i="51" s="1"/>
  <c r="H52" i="51" s="1"/>
  <c r="P87" i="51"/>
  <c r="F56" i="51" s="1"/>
  <c r="H56" i="51" s="1"/>
  <c r="J83" i="51"/>
  <c r="F25" i="51" s="1"/>
  <c r="J56" i="51" l="1"/>
  <c r="B26" i="47"/>
  <c r="J46" i="51"/>
  <c r="B16" i="47"/>
  <c r="J44" i="51"/>
  <c r="B14" i="47"/>
  <c r="J52" i="51"/>
  <c r="B22" i="47"/>
  <c r="J45" i="51"/>
  <c r="B15" i="47"/>
  <c r="C8" i="47"/>
  <c r="J38" i="51"/>
  <c r="J18" i="41"/>
  <c r="H25" i="51"/>
  <c r="J25" i="51" s="1"/>
  <c r="H22" i="51"/>
  <c r="J22" i="51" s="1"/>
  <c r="F40" i="51"/>
  <c r="F57" i="51"/>
  <c r="H57" i="51" s="1"/>
  <c r="P86" i="51"/>
  <c r="F55" i="51" s="1"/>
  <c r="H55" i="51" s="1"/>
  <c r="F50" i="51"/>
  <c r="H50" i="51" s="1"/>
  <c r="P73" i="51"/>
  <c r="P82" i="51"/>
  <c r="F51" i="51" s="1"/>
  <c r="H51" i="51" s="1"/>
  <c r="P79" i="51"/>
  <c r="J79" i="51"/>
  <c r="F21" i="51" s="1"/>
  <c r="F23" i="51"/>
  <c r="J87" i="51"/>
  <c r="F29" i="51" s="1"/>
  <c r="D14" i="21"/>
  <c r="P85" i="51"/>
  <c r="F54" i="51" s="1"/>
  <c r="H54" i="51" s="1"/>
  <c r="P80" i="51"/>
  <c r="J82" i="51"/>
  <c r="F24" i="51" s="1"/>
  <c r="J76" i="51"/>
  <c r="F18" i="51" s="1"/>
  <c r="J85" i="51"/>
  <c r="F27" i="51" s="1"/>
  <c r="P78" i="51"/>
  <c r="F47" i="51" s="1"/>
  <c r="H47" i="51" s="1"/>
  <c r="J86" i="51"/>
  <c r="F28" i="51" s="1"/>
  <c r="J75" i="51"/>
  <c r="F17" i="51" s="1"/>
  <c r="J73" i="51"/>
  <c r="F15" i="51" s="1"/>
  <c r="D15" i="21"/>
  <c r="J78" i="51"/>
  <c r="F20" i="51" s="1"/>
  <c r="J88" i="51"/>
  <c r="F11" i="51" s="1"/>
  <c r="H11" i="51" s="1"/>
  <c r="J11" i="51" s="1"/>
  <c r="K11" i="51" s="1"/>
  <c r="J74" i="51"/>
  <c r="P84" i="51"/>
  <c r="F53" i="51" s="1"/>
  <c r="H53" i="51" s="1"/>
  <c r="J77" i="51"/>
  <c r="F19" i="51" s="1"/>
  <c r="P74" i="51"/>
  <c r="F43" i="51" s="1"/>
  <c r="H43" i="51" s="1"/>
  <c r="P72" i="51"/>
  <c r="F41" i="51" s="1"/>
  <c r="H41" i="51" s="1"/>
  <c r="J84" i="51"/>
  <c r="F26" i="51" s="1"/>
  <c r="J72" i="51"/>
  <c r="F14" i="51" s="1"/>
  <c r="J71" i="51"/>
  <c r="F13" i="51" s="1"/>
  <c r="D8" i="47" l="1"/>
  <c r="F8" i="47"/>
  <c r="E8" i="47"/>
  <c r="K38" i="51"/>
  <c r="J43" i="51"/>
  <c r="B13" i="47"/>
  <c r="J41" i="51"/>
  <c r="B11" i="47"/>
  <c r="J51" i="51"/>
  <c r="B21" i="47"/>
  <c r="F21" i="47" s="1"/>
  <c r="H21" i="47" s="1"/>
  <c r="J53" i="51"/>
  <c r="B23" i="47"/>
  <c r="J50" i="51"/>
  <c r="J30" i="41" s="1"/>
  <c r="B20" i="47"/>
  <c r="D20" i="47" s="1"/>
  <c r="J54" i="51"/>
  <c r="B24" i="47"/>
  <c r="E24" i="47" s="1"/>
  <c r="J55" i="51"/>
  <c r="B25" i="47"/>
  <c r="J47" i="51"/>
  <c r="B17" i="47"/>
  <c r="J57" i="51"/>
  <c r="B27" i="47"/>
  <c r="F27" i="47" s="1"/>
  <c r="H27" i="47" s="1"/>
  <c r="F49" i="51"/>
  <c r="H49" i="51" s="1"/>
  <c r="H14" i="51"/>
  <c r="H15" i="51"/>
  <c r="H13" i="51"/>
  <c r="J13" i="51" s="1"/>
  <c r="H19" i="51"/>
  <c r="J19" i="51" s="1"/>
  <c r="H17" i="51"/>
  <c r="H18" i="51"/>
  <c r="H24" i="51"/>
  <c r="J24" i="51" s="1"/>
  <c r="H26" i="51"/>
  <c r="J26" i="51" s="1"/>
  <c r="H20" i="51"/>
  <c r="H21" i="51"/>
  <c r="H28" i="51"/>
  <c r="H27" i="51"/>
  <c r="H29" i="51"/>
  <c r="H23" i="51"/>
  <c r="J23" i="51" s="1"/>
  <c r="H40" i="51"/>
  <c r="J36" i="41"/>
  <c r="F42" i="51"/>
  <c r="F16" i="51"/>
  <c r="F30" i="51"/>
  <c r="F48" i="51"/>
  <c r="H48" i="51" s="1"/>
  <c r="E27" i="47"/>
  <c r="D27" i="47"/>
  <c r="G27" i="47" s="1"/>
  <c r="E17" i="47"/>
  <c r="E15" i="47"/>
  <c r="D15" i="47"/>
  <c r="F15" i="47"/>
  <c r="H15" i="47" s="1"/>
  <c r="D23" i="21"/>
  <c r="D22" i="21"/>
  <c r="D27" i="21"/>
  <c r="E14" i="21"/>
  <c r="D16" i="21"/>
  <c r="M24" i="41" s="1"/>
  <c r="D28" i="21"/>
  <c r="D29" i="21"/>
  <c r="D21" i="21"/>
  <c r="D17" i="21"/>
  <c r="M25" i="41" s="1"/>
  <c r="D26" i="21"/>
  <c r="D19" i="21"/>
  <c r="D20" i="21"/>
  <c r="J24" i="41"/>
  <c r="D9" i="47"/>
  <c r="D18" i="21"/>
  <c r="D25" i="21"/>
  <c r="K56" i="51"/>
  <c r="E14" i="47"/>
  <c r="F14" i="47"/>
  <c r="H14" i="47" s="1"/>
  <c r="D14" i="47"/>
  <c r="G14" i="47" s="1"/>
  <c r="D13" i="21"/>
  <c r="D26" i="47"/>
  <c r="F26" i="47"/>
  <c r="H26" i="47" s="1"/>
  <c r="E26" i="47"/>
  <c r="D16" i="47"/>
  <c r="F16" i="47"/>
  <c r="H16" i="47" s="1"/>
  <c r="E16" i="47"/>
  <c r="J35" i="41"/>
  <c r="E22" i="47"/>
  <c r="F22" i="47"/>
  <c r="H22" i="47" s="1"/>
  <c r="D22" i="47"/>
  <c r="D12" i="21"/>
  <c r="D25" i="47"/>
  <c r="E25" i="47"/>
  <c r="F25" i="47"/>
  <c r="H25" i="47" s="1"/>
  <c r="D24" i="21"/>
  <c r="E15" i="21"/>
  <c r="G26" i="47" l="1"/>
  <c r="G25" i="47"/>
  <c r="H8" i="47"/>
  <c r="L18" i="41" s="1"/>
  <c r="P18" i="41" s="1"/>
  <c r="G22" i="47"/>
  <c r="G15" i="47"/>
  <c r="J15" i="47" s="1"/>
  <c r="G8" i="47"/>
  <c r="I25" i="41"/>
  <c r="J18" i="51"/>
  <c r="K18" i="51" s="1"/>
  <c r="J48" i="51"/>
  <c r="B18" i="47"/>
  <c r="F18" i="47" s="1"/>
  <c r="H18" i="47" s="1"/>
  <c r="L28" i="41" s="1"/>
  <c r="J17" i="51"/>
  <c r="I24" i="41" s="1"/>
  <c r="J15" i="51"/>
  <c r="K15" i="51" s="1"/>
  <c r="J14" i="51"/>
  <c r="I21" i="41" s="1"/>
  <c r="J49" i="51"/>
  <c r="J29" i="41" s="1"/>
  <c r="B19" i="47"/>
  <c r="D19" i="47" s="1"/>
  <c r="J40" i="51"/>
  <c r="B10" i="47"/>
  <c r="J29" i="51"/>
  <c r="I36" i="41" s="1"/>
  <c r="I34" i="41"/>
  <c r="J27" i="51"/>
  <c r="J28" i="51"/>
  <c r="I35" i="41" s="1"/>
  <c r="I28" i="41"/>
  <c r="J21" i="51"/>
  <c r="G16" i="47"/>
  <c r="I27" i="41"/>
  <c r="J20" i="51"/>
  <c r="K20" i="51" s="1"/>
  <c r="I20" i="41"/>
  <c r="I27" i="47"/>
  <c r="E18" i="47"/>
  <c r="D18" i="47"/>
  <c r="G18" i="47" s="1"/>
  <c r="H16" i="51"/>
  <c r="J16" i="51" s="1"/>
  <c r="H30" i="51"/>
  <c r="H42" i="51"/>
  <c r="I15" i="47"/>
  <c r="F19" i="47"/>
  <c r="H19" i="47" s="1"/>
  <c r="J28" i="41"/>
  <c r="J31" i="41"/>
  <c r="J19" i="41"/>
  <c r="K54" i="51"/>
  <c r="K46" i="51"/>
  <c r="K53" i="51"/>
  <c r="K41" i="51"/>
  <c r="K52" i="51"/>
  <c r="K43" i="51"/>
  <c r="K45" i="51"/>
  <c r="J37" i="41"/>
  <c r="M28" i="41"/>
  <c r="J27" i="41"/>
  <c r="E20" i="47"/>
  <c r="G20" i="47" s="1"/>
  <c r="M34" i="41"/>
  <c r="F20" i="47"/>
  <c r="M32" i="41"/>
  <c r="K51" i="51"/>
  <c r="I29" i="41"/>
  <c r="I31" i="41"/>
  <c r="I33" i="41"/>
  <c r="L24" i="41"/>
  <c r="K23" i="51"/>
  <c r="I30" i="41"/>
  <c r="L26" i="41"/>
  <c r="P26" i="41" s="1"/>
  <c r="L32" i="41"/>
  <c r="P32" i="41" s="1"/>
  <c r="K12" i="51"/>
  <c r="I19" i="41"/>
  <c r="K40" i="51"/>
  <c r="J20" i="41"/>
  <c r="K25" i="51"/>
  <c r="I32" i="41"/>
  <c r="I18" i="41"/>
  <c r="L31" i="41"/>
  <c r="P31" i="41" s="1"/>
  <c r="L37" i="41"/>
  <c r="P37" i="41" s="1"/>
  <c r="K19" i="51"/>
  <c r="I26" i="41"/>
  <c r="M29" i="41"/>
  <c r="M22" i="41"/>
  <c r="M20" i="41"/>
  <c r="M31" i="41"/>
  <c r="M35" i="41"/>
  <c r="E16" i="21"/>
  <c r="M26" i="41"/>
  <c r="E13" i="21"/>
  <c r="M23" i="41"/>
  <c r="E27" i="21"/>
  <c r="M37" i="41"/>
  <c r="E23" i="21"/>
  <c r="M33" i="41"/>
  <c r="E20" i="21"/>
  <c r="M30" i="41"/>
  <c r="E29" i="21"/>
  <c r="E26" i="21"/>
  <c r="M36" i="41"/>
  <c r="E17" i="21"/>
  <c r="M27" i="41"/>
  <c r="D21" i="47"/>
  <c r="D24" i="47"/>
  <c r="G24" i="47" s="1"/>
  <c r="D17" i="47"/>
  <c r="G17" i="47" s="1"/>
  <c r="F24" i="47"/>
  <c r="F17" i="47"/>
  <c r="K48" i="51"/>
  <c r="K26" i="51"/>
  <c r="E21" i="47"/>
  <c r="K13" i="51"/>
  <c r="K14" i="51"/>
  <c r="K21" i="51"/>
  <c r="K24" i="51"/>
  <c r="K27" i="51"/>
  <c r="K22" i="51"/>
  <c r="K28" i="51"/>
  <c r="K29" i="51"/>
  <c r="K47" i="51"/>
  <c r="E22" i="21"/>
  <c r="K44" i="51"/>
  <c r="I14" i="47"/>
  <c r="E28" i="21"/>
  <c r="I22" i="47"/>
  <c r="E21" i="21"/>
  <c r="E19" i="21"/>
  <c r="J27" i="47"/>
  <c r="E25" i="21"/>
  <c r="E23" i="47"/>
  <c r="F23" i="47"/>
  <c r="D23" i="47"/>
  <c r="F9" i="47"/>
  <c r="H9" i="47" s="1"/>
  <c r="E9" i="47"/>
  <c r="G9" i="47" s="1"/>
  <c r="K39" i="51"/>
  <c r="E11" i="47"/>
  <c r="D11" i="47"/>
  <c r="G11" i="47" s="1"/>
  <c r="F11" i="47"/>
  <c r="H11" i="47" s="1"/>
  <c r="E12" i="21"/>
  <c r="K50" i="51"/>
  <c r="K55" i="51"/>
  <c r="E18" i="21"/>
  <c r="E24" i="21"/>
  <c r="D13" i="47"/>
  <c r="E13" i="47"/>
  <c r="F13" i="47"/>
  <c r="H13" i="47" s="1"/>
  <c r="I26" i="47"/>
  <c r="I22" i="41" l="1"/>
  <c r="K49" i="51"/>
  <c r="G23" i="47"/>
  <c r="K17" i="51"/>
  <c r="F10" i="47"/>
  <c r="H10" i="47" s="1"/>
  <c r="L20" i="41" s="1"/>
  <c r="P20" i="41" s="1"/>
  <c r="D10" i="47"/>
  <c r="E10" i="47"/>
  <c r="I8" i="47"/>
  <c r="J8" i="47"/>
  <c r="K18" i="41"/>
  <c r="O18" i="41" s="1"/>
  <c r="Q18" i="41" s="1"/>
  <c r="C18" i="41" s="1"/>
  <c r="H17" i="47"/>
  <c r="I17" i="47" s="1"/>
  <c r="H24" i="47"/>
  <c r="I24" i="47" s="1"/>
  <c r="H20" i="47"/>
  <c r="L30" i="41" s="1"/>
  <c r="P30" i="41" s="1"/>
  <c r="E19" i="47"/>
  <c r="G19" i="47" s="1"/>
  <c r="L33" i="41"/>
  <c r="P33" i="41" s="1"/>
  <c r="H23" i="47"/>
  <c r="G21" i="47"/>
  <c r="G13" i="47"/>
  <c r="J42" i="51"/>
  <c r="J58" i="51" s="1"/>
  <c r="E3" i="51" s="1"/>
  <c r="B12" i="47"/>
  <c r="J30" i="51"/>
  <c r="I37" i="41" s="1"/>
  <c r="I21" i="47"/>
  <c r="K16" i="51"/>
  <c r="I23" i="41"/>
  <c r="J32" i="41"/>
  <c r="J22" i="41"/>
  <c r="K42" i="51"/>
  <c r="K28" i="41"/>
  <c r="O28" i="41" s="1"/>
  <c r="I16" i="47"/>
  <c r="K27" i="41"/>
  <c r="K30" i="41"/>
  <c r="I18" i="47"/>
  <c r="K37" i="41"/>
  <c r="I25" i="47"/>
  <c r="J21" i="41"/>
  <c r="K57" i="51"/>
  <c r="J33" i="41"/>
  <c r="J23" i="41"/>
  <c r="J25" i="41"/>
  <c r="K30" i="51"/>
  <c r="J26" i="41"/>
  <c r="J34" i="41"/>
  <c r="K24" i="41"/>
  <c r="K36" i="41"/>
  <c r="O36" i="41" s="1"/>
  <c r="L21" i="41"/>
  <c r="P21" i="41" s="1"/>
  <c r="L19" i="41"/>
  <c r="P19" i="41" s="1"/>
  <c r="K34" i="41"/>
  <c r="K31" i="41"/>
  <c r="K26" i="41"/>
  <c r="P28" i="41"/>
  <c r="L29" i="41"/>
  <c r="P29" i="41" s="1"/>
  <c r="L36" i="41"/>
  <c r="P36" i="41" s="1"/>
  <c r="L23" i="41"/>
  <c r="P23" i="41" s="1"/>
  <c r="P24" i="41"/>
  <c r="L25" i="41"/>
  <c r="P25" i="41" s="1"/>
  <c r="K32" i="41"/>
  <c r="L35" i="41"/>
  <c r="P35" i="41" s="1"/>
  <c r="J14" i="47"/>
  <c r="J17" i="47"/>
  <c r="D11" i="21"/>
  <c r="M19" i="41" s="1"/>
  <c r="C30" i="21"/>
  <c r="J22" i="47"/>
  <c r="I13" i="47"/>
  <c r="J21" i="47"/>
  <c r="J26" i="47"/>
  <c r="J25" i="47"/>
  <c r="J16" i="47"/>
  <c r="J18" i="47"/>
  <c r="L34" i="41" l="1"/>
  <c r="P34" i="41" s="1"/>
  <c r="I20" i="47"/>
  <c r="I38" i="41"/>
  <c r="J20" i="47"/>
  <c r="N18" i="41"/>
  <c r="J19" i="47"/>
  <c r="K29" i="41"/>
  <c r="O29" i="41" s="1"/>
  <c r="I19" i="47"/>
  <c r="L27" i="41"/>
  <c r="P27" i="41" s="1"/>
  <c r="J31" i="51"/>
  <c r="C3" i="51" s="1"/>
  <c r="D12" i="47"/>
  <c r="F12" i="47"/>
  <c r="H12" i="47" s="1"/>
  <c r="E12" i="47"/>
  <c r="J24" i="47"/>
  <c r="G10" i="47"/>
  <c r="K31" i="51"/>
  <c r="C4" i="51" s="1"/>
  <c r="O32" i="41"/>
  <c r="J38" i="41"/>
  <c r="K35" i="41"/>
  <c r="O35" i="41" s="1"/>
  <c r="I23" i="47"/>
  <c r="I9" i="47"/>
  <c r="J9" i="47"/>
  <c r="K23" i="41"/>
  <c r="O23" i="41" s="1"/>
  <c r="I11" i="47"/>
  <c r="O26" i="41"/>
  <c r="Q26" i="41" s="1"/>
  <c r="C26" i="41" s="1"/>
  <c r="N26" i="41"/>
  <c r="Q28" i="41"/>
  <c r="C28" i="41" s="1"/>
  <c r="K33" i="41"/>
  <c r="O33" i="41" s="1"/>
  <c r="Q33" i="41" s="1"/>
  <c r="C33" i="41" s="1"/>
  <c r="O31" i="41"/>
  <c r="K21" i="41"/>
  <c r="K19" i="41"/>
  <c r="K25" i="41"/>
  <c r="N25" i="41" s="1"/>
  <c r="D30" i="21"/>
  <c r="C2" i="21" s="1"/>
  <c r="M21" i="41"/>
  <c r="N28" i="41"/>
  <c r="N31" i="41"/>
  <c r="E11" i="21"/>
  <c r="E30" i="21" s="1"/>
  <c r="C3" i="21" s="1"/>
  <c r="O24" i="41"/>
  <c r="J13" i="47"/>
  <c r="Q36" i="41"/>
  <c r="C36" i="41" s="1"/>
  <c r="J23" i="47"/>
  <c r="N30" i="41"/>
  <c r="O30" i="41"/>
  <c r="N32" i="41"/>
  <c r="N36" i="41"/>
  <c r="N29" i="41"/>
  <c r="J11" i="47"/>
  <c r="O37" i="41"/>
  <c r="N37" i="41"/>
  <c r="O27" i="41"/>
  <c r="N27" i="41" l="1"/>
  <c r="I10" i="47"/>
  <c r="J10" i="47"/>
  <c r="K20" i="41"/>
  <c r="L22" i="41"/>
  <c r="H28" i="47"/>
  <c r="G12" i="47"/>
  <c r="G28" i="47"/>
  <c r="N21" i="41"/>
  <c r="O21" i="41"/>
  <c r="Q21" i="41" s="1"/>
  <c r="C21" i="41" s="1"/>
  <c r="Q31" i="41"/>
  <c r="C31" i="41" s="1"/>
  <c r="N33" i="41"/>
  <c r="M38" i="41"/>
  <c r="O19" i="41"/>
  <c r="N19" i="41"/>
  <c r="O25" i="41"/>
  <c r="N35" i="41"/>
  <c r="N23" i="41"/>
  <c r="N24" i="41"/>
  <c r="Q35" i="41"/>
  <c r="C35" i="41" s="1"/>
  <c r="Q30" i="41"/>
  <c r="C30" i="41" s="1"/>
  <c r="Q29" i="41"/>
  <c r="C29" i="41" s="1"/>
  <c r="O34" i="41"/>
  <c r="N34" i="41"/>
  <c r="Q27" i="41"/>
  <c r="C27" i="41" s="1"/>
  <c r="Q24" i="41"/>
  <c r="C24" i="41" s="1"/>
  <c r="Q32" i="41"/>
  <c r="C32" i="41" s="1"/>
  <c r="Q37" i="41"/>
  <c r="C37" i="41" s="1"/>
  <c r="Q23" i="41"/>
  <c r="C23" i="41" s="1"/>
  <c r="P22" i="41" l="1"/>
  <c r="P38" i="41" s="1"/>
  <c r="L38" i="41"/>
  <c r="I12" i="47"/>
  <c r="I28" i="47" s="1"/>
  <c r="C2" i="47" s="1"/>
  <c r="J12" i="47"/>
  <c r="J28" i="47" s="1"/>
  <c r="C3" i="47" s="1"/>
  <c r="K22" i="41"/>
  <c r="O20" i="41"/>
  <c r="Q20" i="41" s="1"/>
  <c r="C20" i="41" s="1"/>
  <c r="N20" i="41"/>
  <c r="K38" i="41"/>
  <c r="Q19" i="41"/>
  <c r="C19" i="41" s="1"/>
  <c r="Q25" i="41"/>
  <c r="C25" i="41" s="1"/>
  <c r="Q34" i="41"/>
  <c r="C34" i="41" s="1"/>
  <c r="N22" i="41" l="1"/>
  <c r="N38" i="41" s="1"/>
  <c r="F3" i="12" s="1"/>
  <c r="O22" i="41"/>
  <c r="Q22" i="41" l="1"/>
  <c r="O38" i="41"/>
  <c r="C22" i="41" l="1"/>
  <c r="C38" i="41" s="1"/>
  <c r="Q38" i="41"/>
  <c r="G3" i="12" s="1"/>
  <c r="K58" i="51"/>
  <c r="E4" i="51" s="1"/>
  <c r="F31" i="27" l="1"/>
  <c r="H14" i="27"/>
  <c r="H25" i="27"/>
  <c r="H17" i="27"/>
  <c r="T33" i="41"/>
  <c r="U33" i="41" s="1"/>
  <c r="H26" i="27"/>
  <c r="H23" i="27"/>
  <c r="T29" i="41"/>
  <c r="U29" i="41" s="1"/>
  <c r="H13" i="27"/>
  <c r="H20" i="27"/>
  <c r="T17" i="41"/>
  <c r="U17" i="41" s="1"/>
  <c r="T18" i="41"/>
  <c r="U18" i="41" s="1"/>
  <c r="T22" i="41"/>
  <c r="U22" i="41" s="1"/>
  <c r="T35" i="41"/>
  <c r="U35" i="41" s="1"/>
  <c r="T19" i="41"/>
  <c r="U19" i="41" s="1"/>
  <c r="T31" i="41"/>
  <c r="U31" i="41" s="1"/>
  <c r="B33" i="41" l="1"/>
  <c r="D33" i="41" s="1"/>
  <c r="H29" i="27"/>
  <c r="T27" i="41"/>
  <c r="U27" i="41" s="1"/>
  <c r="B27" i="41" s="1"/>
  <c r="D27" i="41" s="1"/>
  <c r="T25" i="41"/>
  <c r="U25" i="41" s="1"/>
  <c r="T23" i="41"/>
  <c r="U23" i="41" s="1"/>
  <c r="T21" i="41"/>
  <c r="U21" i="41" s="1"/>
  <c r="B21" i="41" s="1"/>
  <c r="D21" i="41" s="1"/>
  <c r="T20" i="41"/>
  <c r="U20" i="41" s="1"/>
  <c r="B20" i="41" s="1"/>
  <c r="D20" i="41" s="1"/>
  <c r="T30" i="41"/>
  <c r="U30" i="41" s="1"/>
  <c r="B30" i="41" s="1"/>
  <c r="D30" i="41" s="1"/>
  <c r="T32" i="41"/>
  <c r="U32" i="41" s="1"/>
  <c r="B32" i="41" s="1"/>
  <c r="D32" i="41" s="1"/>
  <c r="T28" i="41"/>
  <c r="U28" i="41" s="1"/>
  <c r="T24" i="41"/>
  <c r="U24" i="41" s="1"/>
  <c r="B24" i="41" s="1"/>
  <c r="D24" i="41" s="1"/>
  <c r="T36" i="41"/>
  <c r="U36" i="41" s="1"/>
  <c r="H19" i="27"/>
  <c r="T26" i="41"/>
  <c r="U26" i="41" s="1"/>
  <c r="H27" i="27"/>
  <c r="T34" i="41"/>
  <c r="U34" i="41" s="1"/>
  <c r="H22" i="27"/>
  <c r="B29" i="41" s="1"/>
  <c r="D29" i="41" s="1"/>
  <c r="H24" i="27"/>
  <c r="B31" i="41" s="1"/>
  <c r="D31" i="41" s="1"/>
  <c r="H15" i="27"/>
  <c r="B22" i="41" s="1"/>
  <c r="D22" i="41" s="1"/>
  <c r="H18" i="27"/>
  <c r="H16" i="27"/>
  <c r="H28" i="27"/>
  <c r="B35" i="41" s="1"/>
  <c r="D35" i="41" s="1"/>
  <c r="B17" i="41"/>
  <c r="D17" i="41" s="1"/>
  <c r="H21" i="27"/>
  <c r="H11" i="27"/>
  <c r="B18" i="41" s="1"/>
  <c r="D18" i="41" s="1"/>
  <c r="H12" i="27"/>
  <c r="B19" i="41" s="1"/>
  <c r="D19" i="41" s="1"/>
  <c r="B25" i="41" l="1"/>
  <c r="D25" i="41" s="1"/>
  <c r="B23" i="41"/>
  <c r="D23" i="41" s="1"/>
  <c r="B34" i="41"/>
  <c r="D34" i="41" s="1"/>
  <c r="B36" i="41"/>
  <c r="D36" i="41" s="1"/>
  <c r="B28" i="41"/>
  <c r="D28" i="41" s="1"/>
  <c r="B26" i="41"/>
  <c r="D26" i="41" s="1"/>
  <c r="U16" i="41"/>
  <c r="B14" i="41"/>
  <c r="B16" i="41" l="1"/>
  <c r="D16" i="41" s="1"/>
  <c r="D14" i="41"/>
  <c r="E14" i="41" l="1"/>
  <c r="T15" i="41" l="1"/>
  <c r="U15" i="41" s="1"/>
  <c r="B15" i="41" s="1"/>
  <c r="H8" i="27"/>
  <c r="T37" i="41" l="1"/>
  <c r="U37" i="41" s="1"/>
  <c r="B37" i="41" s="1"/>
  <c r="D37" i="41" s="1"/>
  <c r="H31" i="27"/>
  <c r="G31" i="27"/>
  <c r="T38" i="41"/>
  <c r="D15" i="41"/>
  <c r="U38" i="41"/>
  <c r="C4" i="41" s="1"/>
  <c r="D3" i="12"/>
  <c r="B38" i="41" l="1"/>
  <c r="C5" i="41"/>
  <c r="D38" i="41"/>
  <c r="E15" i="41"/>
  <c r="H3" i="12"/>
  <c r="C6" i="41"/>
  <c r="E3" i="12"/>
  <c r="E16" i="41" l="1"/>
  <c r="E17" i="41" s="1"/>
  <c r="E18" i="41" s="1"/>
  <c r="E19" i="41" s="1"/>
  <c r="E20" i="41" s="1"/>
  <c r="E21" i="41" s="1"/>
  <c r="E22" i="41" s="1"/>
  <c r="E23" i="41" s="1"/>
  <c r="E24" i="41" s="1"/>
  <c r="E25" i="41" s="1"/>
  <c r="E26" i="41" s="1"/>
  <c r="E27" i="41" s="1"/>
  <c r="E28" i="41" s="1"/>
  <c r="E29" i="41" s="1"/>
  <c r="E30" i="41" l="1"/>
  <c r="E31" i="41" s="1"/>
  <c r="E32" i="41" l="1"/>
  <c r="E33" i="41" s="1"/>
  <c r="E34" i="41" s="1"/>
  <c r="E35" i="41" s="1"/>
  <c r="E36" i="41" s="1"/>
  <c r="E37" i="41" s="1"/>
  <c r="E38" i="41" l="1"/>
</calcChain>
</file>

<file path=xl/sharedStrings.xml><?xml version="1.0" encoding="utf-8"?>
<sst xmlns="http://schemas.openxmlformats.org/spreadsheetml/2006/main" count="394" uniqueCount="238">
  <si>
    <t>Project</t>
  </si>
  <si>
    <t>Capital Costs</t>
  </si>
  <si>
    <t>Project Costs (NPV)</t>
  </si>
  <si>
    <t>Total Net Benefit</t>
  </si>
  <si>
    <t>Total Net Benefit (NPV)</t>
  </si>
  <si>
    <t>Benefit-Cost Ratio</t>
  </si>
  <si>
    <t>Direct User Benefits</t>
  </si>
  <si>
    <t>Benefit/Cost Ratio</t>
  </si>
  <si>
    <t>Internal Rate of Return</t>
  </si>
  <si>
    <t>Net Present Value</t>
  </si>
  <si>
    <t>Discount Rate</t>
  </si>
  <si>
    <t>Net Direct Benefits - 7% Discount</t>
  </si>
  <si>
    <t>Analysis Year</t>
  </si>
  <si>
    <t>Economic Competitiveness</t>
  </si>
  <si>
    <t>Environmental</t>
  </si>
  <si>
    <t>Safety</t>
  </si>
  <si>
    <t>Total</t>
  </si>
  <si>
    <t>7% Discount</t>
  </si>
  <si>
    <t>Total Discount</t>
  </si>
  <si>
    <t>Total Costs</t>
  </si>
  <si>
    <t>Total Benefits</t>
  </si>
  <si>
    <t>Net Direct Benefits</t>
  </si>
  <si>
    <t>Cumulative</t>
  </si>
  <si>
    <t>Operation and Maintenance Costs</t>
  </si>
  <si>
    <t>Travel Time Savings</t>
  </si>
  <si>
    <t>Operational Savings</t>
  </si>
  <si>
    <t>Reduced Pollutants (CO2)</t>
  </si>
  <si>
    <t>Crash Savings</t>
  </si>
  <si>
    <t>Total Cost</t>
  </si>
  <si>
    <t>Net Present Value (NPV)</t>
  </si>
  <si>
    <t>Inflation Adjustment</t>
  </si>
  <si>
    <t>Base Year</t>
  </si>
  <si>
    <t>Multiplier</t>
  </si>
  <si>
    <t>Table A-7, 2022 BCA Guidance</t>
  </si>
  <si>
    <t>Capital and Operating Cost Calculations</t>
  </si>
  <si>
    <t>Total Project Costs (2020$)</t>
  </si>
  <si>
    <t>Project Costs</t>
  </si>
  <si>
    <t>Year</t>
  </si>
  <si>
    <t>Percent Project Cost Paid</t>
  </si>
  <si>
    <t>Project Cost</t>
  </si>
  <si>
    <t>Project Cost (NPV)</t>
  </si>
  <si>
    <t>Project Life (Years)</t>
  </si>
  <si>
    <t>Existing O&amp;M</t>
  </si>
  <si>
    <t>Future O&amp;M</t>
  </si>
  <si>
    <t>Savings</t>
  </si>
  <si>
    <t>Source: ODOT</t>
  </si>
  <si>
    <t>Safety Crash Savings - Summary</t>
  </si>
  <si>
    <t>Potential Cost Savings</t>
  </si>
  <si>
    <t>Potential Cost Savings (NPV)</t>
  </si>
  <si>
    <t>Safety Crash Savings</t>
  </si>
  <si>
    <t>No Build</t>
  </si>
  <si>
    <t>Build</t>
  </si>
  <si>
    <t>ADT</t>
  </si>
  <si>
    <t>No Build Scenario</t>
  </si>
  <si>
    <t>Est. # of Collisions</t>
  </si>
  <si>
    <t>Est. # of Vehicles</t>
  </si>
  <si>
    <t>PDO (Vehicle)</t>
  </si>
  <si>
    <t>Severity Per Collision</t>
  </si>
  <si>
    <t>PDO</t>
  </si>
  <si>
    <t>Pos. Injury</t>
  </si>
  <si>
    <t>Non-Incap. Injury</t>
  </si>
  <si>
    <t>Incap. Injury</t>
  </si>
  <si>
    <t>Fatality</t>
  </si>
  <si>
    <t>All Crashes within project extents</t>
  </si>
  <si>
    <t>Collision by Severity</t>
  </si>
  <si>
    <t>Total (5 Years)</t>
  </si>
  <si>
    <t>Collisions</t>
  </si>
  <si>
    <t>Persons</t>
  </si>
  <si>
    <t>Incapacitating Injury</t>
  </si>
  <si>
    <t>Non-Incapacitating Injury</t>
  </si>
  <si>
    <t>Possible Injury</t>
  </si>
  <si>
    <t>Property Damage</t>
  </si>
  <si>
    <t>Property Damage Only Crashes</t>
  </si>
  <si>
    <t>Unit Value ($2020)</t>
  </si>
  <si>
    <t>Per Vehicle</t>
  </si>
  <si>
    <t>Source: BCA Guidance 2022</t>
  </si>
  <si>
    <t>Value of Reduced Fatalities and Injuries</t>
  </si>
  <si>
    <t>KABCO Level</t>
  </si>
  <si>
    <t>Monetized Value</t>
  </si>
  <si>
    <t>O - No Injury</t>
  </si>
  <si>
    <t>C - Possible Injury</t>
  </si>
  <si>
    <t>B - Non-incapacitating</t>
  </si>
  <si>
    <t>A - Incapacitating</t>
  </si>
  <si>
    <t>K - Killed</t>
  </si>
  <si>
    <t>U - Injured (Severity Unknown)</t>
  </si>
  <si>
    <t># of Accidents Reported (Unknown if Injured)</t>
  </si>
  <si>
    <t>Average Vehicle Occupancy</t>
  </si>
  <si>
    <t>Vehicle Type</t>
  </si>
  <si>
    <t>Occupancy</t>
  </si>
  <si>
    <t>Passenger Vehicles</t>
  </si>
  <si>
    <t>Trucks</t>
  </si>
  <si>
    <t>Average Vehicles per Crash</t>
  </si>
  <si>
    <t>Collision Rate per Average Daily Traffic</t>
  </si>
  <si>
    <t>Economic Competitiveness - Summary</t>
  </si>
  <si>
    <t>Scenario</t>
  </si>
  <si>
    <t>Benefit</t>
  </si>
  <si>
    <t>Benefit (NPV)</t>
  </si>
  <si>
    <t>Reduction in VHT</t>
  </si>
  <si>
    <t>VHT Benefit</t>
  </si>
  <si>
    <t>VHT Benefit (NPV)</t>
  </si>
  <si>
    <t>Traffic Volumes</t>
  </si>
  <si>
    <t>Vehicle Hours Traveled</t>
  </si>
  <si>
    <t>Reduction in VMT</t>
  </si>
  <si>
    <t>VMT Benefit</t>
  </si>
  <si>
    <t>VMT Benefit (NPV)</t>
  </si>
  <si>
    <t>Vehicle Miles Traveled</t>
  </si>
  <si>
    <t>Truck</t>
  </si>
  <si>
    <t>Truck VHT</t>
  </si>
  <si>
    <t>Passenger Vehicle VHT</t>
  </si>
  <si>
    <t>Truck VMT</t>
  </si>
  <si>
    <t>Passenger Vehicle VMT</t>
  </si>
  <si>
    <t>Two-Axle AADT</t>
  </si>
  <si>
    <t>Truck AADT</t>
  </si>
  <si>
    <t>Total AADT</t>
  </si>
  <si>
    <t>Growth Rates &amp; Truck Data</t>
  </si>
  <si>
    <t>Truck % - No Build</t>
  </si>
  <si>
    <t>Truck % - Build</t>
  </si>
  <si>
    <t>Corridor Information</t>
  </si>
  <si>
    <t>Corridor Length (Mi.)</t>
  </si>
  <si>
    <t>Speed Limit (MPH)</t>
  </si>
  <si>
    <t>Travel Time (Hr.)</t>
  </si>
  <si>
    <t>Travel Time Savings and Operating Costs</t>
  </si>
  <si>
    <t>Commercial Truck Operating Cost</t>
  </si>
  <si>
    <t>Light Duty Vehicle Operating Cost</t>
  </si>
  <si>
    <t>Environmental Cost Savings - Summary</t>
  </si>
  <si>
    <t>Total Reduced Damage of Pollutant Emissions</t>
  </si>
  <si>
    <t>Total Reduced Damage of Pollutant Emissions (NPV)</t>
  </si>
  <si>
    <t>Environmental Protection Cost Savings</t>
  </si>
  <si>
    <t>VMT Savings</t>
  </si>
  <si>
    <t>Pollutant Emissions Calculations (metric tons)</t>
  </si>
  <si>
    <t>Benefit of Reduced Damage</t>
  </si>
  <si>
    <t>Nitrogen Oxides</t>
  </si>
  <si>
    <t>Particulate Matter (2.5)</t>
  </si>
  <si>
    <t>Carbon Dioxide</t>
  </si>
  <si>
    <t>CO2</t>
  </si>
  <si>
    <t>Environmental Benefit</t>
  </si>
  <si>
    <t>Environmental Benefit (NPV)</t>
  </si>
  <si>
    <t>Damage Costs for Pollutant Emissions</t>
  </si>
  <si>
    <t>$/Metric Ton</t>
  </si>
  <si>
    <t>SO2</t>
  </si>
  <si>
    <t>PM2.5</t>
  </si>
  <si>
    <t>Pollution Emission by Mode (g/Mile)</t>
  </si>
  <si>
    <t>Mode</t>
  </si>
  <si>
    <t>CO2e</t>
  </si>
  <si>
    <t>Automobile</t>
  </si>
  <si>
    <t>Trucks - Diesel</t>
  </si>
  <si>
    <t>Maintenance Costs</t>
  </si>
  <si>
    <t>20 Year O&amp;M Costs</t>
  </si>
  <si>
    <t>Savings (NPV)</t>
  </si>
  <si>
    <t>O&amp;M Savings - Summary</t>
  </si>
  <si>
    <t>Average Vehicle/Crash</t>
  </si>
  <si>
    <t>20 Year BENEFITS</t>
  </si>
  <si>
    <t>20 Year COSTS</t>
  </si>
  <si>
    <t>CMF Table</t>
  </si>
  <si>
    <t>Name</t>
  </si>
  <si>
    <t>Number</t>
  </si>
  <si>
    <t>CMF</t>
  </si>
  <si>
    <t>Applicability</t>
  </si>
  <si>
    <t xml:space="preserve">Type </t>
  </si>
  <si>
    <t>Severity</t>
  </si>
  <si>
    <t>All</t>
  </si>
  <si>
    <t>Source: CMF Clearinghouse</t>
  </si>
  <si>
    <t>Build Crash Reductions</t>
  </si>
  <si>
    <t>CAGR - 2021-2041</t>
  </si>
  <si>
    <t>Segment (2021) - Existing</t>
  </si>
  <si>
    <t>Growth 2021-2041</t>
  </si>
  <si>
    <t>Widen Shoulder</t>
  </si>
  <si>
    <t>Install Shoulder Rumble Strips</t>
  </si>
  <si>
    <t>K,A,B,C</t>
  </si>
  <si>
    <t>Source: ODOT Crash Data 2017-2021</t>
  </si>
  <si>
    <t>CMF Table - For Property Damage Crashes Only</t>
  </si>
  <si>
    <t>Source: Google Maps</t>
  </si>
  <si>
    <t>Growth Rate and 2022 ADT Calculation</t>
  </si>
  <si>
    <t>Residual Value (2045$)</t>
  </si>
  <si>
    <t>Vehicles Involved</t>
  </si>
  <si>
    <t xml:space="preserve">Existing </t>
  </si>
  <si>
    <t>Segment (2041) - Future</t>
  </si>
  <si>
    <t>ADT of the Roadway</t>
  </si>
  <si>
    <t>2022 BCA SUMMARY - U.S. 69 Bridge Replacement in Durant, OK</t>
  </si>
  <si>
    <t># Crashes</t>
  </si>
  <si>
    <t>Bridge</t>
  </si>
  <si>
    <t>Area (SF)</t>
  </si>
  <si>
    <t>Saline Cost/SF</t>
  </si>
  <si>
    <t>Total Sealant Cost</t>
  </si>
  <si>
    <t>Closure</t>
  </si>
  <si>
    <t>Open</t>
  </si>
  <si>
    <t>END OF SERVICE LIFE</t>
  </si>
  <si>
    <t>Source: ODOT, Previous repair documents</t>
  </si>
  <si>
    <t>Previous Major Repair Costs - 2018</t>
  </si>
  <si>
    <t>Cost Breakdown</t>
  </si>
  <si>
    <t>Purpose</t>
  </si>
  <si>
    <t>Previously Incurred (Local Match)</t>
  </si>
  <si>
    <t>Estimated Remaining 2022 Expenses</t>
  </si>
  <si>
    <t>Estimated 2023 Expenses</t>
  </si>
  <si>
    <t>Construction Costs</t>
  </si>
  <si>
    <t>Cost</t>
  </si>
  <si>
    <t>Construction Schedule Assumption</t>
  </si>
  <si>
    <t>Cost %</t>
  </si>
  <si>
    <t>17535-NB Bridge A</t>
  </si>
  <si>
    <t>17507-NB Bridge B</t>
  </si>
  <si>
    <t>17534-SB Bridge C</t>
  </si>
  <si>
    <t>17506-SB Bridge D</t>
  </si>
  <si>
    <t>3% Discount (CO2)</t>
  </si>
  <si>
    <t>Previously Incurred (Other Federal Funds)</t>
  </si>
  <si>
    <t>Saline Sealant Costs</t>
  </si>
  <si>
    <t>Length (Ft)</t>
  </si>
  <si>
    <t>Width (Ft)</t>
  </si>
  <si>
    <t>Bridge Sealant</t>
  </si>
  <si>
    <t>Description</t>
  </si>
  <si>
    <t>Assumption: Repair costs will increase each occurrence from the original 2018 repairs at a rate of:</t>
  </si>
  <si>
    <t>Substantial Repair #2</t>
  </si>
  <si>
    <t>Substantial Repair #3</t>
  </si>
  <si>
    <t>Substantial Repair #4</t>
  </si>
  <si>
    <t>Assumption: All bridges have up to 20 years of service life remaining after repairs completed in 2018</t>
  </si>
  <si>
    <t>Probability of Closure</t>
  </si>
  <si>
    <t>Improve Guardrail</t>
  </si>
  <si>
    <t>NOx &amp; PM 2.5</t>
  </si>
  <si>
    <t>NOx</t>
  </si>
  <si>
    <t>Source: BCA Guidelines 2022 Revised</t>
  </si>
  <si>
    <t>Reduced Pollutants (NOx &amp; PM2.5)</t>
  </si>
  <si>
    <t>Travel time assumes routes from north of the Main St interchange to south of the US 70 interchange</t>
  </si>
  <si>
    <t>Assumption: In 2038 when all bridges service life are met and the bridges are closed, both directions of travel will be forced onto the detour route. This will increase the detour ADT to the full corridor ADT.</t>
  </si>
  <si>
    <t>Total VHT</t>
  </si>
  <si>
    <t>Total VMT</t>
  </si>
  <si>
    <t>Closure VHT</t>
  </si>
  <si>
    <t>Open VHT</t>
  </si>
  <si>
    <t>Closure VMT</t>
  </si>
  <si>
    <t>Open VMT</t>
  </si>
  <si>
    <t>Assumption: The probability of at least one bridge being closed due to early end of service life is linear from the estimated remaining 20 years starting with the 2018 major bridge rehabilitation.</t>
  </si>
  <si>
    <t>Source: https://www.bts.gov/content/estimated-national-average-vehicle-emissions-rates-vehicle-vehicle-type-using-gasoline-and; cell V6,7,8 &amp; cell V49,50,51</t>
  </si>
  <si>
    <t>Total Repair Cost</t>
  </si>
  <si>
    <t xml:space="preserve">Assumption: Substantial repairs will be needed every 4 years to keep the bridges operating </t>
  </si>
  <si>
    <t xml:space="preserve">Truck Drivers Hourly TT Savings </t>
  </si>
  <si>
    <t>All Purpose Hourly TT Savings</t>
  </si>
  <si>
    <t>Source: USDOT BCA Guidance 2022 Revised Table A-3; Table A-5</t>
  </si>
  <si>
    <t>Assumption: Only one direction of traffic would be closed at any given time, therefore only 50% of ADT is taking the detour for years 2026-2037.</t>
  </si>
  <si>
    <t>Total ADT</t>
  </si>
  <si>
    <t>Source: BCA Guidance 2022 Table 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</si>
</sst>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000000000"/>
    <numFmt numFmtId="165" formatCode="_(&quot;$&quot;* #,##0_);_(&quot;$&quot;* \(#,##0\);_(&quot;$&quot;* &quot;-&quot;??_);_(@_)"/>
    <numFmt numFmtId="166" formatCode="0.00000"/>
    <numFmt numFmtId="167" formatCode="0.000"/>
    <numFmt numFmtId="168" formatCode="0.0%"/>
    <numFmt numFmtId="169" formatCode="&quot;$&quot;#,##0"/>
    <numFmt numFmtId="170" formatCode="_(* #,##0_);_(* \(#,##0\);_(* &quot;-&quot;??_);_(@_)"/>
    <numFmt numFmtId="171" formatCode="&quot;$&quot;#,##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2"/>
      <name val="Arial"/>
      <family val="2"/>
    </font>
    <font>
      <sz val="10"/>
      <name val="MS Sans Serif"/>
      <family val="2"/>
    </font>
    <font>
      <b/>
      <sz val="18"/>
      <color theme="1"/>
      <name val="Calibri"/>
      <family val="2"/>
      <scheme val="minor"/>
    </font>
    <font>
      <b/>
      <sz val="14"/>
      <color theme="1"/>
      <name val="Calibri"/>
      <family val="2"/>
      <scheme val="minor"/>
    </font>
    <font>
      <sz val="10"/>
      <name val="Arial Narrow"/>
      <family val="2"/>
    </font>
    <font>
      <b/>
      <sz val="10"/>
      <name val="Arial Narrow"/>
      <family val="2"/>
    </font>
    <font>
      <b/>
      <sz val="10"/>
      <color theme="0"/>
      <name val="Arial Narrow"/>
      <family val="2"/>
    </font>
    <font>
      <sz val="10"/>
      <color rgb="FFFF0000"/>
      <name val="Arial Narrow"/>
      <family val="2"/>
    </font>
    <font>
      <b/>
      <sz val="11"/>
      <color theme="0"/>
      <name val="Arial Narrow"/>
      <family val="2"/>
    </font>
    <font>
      <sz val="12"/>
      <name val="Arial Narrow"/>
      <family val="2"/>
    </font>
    <font>
      <b/>
      <sz val="11"/>
      <name val="Arial Narrow"/>
      <family val="2"/>
    </font>
    <font>
      <sz val="11"/>
      <color theme="1"/>
      <name val="Arial Narrow"/>
      <family val="2"/>
    </font>
    <font>
      <b/>
      <sz val="12"/>
      <name val="Arial Narrow"/>
      <family val="2"/>
    </font>
    <font>
      <sz val="16"/>
      <name val="Arial Narrow"/>
      <family val="2"/>
    </font>
    <font>
      <i/>
      <sz val="10"/>
      <name val="Arial Narrow"/>
      <family val="2"/>
    </font>
    <font>
      <b/>
      <sz val="14"/>
      <name val="Arial Narrow"/>
      <family val="2"/>
    </font>
    <font>
      <b/>
      <sz val="12"/>
      <color theme="0"/>
      <name val="Arial Narrow"/>
      <family val="2"/>
    </font>
    <font>
      <b/>
      <sz val="16"/>
      <name val="Arial Narrow"/>
      <family val="2"/>
    </font>
    <font>
      <u/>
      <sz val="10"/>
      <color theme="10"/>
      <name val="Arial"/>
      <family val="2"/>
    </font>
    <font>
      <u/>
      <sz val="11"/>
      <color theme="10"/>
      <name val="Calibri"/>
      <family val="2"/>
      <scheme val="minor"/>
    </font>
    <font>
      <sz val="10"/>
      <color theme="1"/>
      <name val="Arial Narrow"/>
      <family val="2"/>
    </font>
    <font>
      <b/>
      <sz val="10"/>
      <color theme="1"/>
      <name val="Arial Narrow"/>
      <family val="2"/>
    </font>
    <font>
      <sz val="11"/>
      <name val="Arial Narrow"/>
      <family val="2"/>
    </font>
    <font>
      <b/>
      <sz val="10"/>
      <color theme="0"/>
      <name val="Calibri"/>
      <family val="2"/>
      <scheme val="minor"/>
    </font>
    <font>
      <b/>
      <sz val="10"/>
      <name val="Calibri"/>
      <family val="2"/>
      <scheme val="minor"/>
    </font>
    <font>
      <sz val="10"/>
      <name val="Calibri"/>
      <family val="2"/>
      <scheme val="minor"/>
    </font>
    <font>
      <sz val="9"/>
      <color rgb="FF0F3141"/>
      <name val="Lato"/>
      <family val="2"/>
    </font>
    <font>
      <sz val="9"/>
      <name val="Arial Narrow"/>
      <family val="2"/>
    </font>
    <font>
      <sz val="11"/>
      <color rgb="FFFF0000"/>
      <name val="Arial Narrow"/>
      <family val="2"/>
    </font>
    <font>
      <sz val="16"/>
      <color rgb="FFFF0000"/>
      <name val="Arial Narrow"/>
      <family val="2"/>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tint="-0.14999847407452621"/>
        <bgColor indexed="64"/>
      </patternFill>
    </fill>
    <fill>
      <patternFill patternType="solid">
        <fgColor rgb="FFFEF5E4"/>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36">
    <xf numFmtId="0" fontId="0" fillId="0" borderId="0"/>
    <xf numFmtId="0" fontId="10" fillId="0" borderId="0" applyNumberFormat="0" applyAlignment="0"/>
    <xf numFmtId="44" fontId="9" fillId="0" borderId="0" applyFont="0" applyFill="0" applyBorder="0" applyAlignment="0" applyProtection="0"/>
    <xf numFmtId="38" fontId="10" fillId="2" borderId="0" applyNumberFormat="0" applyBorder="0" applyAlignment="0" applyProtection="0"/>
    <xf numFmtId="0" fontId="12" fillId="0" borderId="1" applyNumberFormat="0" applyAlignment="0" applyProtection="0">
      <alignment horizontal="left" vertical="center"/>
    </xf>
    <xf numFmtId="0" fontId="12" fillId="0" borderId="2">
      <alignment horizontal="left" vertical="center"/>
    </xf>
    <xf numFmtId="10" fontId="10" fillId="3" borderId="3" applyNumberFormat="0" applyBorder="0" applyAlignment="0" applyProtection="0"/>
    <xf numFmtId="164" fontId="9" fillId="0" borderId="0"/>
    <xf numFmtId="0" fontId="9" fillId="0" borderId="0"/>
    <xf numFmtId="9" fontId="9" fillId="0" borderId="0" applyFont="0" applyFill="0" applyBorder="0" applyAlignment="0" applyProtection="0"/>
    <xf numFmtId="10" fontId="9" fillId="0" borderId="0" applyFont="0" applyFill="0" applyBorder="0" applyAlignment="0" applyProtection="0"/>
    <xf numFmtId="0" fontId="13" fillId="0" borderId="0" applyNumberFormat="0" applyFont="0" applyFill="0" applyBorder="0" applyAlignment="0" applyProtection="0">
      <alignment horizontal="left"/>
    </xf>
    <xf numFmtId="0" fontId="9" fillId="0" borderId="0"/>
    <xf numFmtId="43" fontId="9" fillId="0" borderId="0" applyFont="0" applyFill="0" applyBorder="0" applyAlignment="0" applyProtection="0"/>
    <xf numFmtId="0" fontId="8" fillId="0" borderId="0"/>
    <xf numFmtId="0" fontId="8" fillId="0" borderId="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44" fontId="9" fillId="0" borderId="0" applyFont="0" applyFill="0" applyBorder="0" applyAlignment="0" applyProtection="0"/>
    <xf numFmtId="0" fontId="9" fillId="0" borderId="0"/>
    <xf numFmtId="43" fontId="6"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0" fillId="0" borderId="0" applyNumberForma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1" fillId="0" borderId="0" applyNumberForma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473">
    <xf numFmtId="0" fontId="0" fillId="0" borderId="0" xfId="0"/>
    <xf numFmtId="0" fontId="16" fillId="0" borderId="0" xfId="0" applyFont="1"/>
    <xf numFmtId="0" fontId="18" fillId="6" borderId="6" xfId="0" applyFont="1" applyFill="1" applyBorder="1" applyAlignment="1">
      <alignment horizontal="center" vertical="center"/>
    </xf>
    <xf numFmtId="0" fontId="18" fillId="6" borderId="6" xfId="0" applyFont="1" applyFill="1" applyBorder="1" applyAlignment="1">
      <alignment horizontal="center" vertical="center" wrapText="1"/>
    </xf>
    <xf numFmtId="0" fontId="20" fillId="6" borderId="6" xfId="8" applyFont="1" applyFill="1" applyBorder="1" applyAlignment="1">
      <alignment horizontal="center" vertical="center"/>
    </xf>
    <xf numFmtId="5" fontId="21" fillId="0" borderId="5" xfId="2" applyNumberFormat="1" applyFont="1" applyFill="1" applyBorder="1" applyAlignment="1">
      <alignment horizontal="center" vertical="center"/>
    </xf>
    <xf numFmtId="2" fontId="21" fillId="0" borderId="5" xfId="8" applyNumberFormat="1" applyFont="1" applyBorder="1" applyAlignment="1">
      <alignment horizontal="center" vertical="center"/>
    </xf>
    <xf numFmtId="0" fontId="18" fillId="6" borderId="3" xfId="0" applyFont="1" applyFill="1" applyBorder="1" applyAlignment="1">
      <alignment horizontal="center" wrapText="1"/>
    </xf>
    <xf numFmtId="3" fontId="16" fillId="4" borderId="17" xfId="0" applyNumberFormat="1" applyFont="1" applyFill="1" applyBorder="1" applyAlignment="1">
      <alignment horizontal="center"/>
    </xf>
    <xf numFmtId="0" fontId="16" fillId="0" borderId="13" xfId="0" applyFont="1" applyBorder="1" applyAlignment="1">
      <alignment horizontal="center"/>
    </xf>
    <xf numFmtId="9" fontId="16" fillId="0" borderId="13" xfId="9" applyFont="1" applyFill="1" applyBorder="1" applyAlignment="1">
      <alignment horizontal="center"/>
    </xf>
    <xf numFmtId="0" fontId="16" fillId="0" borderId="14" xfId="0" applyFont="1" applyBorder="1" applyAlignment="1">
      <alignment horizontal="center"/>
    </xf>
    <xf numFmtId="9" fontId="16" fillId="0" borderId="14" xfId="9" applyFont="1" applyFill="1" applyBorder="1" applyAlignment="1">
      <alignment horizontal="center"/>
    </xf>
    <xf numFmtId="0" fontId="16" fillId="0" borderId="13" xfId="0" applyFont="1" applyBorder="1" applyAlignment="1">
      <alignment horizontal="center" vertical="center"/>
    </xf>
    <xf numFmtId="0" fontId="18" fillId="6" borderId="5" xfId="0" applyFont="1" applyFill="1" applyBorder="1" applyAlignment="1">
      <alignment horizontal="center" vertical="center" wrapText="1"/>
    </xf>
    <xf numFmtId="0" fontId="18" fillId="6" borderId="3" xfId="0" applyFont="1" applyFill="1" applyBorder="1" applyAlignment="1">
      <alignment horizontal="left"/>
    </xf>
    <xf numFmtId="10" fontId="16" fillId="4" borderId="3" xfId="9" applyNumberFormat="1" applyFont="1" applyFill="1" applyBorder="1" applyAlignment="1">
      <alignment horizontal="center"/>
    </xf>
    <xf numFmtId="166" fontId="16" fillId="4" borderId="13" xfId="0" applyNumberFormat="1" applyFont="1" applyFill="1" applyBorder="1" applyAlignment="1">
      <alignment horizontal="center" wrapText="1"/>
    </xf>
    <xf numFmtId="0" fontId="16" fillId="4" borderId="13" xfId="0" applyFont="1" applyFill="1" applyBorder="1" applyAlignment="1">
      <alignment horizontal="center"/>
    </xf>
    <xf numFmtId="0" fontId="16" fillId="4" borderId="14" xfId="0" applyFont="1" applyFill="1" applyBorder="1" applyAlignment="1">
      <alignment horizontal="center"/>
    </xf>
    <xf numFmtId="0" fontId="16" fillId="4" borderId="13" xfId="0" applyFont="1" applyFill="1" applyBorder="1" applyAlignment="1">
      <alignment horizontal="center" vertical="center"/>
    </xf>
    <xf numFmtId="1" fontId="16" fillId="4" borderId="17" xfId="0" applyNumberFormat="1" applyFont="1" applyFill="1" applyBorder="1" applyAlignment="1">
      <alignment horizontal="center"/>
    </xf>
    <xf numFmtId="169" fontId="16" fillId="4" borderId="17" xfId="0" applyNumberFormat="1" applyFont="1" applyFill="1" applyBorder="1"/>
    <xf numFmtId="1" fontId="16" fillId="4" borderId="17" xfId="0" applyNumberFormat="1" applyFont="1" applyFill="1" applyBorder="1" applyAlignment="1">
      <alignment horizontal="center" vertical="center"/>
    </xf>
    <xf numFmtId="9" fontId="16" fillId="0" borderId="17" xfId="9" applyFont="1" applyFill="1" applyBorder="1" applyAlignment="1">
      <alignment horizontal="center"/>
    </xf>
    <xf numFmtId="9" fontId="16" fillId="0" borderId="15" xfId="9" applyFont="1" applyFill="1" applyBorder="1" applyAlignment="1">
      <alignment horizontal="center"/>
    </xf>
    <xf numFmtId="5" fontId="16" fillId="4" borderId="3" xfId="2" applyNumberFormat="1" applyFont="1" applyFill="1" applyBorder="1" applyAlignment="1">
      <alignment horizontal="right"/>
    </xf>
    <xf numFmtId="9" fontId="17" fillId="0" borderId="5" xfId="0" applyNumberFormat="1" applyFont="1" applyBorder="1" applyAlignment="1">
      <alignment horizontal="center"/>
    </xf>
    <xf numFmtId="0" fontId="16" fillId="0" borderId="15" xfId="0" applyFont="1" applyBorder="1" applyAlignment="1">
      <alignment horizontal="center"/>
    </xf>
    <xf numFmtId="9" fontId="16" fillId="0" borderId="3" xfId="9" applyFont="1" applyFill="1" applyBorder="1"/>
    <xf numFmtId="169" fontId="17" fillId="4" borderId="5" xfId="0" applyNumberFormat="1" applyFont="1" applyFill="1" applyBorder="1"/>
    <xf numFmtId="3" fontId="16" fillId="4" borderId="28" xfId="0" applyNumberFormat="1" applyFont="1" applyFill="1" applyBorder="1" applyAlignment="1">
      <alignment horizontal="center"/>
    </xf>
    <xf numFmtId="169" fontId="16" fillId="4" borderId="28" xfId="0" applyNumberFormat="1" applyFont="1" applyFill="1" applyBorder="1"/>
    <xf numFmtId="0" fontId="16" fillId="0" borderId="0" xfId="12" applyFont="1"/>
    <xf numFmtId="0" fontId="18" fillId="6" borderId="6" xfId="12" applyFont="1" applyFill="1" applyBorder="1" applyAlignment="1">
      <alignment horizontal="center" vertical="center" wrapText="1"/>
    </xf>
    <xf numFmtId="0" fontId="17" fillId="7" borderId="17" xfId="12" applyFont="1" applyFill="1" applyBorder="1" applyAlignment="1">
      <alignment horizontal="center"/>
    </xf>
    <xf numFmtId="3" fontId="16" fillId="4" borderId="17" xfId="12" applyNumberFormat="1" applyFont="1" applyFill="1" applyBorder="1" applyAlignment="1">
      <alignment horizontal="center"/>
    </xf>
    <xf numFmtId="0" fontId="17" fillId="7" borderId="15" xfId="12" applyFont="1" applyFill="1" applyBorder="1" applyAlignment="1">
      <alignment horizontal="center"/>
    </xf>
    <xf numFmtId="3" fontId="16" fillId="4" borderId="24" xfId="12" applyNumberFormat="1" applyFont="1" applyFill="1" applyBorder="1" applyAlignment="1">
      <alignment horizontal="center"/>
    </xf>
    <xf numFmtId="0" fontId="17" fillId="7" borderId="28" xfId="12" applyFont="1" applyFill="1" applyBorder="1" applyAlignment="1">
      <alignment horizontal="center"/>
    </xf>
    <xf numFmtId="3" fontId="16" fillId="4" borderId="28" xfId="12" applyNumberFormat="1" applyFont="1" applyFill="1" applyBorder="1" applyAlignment="1">
      <alignment horizontal="center"/>
    </xf>
    <xf numFmtId="0" fontId="16" fillId="0" borderId="17" xfId="0" applyFont="1" applyBorder="1" applyAlignment="1">
      <alignment horizontal="center"/>
    </xf>
    <xf numFmtId="10" fontId="24" fillId="5" borderId="3" xfId="12" applyNumberFormat="1" applyFont="1" applyFill="1" applyBorder="1" applyAlignment="1">
      <alignment horizontal="center"/>
    </xf>
    <xf numFmtId="6" fontId="24" fillId="5" borderId="3" xfId="12" applyNumberFormat="1" applyFont="1" applyFill="1" applyBorder="1" applyAlignment="1">
      <alignment horizontal="center"/>
    </xf>
    <xf numFmtId="40" fontId="29" fillId="5" borderId="3" xfId="12" applyNumberFormat="1" applyFont="1" applyFill="1" applyBorder="1" applyAlignment="1">
      <alignment horizontal="center"/>
    </xf>
    <xf numFmtId="0" fontId="17" fillId="0" borderId="10" xfId="0" applyFont="1" applyBorder="1" applyAlignment="1">
      <alignment horizontal="right"/>
    </xf>
    <xf numFmtId="3" fontId="16" fillId="4" borderId="15" xfId="12" applyNumberFormat="1" applyFont="1" applyFill="1" applyBorder="1" applyAlignment="1">
      <alignment horizontal="center"/>
    </xf>
    <xf numFmtId="0" fontId="18" fillId="6" borderId="3" xfId="12" applyFont="1" applyFill="1" applyBorder="1" applyAlignment="1">
      <alignment horizontal="center" vertical="center" wrapText="1"/>
    </xf>
    <xf numFmtId="0" fontId="0" fillId="8" borderId="0" xfId="0" applyFill="1"/>
    <xf numFmtId="0" fontId="17" fillId="7" borderId="15" xfId="0" applyFont="1" applyFill="1" applyBorder="1" applyAlignment="1">
      <alignment horizontal="center"/>
    </xf>
    <xf numFmtId="3" fontId="16" fillId="8" borderId="17" xfId="0" applyNumberFormat="1" applyFont="1" applyFill="1" applyBorder="1" applyAlignment="1">
      <alignment horizontal="center"/>
    </xf>
    <xf numFmtId="0" fontId="17" fillId="7" borderId="13" xfId="0" applyFont="1" applyFill="1" applyBorder="1"/>
    <xf numFmtId="0" fontId="17" fillId="7" borderId="14" xfId="0" applyFont="1" applyFill="1" applyBorder="1"/>
    <xf numFmtId="0" fontId="18" fillId="6" borderId="5" xfId="0" applyFont="1" applyFill="1" applyBorder="1" applyAlignment="1">
      <alignment horizontal="center" wrapText="1"/>
    </xf>
    <xf numFmtId="0" fontId="0" fillId="7" borderId="3" xfId="0" applyFill="1" applyBorder="1" applyAlignment="1">
      <alignment horizontal="center"/>
    </xf>
    <xf numFmtId="0" fontId="30" fillId="8" borderId="0" xfId="27" applyFill="1"/>
    <xf numFmtId="0" fontId="0" fillId="8" borderId="0" xfId="0" applyFill="1" applyAlignment="1">
      <alignment wrapText="1"/>
    </xf>
    <xf numFmtId="0" fontId="0" fillId="8" borderId="0" xfId="0" applyFill="1" applyAlignment="1">
      <alignment vertical="top" wrapText="1"/>
    </xf>
    <xf numFmtId="0" fontId="16" fillId="8" borderId="0" xfId="0" applyFont="1" applyFill="1" applyAlignment="1">
      <alignment horizontal="left" wrapText="1"/>
    </xf>
    <xf numFmtId="0" fontId="17" fillId="8" borderId="0" xfId="0" applyFont="1" applyFill="1" applyAlignment="1">
      <alignment horizontal="left" wrapText="1"/>
    </xf>
    <xf numFmtId="0" fontId="16" fillId="8" borderId="0" xfId="0" applyFont="1" applyFill="1"/>
    <xf numFmtId="3" fontId="16" fillId="8" borderId="0" xfId="0" applyNumberFormat="1" applyFont="1" applyFill="1"/>
    <xf numFmtId="0" fontId="17" fillId="8" borderId="0" xfId="0" applyFont="1" applyFill="1" applyAlignment="1">
      <alignment horizontal="left"/>
    </xf>
    <xf numFmtId="0" fontId="9" fillId="8" borderId="0" xfId="0" applyFont="1" applyFill="1"/>
    <xf numFmtId="0" fontId="16" fillId="8" borderId="0" xfId="0" applyFont="1" applyFill="1" applyAlignment="1">
      <alignment horizontal="center" vertical="center"/>
    </xf>
    <xf numFmtId="0" fontId="16" fillId="8" borderId="0" xfId="0" applyFont="1" applyFill="1" applyAlignment="1">
      <alignment horizontal="center" vertical="center" wrapText="1"/>
    </xf>
    <xf numFmtId="0" fontId="16" fillId="8" borderId="0" xfId="0" applyFont="1" applyFill="1" applyAlignment="1">
      <alignment vertical="center" wrapText="1"/>
    </xf>
    <xf numFmtId="0" fontId="17" fillId="8" borderId="0" xfId="0" applyFont="1" applyFill="1"/>
    <xf numFmtId="0" fontId="11" fillId="8" borderId="0" xfId="0" applyFont="1" applyFill="1"/>
    <xf numFmtId="0" fontId="0" fillId="8" borderId="0" xfId="0" applyFill="1" applyAlignment="1">
      <alignment horizontal="center" vertical="center"/>
    </xf>
    <xf numFmtId="0" fontId="16" fillId="8" borderId="0" xfId="0" applyFont="1" applyFill="1" applyAlignment="1">
      <alignment vertical="center"/>
    </xf>
    <xf numFmtId="9" fontId="16" fillId="8" borderId="0" xfId="9" applyFont="1" applyFill="1" applyBorder="1" applyAlignment="1">
      <alignment horizontal="center"/>
    </xf>
    <xf numFmtId="0" fontId="16" fillId="8" borderId="0" xfId="0" applyFont="1" applyFill="1" applyAlignment="1">
      <alignment horizontal="center"/>
    </xf>
    <xf numFmtId="0" fontId="16" fillId="8" borderId="20" xfId="0" applyFont="1" applyFill="1" applyBorder="1" applyAlignment="1">
      <alignment vertical="center"/>
    </xf>
    <xf numFmtId="0" fontId="19" fillId="8" borderId="0" xfId="0" applyFont="1" applyFill="1"/>
    <xf numFmtId="0" fontId="19" fillId="8" borderId="0" xfId="0" applyFont="1" applyFill="1" applyAlignment="1">
      <alignment horizontal="center"/>
    </xf>
    <xf numFmtId="0" fontId="25" fillId="8" borderId="0" xfId="0" applyFont="1" applyFill="1"/>
    <xf numFmtId="0" fontId="22" fillId="8" borderId="0" xfId="0" applyFont="1" applyFill="1"/>
    <xf numFmtId="0" fontId="16" fillId="8" borderId="0" xfId="12" applyFont="1" applyFill="1"/>
    <xf numFmtId="3" fontId="16" fillId="8" borderId="0" xfId="12" applyNumberFormat="1" applyFont="1" applyFill="1" applyAlignment="1">
      <alignment horizontal="center"/>
    </xf>
    <xf numFmtId="0" fontId="17" fillId="8" borderId="0" xfId="12" applyFont="1" applyFill="1" applyAlignment="1">
      <alignment horizontal="center"/>
    </xf>
    <xf numFmtId="1" fontId="16" fillId="8" borderId="0" xfId="12" applyNumberFormat="1" applyFont="1" applyFill="1"/>
    <xf numFmtId="0" fontId="19" fillId="8" borderId="0" xfId="12" applyFont="1" applyFill="1" applyAlignment="1">
      <alignment horizontal="center"/>
    </xf>
    <xf numFmtId="0" fontId="16" fillId="8" borderId="0" xfId="12" quotePrefix="1" applyFont="1" applyFill="1"/>
    <xf numFmtId="14" fontId="15" fillId="8" borderId="0" xfId="0" applyNumberFormat="1" applyFont="1" applyFill="1"/>
    <xf numFmtId="0" fontId="22" fillId="8" borderId="0" xfId="12" applyFont="1" applyFill="1"/>
    <xf numFmtId="0" fontId="18" fillId="8" borderId="0" xfId="12" applyFont="1" applyFill="1"/>
    <xf numFmtId="0" fontId="23" fillId="8" borderId="0" xfId="24" applyFont="1" applyFill="1"/>
    <xf numFmtId="0" fontId="0" fillId="8" borderId="0" xfId="0" applyFill="1" applyAlignment="1">
      <alignment horizontal="center"/>
    </xf>
    <xf numFmtId="0" fontId="16" fillId="8" borderId="0" xfId="12" applyFont="1" applyFill="1" applyAlignment="1">
      <alignment horizontal="center"/>
    </xf>
    <xf numFmtId="0" fontId="12" fillId="8" borderId="0" xfId="4" applyFill="1" applyBorder="1" applyAlignment="1"/>
    <xf numFmtId="6" fontId="16" fillId="4" borderId="15" xfId="2" applyNumberFormat="1" applyFont="1" applyFill="1" applyBorder="1" applyAlignment="1">
      <alignment horizontal="right"/>
    </xf>
    <xf numFmtId="6" fontId="16" fillId="4" borderId="28" xfId="2" applyNumberFormat="1" applyFont="1" applyFill="1" applyBorder="1" applyAlignment="1">
      <alignment horizontal="right"/>
    </xf>
    <xf numFmtId="6" fontId="17" fillId="4" borderId="5" xfId="2" applyNumberFormat="1" applyFont="1" applyFill="1" applyBorder="1" applyAlignment="1">
      <alignment horizontal="right"/>
    </xf>
    <xf numFmtId="6" fontId="16" fillId="0" borderId="17" xfId="9" applyNumberFormat="1" applyFont="1" applyFill="1" applyBorder="1" applyAlignment="1"/>
    <xf numFmtId="6" fontId="16" fillId="4" borderId="17" xfId="2" applyNumberFormat="1" applyFont="1" applyFill="1" applyBorder="1" applyAlignment="1"/>
    <xf numFmtId="6" fontId="16" fillId="0" borderId="17" xfId="2" applyNumberFormat="1" applyFont="1" applyFill="1" applyBorder="1" applyAlignment="1"/>
    <xf numFmtId="6" fontId="16" fillId="0" borderId="28" xfId="9" applyNumberFormat="1" applyFont="1" applyFill="1" applyBorder="1" applyAlignment="1"/>
    <xf numFmtId="6" fontId="16" fillId="0" borderId="28" xfId="2" applyNumberFormat="1" applyFont="1" applyFill="1" applyBorder="1" applyAlignment="1"/>
    <xf numFmtId="6" fontId="16" fillId="4" borderId="28" xfId="2" applyNumberFormat="1" applyFont="1" applyFill="1" applyBorder="1" applyAlignment="1"/>
    <xf numFmtId="6" fontId="16" fillId="0" borderId="5" xfId="9" applyNumberFormat="1" applyFont="1" applyFill="1" applyBorder="1" applyAlignment="1">
      <alignment horizontal="right"/>
    </xf>
    <xf numFmtId="0" fontId="17" fillId="8" borderId="20" xfId="12" applyFont="1" applyFill="1" applyBorder="1" applyAlignment="1">
      <alignment wrapText="1"/>
    </xf>
    <xf numFmtId="0" fontId="17" fillId="8" borderId="25" xfId="12" applyFont="1" applyFill="1" applyBorder="1" applyAlignment="1">
      <alignment wrapText="1"/>
    </xf>
    <xf numFmtId="169" fontId="16" fillId="8" borderId="17" xfId="0" applyNumberFormat="1" applyFont="1" applyFill="1" applyBorder="1"/>
    <xf numFmtId="169" fontId="16" fillId="8" borderId="28" xfId="0" applyNumberFormat="1" applyFont="1" applyFill="1" applyBorder="1"/>
    <xf numFmtId="169" fontId="17" fillId="8" borderId="5" xfId="0" applyNumberFormat="1" applyFont="1" applyFill="1" applyBorder="1"/>
    <xf numFmtId="6" fontId="16" fillId="8" borderId="17" xfId="2" applyNumberFormat="1" applyFont="1" applyFill="1" applyBorder="1" applyAlignment="1"/>
    <xf numFmtId="6" fontId="16" fillId="8" borderId="28" xfId="2" applyNumberFormat="1" applyFont="1" applyFill="1" applyBorder="1" applyAlignment="1"/>
    <xf numFmtId="6" fontId="32" fillId="8" borderId="17" xfId="0" applyNumberFormat="1" applyFont="1" applyFill="1" applyBorder="1" applyAlignment="1">
      <alignment horizontal="right"/>
    </xf>
    <xf numFmtId="6" fontId="32" fillId="4" borderId="17" xfId="0" applyNumberFormat="1" applyFont="1" applyFill="1" applyBorder="1" applyAlignment="1">
      <alignment horizontal="right"/>
    </xf>
    <xf numFmtId="6" fontId="32" fillId="4" borderId="16" xfId="0" applyNumberFormat="1" applyFont="1" applyFill="1" applyBorder="1" applyAlignment="1">
      <alignment horizontal="right"/>
    </xf>
    <xf numFmtId="6" fontId="32" fillId="4" borderId="15" xfId="0" applyNumberFormat="1" applyFont="1" applyFill="1" applyBorder="1" applyAlignment="1">
      <alignment horizontal="right"/>
    </xf>
    <xf numFmtId="6" fontId="32" fillId="8" borderId="5" xfId="0" applyNumberFormat="1" applyFont="1" applyFill="1" applyBorder="1" applyAlignment="1">
      <alignment horizontal="right"/>
    </xf>
    <xf numFmtId="6" fontId="32" fillId="4" borderId="5" xfId="0" applyNumberFormat="1" applyFont="1" applyFill="1" applyBorder="1" applyAlignment="1">
      <alignment horizontal="right"/>
    </xf>
    <xf numFmtId="6" fontId="32" fillId="8" borderId="17" xfId="0" applyNumberFormat="1" applyFont="1" applyFill="1" applyBorder="1" applyAlignment="1">
      <alignment horizontal="right" vertical="center" wrapText="1"/>
    </xf>
    <xf numFmtId="6" fontId="32" fillId="4" borderId="17" xfId="0" applyNumberFormat="1" applyFont="1" applyFill="1" applyBorder="1" applyAlignment="1">
      <alignment horizontal="right" vertical="center" wrapText="1"/>
    </xf>
    <xf numFmtId="6" fontId="32" fillId="4" borderId="5" xfId="0" applyNumberFormat="1" applyFont="1" applyFill="1" applyBorder="1"/>
    <xf numFmtId="0" fontId="18" fillId="6" borderId="3" xfId="12" applyFont="1" applyFill="1" applyBorder="1" applyAlignment="1">
      <alignment horizontal="center" vertical="center"/>
    </xf>
    <xf numFmtId="0" fontId="27" fillId="8" borderId="0" xfId="12" applyFont="1" applyFill="1"/>
    <xf numFmtId="3" fontId="16" fillId="0" borderId="17" xfId="12" applyNumberFormat="1" applyFont="1" applyBorder="1" applyAlignment="1">
      <alignment horizontal="center"/>
    </xf>
    <xf numFmtId="3" fontId="16" fillId="0" borderId="28" xfId="12" applyNumberFormat="1" applyFont="1" applyBorder="1" applyAlignment="1">
      <alignment horizontal="center"/>
    </xf>
    <xf numFmtId="0" fontId="17" fillId="8" borderId="0" xfId="12" applyFont="1" applyFill="1"/>
    <xf numFmtId="165" fontId="17" fillId="8" borderId="0" xfId="2" applyNumberFormat="1" applyFont="1" applyFill="1"/>
    <xf numFmtId="0" fontId="16" fillId="8" borderId="0" xfId="12" applyFont="1" applyFill="1" applyAlignment="1">
      <alignment horizontal="right"/>
    </xf>
    <xf numFmtId="0" fontId="17" fillId="8" borderId="0" xfId="12" applyFont="1" applyFill="1" applyAlignment="1">
      <alignment horizontal="right"/>
    </xf>
    <xf numFmtId="3" fontId="16" fillId="0" borderId="15" xfId="12" applyNumberFormat="1" applyFont="1" applyBorder="1" applyAlignment="1">
      <alignment horizontal="center"/>
    </xf>
    <xf numFmtId="0" fontId="16" fillId="8" borderId="0" xfId="12" applyFont="1" applyFill="1" applyAlignment="1">
      <alignment horizontal="center" vertical="center"/>
    </xf>
    <xf numFmtId="0" fontId="16" fillId="8" borderId="0" xfId="12" applyFont="1" applyFill="1" applyAlignment="1">
      <alignment vertical="center"/>
    </xf>
    <xf numFmtId="0" fontId="17" fillId="8" borderId="0" xfId="12" applyFont="1" applyFill="1" applyAlignment="1">
      <alignment horizontal="center" vertical="center"/>
    </xf>
    <xf numFmtId="9" fontId="16" fillId="8" borderId="0" xfId="12" applyNumberFormat="1" applyFont="1" applyFill="1" applyAlignment="1">
      <alignment horizontal="center" vertical="center"/>
    </xf>
    <xf numFmtId="0" fontId="17" fillId="8" borderId="0" xfId="12" applyFont="1" applyFill="1" applyAlignment="1">
      <alignment horizontal="left" wrapText="1"/>
    </xf>
    <xf numFmtId="0" fontId="17" fillId="8" borderId="0" xfId="12" applyFont="1" applyFill="1" applyAlignment="1">
      <alignment horizontal="center" vertical="center" wrapText="1"/>
    </xf>
    <xf numFmtId="0" fontId="17" fillId="8" borderId="0" xfId="12" applyFont="1" applyFill="1" applyAlignment="1">
      <alignment wrapText="1"/>
    </xf>
    <xf numFmtId="0" fontId="17" fillId="7" borderId="3" xfId="12" applyFont="1" applyFill="1" applyBorder="1"/>
    <xf numFmtId="2" fontId="17" fillId="7" borderId="3" xfId="12" applyNumberFormat="1" applyFont="1" applyFill="1" applyBorder="1"/>
    <xf numFmtId="0" fontId="17" fillId="8" borderId="0" xfId="12" applyFont="1" applyFill="1" applyAlignment="1">
      <alignment horizontal="left"/>
    </xf>
    <xf numFmtId="2" fontId="17" fillId="6" borderId="3" xfId="12" applyNumberFormat="1" applyFont="1" applyFill="1" applyBorder="1"/>
    <xf numFmtId="0" fontId="26" fillId="8" borderId="0" xfId="12" applyFont="1" applyFill="1"/>
    <xf numFmtId="0" fontId="16" fillId="8" borderId="0" xfId="2" applyNumberFormat="1" applyFont="1" applyFill="1" applyAlignment="1">
      <alignment horizontal="right"/>
    </xf>
    <xf numFmtId="0" fontId="17" fillId="8" borderId="0" xfId="12" applyFont="1" applyFill="1" applyAlignment="1">
      <alignment horizontal="left" vertical="center"/>
    </xf>
    <xf numFmtId="3" fontId="16" fillId="8" borderId="0" xfId="2" applyNumberFormat="1" applyFont="1" applyFill="1" applyAlignment="1">
      <alignment horizontal="center"/>
    </xf>
    <xf numFmtId="169" fontId="34" fillId="8" borderId="0" xfId="12" applyNumberFormat="1" applyFont="1" applyFill="1"/>
    <xf numFmtId="0" fontId="17" fillId="7" borderId="17" xfId="0" applyFont="1" applyFill="1" applyBorder="1" applyAlignment="1">
      <alignment horizontal="center"/>
    </xf>
    <xf numFmtId="0" fontId="17" fillId="7" borderId="28" xfId="0" applyFont="1" applyFill="1" applyBorder="1" applyAlignment="1">
      <alignment horizontal="center"/>
    </xf>
    <xf numFmtId="0" fontId="17" fillId="7" borderId="5" xfId="0" applyFont="1" applyFill="1" applyBorder="1" applyAlignment="1">
      <alignment horizontal="center"/>
    </xf>
    <xf numFmtId="0" fontId="17" fillId="7" borderId="16" xfId="0" applyFont="1" applyFill="1" applyBorder="1"/>
    <xf numFmtId="0" fontId="17" fillId="7" borderId="3" xfId="0" applyFont="1" applyFill="1" applyBorder="1" applyAlignment="1">
      <alignment horizontal="left"/>
    </xf>
    <xf numFmtId="0" fontId="17" fillId="7" borderId="13" xfId="0" applyFont="1" applyFill="1" applyBorder="1" applyAlignment="1">
      <alignment horizontal="left"/>
    </xf>
    <xf numFmtId="0" fontId="17" fillId="7" borderId="15" xfId="0" applyFont="1" applyFill="1" applyBorder="1" applyAlignment="1">
      <alignment horizontal="left"/>
    </xf>
    <xf numFmtId="0" fontId="17" fillId="7" borderId="15" xfId="0" applyFont="1" applyFill="1" applyBorder="1" applyAlignment="1">
      <alignment horizontal="left" wrapText="1"/>
    </xf>
    <xf numFmtId="0" fontId="17" fillId="7" borderId="14" xfId="0" applyFont="1" applyFill="1" applyBorder="1" applyAlignment="1">
      <alignment horizontal="left" wrapText="1"/>
    </xf>
    <xf numFmtId="0" fontId="17" fillId="7" borderId="13" xfId="0" applyFont="1" applyFill="1" applyBorder="1" applyAlignment="1">
      <alignment horizontal="left" vertical="center" wrapText="1"/>
    </xf>
    <xf numFmtId="0" fontId="17" fillId="7" borderId="14" xfId="0" applyFont="1" applyFill="1" applyBorder="1" applyAlignment="1">
      <alignment horizontal="left" vertical="center" wrapText="1"/>
    </xf>
    <xf numFmtId="6" fontId="24" fillId="5" borderId="3" xfId="12" applyNumberFormat="1" applyFont="1" applyFill="1" applyBorder="1" applyAlignment="1">
      <alignment horizontal="center" vertical="center" wrapText="1"/>
    </xf>
    <xf numFmtId="6" fontId="16" fillId="4" borderId="17" xfId="0" applyNumberFormat="1" applyFont="1" applyFill="1" applyBorder="1"/>
    <xf numFmtId="6" fontId="16" fillId="4" borderId="28" xfId="0" applyNumberFormat="1" applyFont="1" applyFill="1" applyBorder="1"/>
    <xf numFmtId="6" fontId="17" fillId="4" borderId="5" xfId="0" applyNumberFormat="1" applyFont="1" applyFill="1" applyBorder="1"/>
    <xf numFmtId="6" fontId="32" fillId="8" borderId="28" xfId="0" applyNumberFormat="1" applyFont="1" applyFill="1" applyBorder="1" applyAlignment="1">
      <alignment horizontal="right" vertical="center" wrapText="1"/>
    </xf>
    <xf numFmtId="6" fontId="32" fillId="4" borderId="28" xfId="0" applyNumberFormat="1" applyFont="1" applyFill="1" applyBorder="1" applyAlignment="1">
      <alignment horizontal="right" vertical="center" wrapText="1"/>
    </xf>
    <xf numFmtId="0" fontId="29" fillId="8" borderId="0" xfId="12" applyFont="1" applyFill="1"/>
    <xf numFmtId="6" fontId="17" fillId="0" borderId="17" xfId="2" applyNumberFormat="1" applyFont="1" applyBorder="1"/>
    <xf numFmtId="6" fontId="17" fillId="4" borderId="15" xfId="2" applyNumberFormat="1" applyFont="1" applyFill="1" applyBorder="1"/>
    <xf numFmtId="6" fontId="17" fillId="0" borderId="28" xfId="2" applyNumberFormat="1" applyFont="1" applyBorder="1"/>
    <xf numFmtId="6" fontId="17" fillId="4" borderId="28" xfId="2" applyNumberFormat="1" applyFont="1" applyFill="1" applyBorder="1"/>
    <xf numFmtId="6" fontId="16" fillId="8" borderId="17" xfId="0" applyNumberFormat="1" applyFont="1" applyFill="1" applyBorder="1" applyAlignment="1">
      <alignment horizontal="right"/>
    </xf>
    <xf numFmtId="6" fontId="16" fillId="4" borderId="17" xfId="0" applyNumberFormat="1" applyFont="1" applyFill="1" applyBorder="1" applyAlignment="1">
      <alignment horizontal="right"/>
    </xf>
    <xf numFmtId="6" fontId="0" fillId="8" borderId="0" xfId="0" applyNumberFormat="1" applyFill="1"/>
    <xf numFmtId="0" fontId="18" fillId="6" borderId="7" xfId="0" applyFont="1" applyFill="1" applyBorder="1" applyAlignment="1">
      <alignment horizontal="center" vertical="center"/>
    </xf>
    <xf numFmtId="0" fontId="18" fillId="6" borderId="7" xfId="0" applyFont="1" applyFill="1" applyBorder="1" applyAlignment="1">
      <alignment horizontal="center" vertical="center" wrapText="1"/>
    </xf>
    <xf numFmtId="0" fontId="18" fillId="6" borderId="3" xfId="0" applyFont="1" applyFill="1" applyBorder="1" applyAlignment="1">
      <alignment horizontal="center" vertical="center" wrapText="1"/>
    </xf>
    <xf numFmtId="5" fontId="16" fillId="0" borderId="17" xfId="0" applyNumberFormat="1" applyFont="1" applyBorder="1" applyAlignment="1">
      <alignment horizontal="right"/>
    </xf>
    <xf numFmtId="5" fontId="16" fillId="0" borderId="14" xfId="0" applyNumberFormat="1" applyFont="1" applyBorder="1" applyAlignment="1">
      <alignment horizontal="right"/>
    </xf>
    <xf numFmtId="4" fontId="16" fillId="8" borderId="17" xfId="0" applyNumberFormat="1" applyFont="1" applyFill="1" applyBorder="1" applyAlignment="1">
      <alignment horizontal="center"/>
    </xf>
    <xf numFmtId="4" fontId="16" fillId="4" borderId="17" xfId="0" applyNumberFormat="1" applyFont="1" applyFill="1" applyBorder="1" applyAlignment="1">
      <alignment horizontal="center"/>
    </xf>
    <xf numFmtId="0" fontId="18" fillId="6" borderId="31" xfId="0" applyFont="1" applyFill="1" applyBorder="1" applyAlignment="1">
      <alignment horizontal="center" vertical="center"/>
    </xf>
    <xf numFmtId="0" fontId="17" fillId="7" borderId="14" xfId="0" applyFont="1" applyFill="1" applyBorder="1" applyAlignment="1">
      <alignment horizontal="center"/>
    </xf>
    <xf numFmtId="5" fontId="16" fillId="4" borderId="17" xfId="0" applyNumberFormat="1" applyFont="1" applyFill="1" applyBorder="1" applyAlignment="1">
      <alignment horizontal="right"/>
    </xf>
    <xf numFmtId="5" fontId="16" fillId="4" borderId="14" xfId="0" applyNumberFormat="1" applyFont="1" applyFill="1" applyBorder="1" applyAlignment="1">
      <alignment horizontal="right"/>
    </xf>
    <xf numFmtId="6" fontId="11" fillId="4" borderId="5" xfId="0" applyNumberFormat="1" applyFont="1" applyFill="1" applyBorder="1" applyAlignment="1">
      <alignment horizontal="right"/>
    </xf>
    <xf numFmtId="6" fontId="11" fillId="8" borderId="5" xfId="0" applyNumberFormat="1" applyFont="1" applyFill="1" applyBorder="1" applyAlignment="1">
      <alignment horizontal="right"/>
    </xf>
    <xf numFmtId="4" fontId="16" fillId="8" borderId="28" xfId="0" applyNumberFormat="1" applyFont="1" applyFill="1" applyBorder="1" applyAlignment="1">
      <alignment horizontal="center"/>
    </xf>
    <xf numFmtId="4" fontId="16" fillId="4" borderId="28" xfId="0" applyNumberFormat="1" applyFont="1" applyFill="1" applyBorder="1" applyAlignment="1">
      <alignment horizontal="center"/>
    </xf>
    <xf numFmtId="6" fontId="16" fillId="4" borderId="28" xfId="0" applyNumberFormat="1" applyFont="1" applyFill="1" applyBorder="1" applyAlignment="1">
      <alignment horizontal="right"/>
    </xf>
    <xf numFmtId="6" fontId="16" fillId="8" borderId="28" xfId="0" applyNumberFormat="1" applyFont="1" applyFill="1" applyBorder="1" applyAlignment="1">
      <alignment horizontal="right"/>
    </xf>
    <xf numFmtId="0" fontId="11" fillId="8" borderId="3" xfId="0" applyFont="1" applyFill="1" applyBorder="1" applyAlignment="1">
      <alignment horizontal="center" vertical="center"/>
    </xf>
    <xf numFmtId="0" fontId="11" fillId="4" borderId="3" xfId="0" applyFont="1" applyFill="1" applyBorder="1" applyAlignment="1">
      <alignment horizontal="center" vertical="center"/>
    </xf>
    <xf numFmtId="167" fontId="11" fillId="8" borderId="3" xfId="0" applyNumberFormat="1" applyFont="1" applyFill="1" applyBorder="1" applyAlignment="1">
      <alignment horizontal="center" vertical="center"/>
    </xf>
    <xf numFmtId="0" fontId="16" fillId="8" borderId="0" xfId="2" applyNumberFormat="1" applyFont="1" applyFill="1" applyAlignment="1">
      <alignment horizontal="left"/>
    </xf>
    <xf numFmtId="2" fontId="17" fillId="8" borderId="17" xfId="0" applyNumberFormat="1" applyFont="1" applyFill="1" applyBorder="1" applyAlignment="1">
      <alignment horizontal="center"/>
    </xf>
    <xf numFmtId="0" fontId="16" fillId="0" borderId="17" xfId="0" applyFont="1" applyBorder="1" applyAlignment="1">
      <alignment horizontal="center" vertical="center"/>
    </xf>
    <xf numFmtId="0" fontId="16" fillId="4" borderId="17" xfId="0" applyFont="1" applyFill="1" applyBorder="1" applyAlignment="1">
      <alignment horizontal="center" vertical="center"/>
    </xf>
    <xf numFmtId="0" fontId="16" fillId="4" borderId="17" xfId="0" applyFont="1" applyFill="1" applyBorder="1" applyAlignment="1">
      <alignment horizontal="center"/>
    </xf>
    <xf numFmtId="0" fontId="18" fillId="6" borderId="32" xfId="0" applyFont="1" applyFill="1" applyBorder="1" applyAlignment="1">
      <alignment horizontal="center" vertical="center"/>
    </xf>
    <xf numFmtId="0" fontId="10" fillId="8" borderId="0" xfId="0" applyFont="1" applyFill="1"/>
    <xf numFmtId="8" fontId="10" fillId="8" borderId="0" xfId="0" applyNumberFormat="1" applyFont="1" applyFill="1" applyAlignment="1">
      <alignment horizontal="center"/>
    </xf>
    <xf numFmtId="0" fontId="14" fillId="8" borderId="0" xfId="0" applyFont="1" applyFill="1"/>
    <xf numFmtId="3" fontId="16" fillId="8" borderId="28" xfId="0" applyNumberFormat="1" applyFont="1" applyFill="1" applyBorder="1" applyAlignment="1">
      <alignment horizontal="center"/>
    </xf>
    <xf numFmtId="6" fontId="17" fillId="4" borderId="17" xfId="2" applyNumberFormat="1" applyFont="1" applyFill="1" applyBorder="1"/>
    <xf numFmtId="0" fontId="18" fillId="6" borderId="7"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6" xfId="0" applyFont="1" applyFill="1" applyBorder="1" applyAlignment="1">
      <alignment horizontal="center" vertical="center"/>
    </xf>
    <xf numFmtId="9" fontId="16" fillId="0" borderId="28" xfId="9" applyFont="1" applyFill="1" applyBorder="1" applyAlignment="1">
      <alignment horizontal="center"/>
    </xf>
    <xf numFmtId="2" fontId="16" fillId="4" borderId="5" xfId="0" applyNumberFormat="1" applyFont="1" applyFill="1" applyBorder="1" applyAlignment="1">
      <alignment horizontal="center" vertical="center" wrapText="1"/>
    </xf>
    <xf numFmtId="3" fontId="16" fillId="4" borderId="33" xfId="12" applyNumberFormat="1" applyFont="1" applyFill="1" applyBorder="1" applyAlignment="1">
      <alignment horizontal="center"/>
    </xf>
    <xf numFmtId="0" fontId="9" fillId="0" borderId="0" xfId="0" applyFont="1" applyFill="1" applyAlignment="1">
      <alignment horizontal="center" wrapText="1"/>
    </xf>
    <xf numFmtId="0" fontId="36" fillId="7" borderId="3" xfId="0" applyFont="1" applyFill="1" applyBorder="1" applyAlignment="1">
      <alignment horizontal="center" vertical="center"/>
    </xf>
    <xf numFmtId="0" fontId="37" fillId="0" borderId="3" xfId="0" applyFont="1" applyBorder="1" applyAlignment="1">
      <alignment horizontal="center" vertical="center"/>
    </xf>
    <xf numFmtId="0" fontId="37" fillId="4" borderId="3" xfId="0" applyFont="1" applyFill="1" applyBorder="1" applyAlignment="1">
      <alignment horizontal="center" vertical="center"/>
    </xf>
    <xf numFmtId="0" fontId="37" fillId="4" borderId="3" xfId="0" applyFont="1" applyFill="1" applyBorder="1" applyAlignment="1">
      <alignment horizontal="center" vertical="center" wrapText="1"/>
    </xf>
    <xf numFmtId="2" fontId="37" fillId="0" borderId="5" xfId="0" applyNumberFormat="1" applyFont="1" applyBorder="1" applyAlignment="1">
      <alignment horizontal="center" vertical="center"/>
    </xf>
    <xf numFmtId="0" fontId="37" fillId="4" borderId="5" xfId="0" applyFont="1" applyFill="1" applyBorder="1" applyAlignment="1">
      <alignment horizontal="center" vertical="center"/>
    </xf>
    <xf numFmtId="0" fontId="37" fillId="0" borderId="5" xfId="0" applyFont="1" applyBorder="1" applyAlignment="1">
      <alignment horizontal="center" vertical="center"/>
    </xf>
    <xf numFmtId="0" fontId="38" fillId="7" borderId="3" xfId="0" applyFont="1" applyFill="1" applyBorder="1" applyAlignment="1">
      <alignment wrapText="1"/>
    </xf>
    <xf numFmtId="0" fontId="35" fillId="6" borderId="5" xfId="0" applyFont="1" applyFill="1" applyBorder="1" applyAlignment="1">
      <alignment horizontal="center" vertical="center" wrapText="1"/>
    </xf>
    <xf numFmtId="6" fontId="32" fillId="8" borderId="28" xfId="0" applyNumberFormat="1" applyFont="1" applyFill="1" applyBorder="1" applyAlignment="1">
      <alignment horizontal="right"/>
    </xf>
    <xf numFmtId="6" fontId="32" fillId="4" borderId="28" xfId="0" applyNumberFormat="1" applyFont="1" applyFill="1" applyBorder="1" applyAlignment="1">
      <alignment horizontal="right"/>
    </xf>
    <xf numFmtId="6" fontId="32" fillId="8" borderId="5" xfId="0" applyNumberFormat="1" applyFont="1" applyFill="1" applyBorder="1"/>
    <xf numFmtId="0" fontId="36" fillId="7" borderId="5" xfId="0" applyFont="1" applyFill="1" applyBorder="1" applyAlignment="1">
      <alignment horizontal="center" vertical="center"/>
    </xf>
    <xf numFmtId="0" fontId="37" fillId="4" borderId="5" xfId="0" applyFont="1" applyFill="1" applyBorder="1" applyAlignment="1">
      <alignment horizontal="center" vertical="center" wrapText="1"/>
    </xf>
    <xf numFmtId="0" fontId="18" fillId="6" borderId="3" xfId="0" applyFont="1" applyFill="1" applyBorder="1" applyAlignment="1">
      <alignment horizontal="center"/>
    </xf>
    <xf numFmtId="0" fontId="18" fillId="6" borderId="3" xfId="0" applyFont="1" applyFill="1" applyBorder="1" applyAlignment="1">
      <alignment horizontal="center" vertical="center" wrapText="1"/>
    </xf>
    <xf numFmtId="0" fontId="18" fillId="6" borderId="3" xfId="12" applyFont="1" applyFill="1" applyBorder="1" applyAlignment="1">
      <alignment horizontal="center"/>
    </xf>
    <xf numFmtId="0" fontId="18" fillId="6" borderId="3" xfId="12" applyFont="1" applyFill="1" applyBorder="1" applyAlignment="1">
      <alignment horizontal="center" vertical="center" wrapText="1"/>
    </xf>
    <xf numFmtId="0" fontId="18" fillId="6" borderId="3" xfId="12" applyFont="1" applyFill="1" applyBorder="1" applyAlignment="1">
      <alignment horizontal="center" vertical="center" wrapText="1"/>
    </xf>
    <xf numFmtId="0" fontId="17" fillId="6" borderId="5" xfId="12" applyFont="1" applyFill="1" applyBorder="1" applyAlignment="1">
      <alignment horizontal="center" vertical="center" wrapText="1"/>
    </xf>
    <xf numFmtId="171" fontId="16" fillId="8" borderId="3" xfId="2" applyNumberFormat="1" applyFont="1" applyFill="1" applyBorder="1" applyAlignment="1">
      <alignment horizontal="right" vertical="center"/>
    </xf>
    <xf numFmtId="171" fontId="16" fillId="8" borderId="6" xfId="2" applyNumberFormat="1" applyFont="1" applyFill="1" applyBorder="1" applyAlignment="1">
      <alignment horizontal="right" vertical="center"/>
    </xf>
    <xf numFmtId="171" fontId="16" fillId="8" borderId="5" xfId="2" applyNumberFormat="1" applyFont="1" applyFill="1" applyBorder="1" applyAlignment="1">
      <alignment horizontal="right" vertical="center"/>
    </xf>
    <xf numFmtId="0" fontId="17" fillId="7" borderId="12" xfId="0" applyFont="1" applyFill="1" applyBorder="1" applyAlignment="1">
      <alignment horizontal="center"/>
    </xf>
    <xf numFmtId="0" fontId="24" fillId="7" borderId="3" xfId="12" applyFont="1" applyFill="1" applyBorder="1" applyAlignment="1">
      <alignment horizontal="center" vertical="center" wrapText="1"/>
    </xf>
    <xf numFmtId="6" fontId="24" fillId="5" borderId="3" xfId="12" applyNumberFormat="1"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6" xfId="0" applyFont="1" applyFill="1" applyBorder="1" applyAlignment="1">
      <alignment horizontal="center" vertical="center" wrapText="1"/>
    </xf>
    <xf numFmtId="6" fontId="16" fillId="8" borderId="17" xfId="2" applyNumberFormat="1" applyFont="1" applyFill="1" applyBorder="1" applyAlignment="1">
      <alignment horizontal="right"/>
    </xf>
    <xf numFmtId="6" fontId="16" fillId="8" borderId="28" xfId="2" applyNumberFormat="1" applyFont="1" applyFill="1" applyBorder="1" applyAlignment="1">
      <alignment horizontal="right"/>
    </xf>
    <xf numFmtId="6" fontId="17" fillId="8" borderId="5" xfId="2" applyNumberFormat="1" applyFont="1" applyFill="1" applyBorder="1" applyAlignment="1">
      <alignment horizontal="right"/>
    </xf>
    <xf numFmtId="0" fontId="17" fillId="7" borderId="22" xfId="12" applyFont="1" applyFill="1" applyBorder="1" applyAlignment="1">
      <alignment horizontal="right"/>
    </xf>
    <xf numFmtId="0" fontId="17" fillId="7" borderId="5" xfId="0" applyFont="1" applyFill="1" applyBorder="1" applyAlignment="1">
      <alignment horizontal="right"/>
    </xf>
    <xf numFmtId="6" fontId="33" fillId="7" borderId="5" xfId="0" applyNumberFormat="1" applyFont="1" applyFill="1" applyBorder="1" applyAlignment="1">
      <alignment horizontal="right"/>
    </xf>
    <xf numFmtId="0" fontId="18" fillId="6" borderId="5" xfId="0" applyFont="1" applyFill="1" applyBorder="1" applyAlignment="1">
      <alignment horizontal="center" vertical="center"/>
    </xf>
    <xf numFmtId="5" fontId="21" fillId="4" borderId="5" xfId="2" applyNumberFormat="1" applyFont="1" applyFill="1" applyBorder="1" applyAlignment="1">
      <alignment horizontal="center" vertical="center"/>
    </xf>
    <xf numFmtId="170" fontId="16" fillId="5" borderId="3" xfId="35" applyNumberFormat="1" applyFont="1" applyFill="1" applyBorder="1" applyAlignment="1">
      <alignment horizontal="right" vertical="center" wrapText="1"/>
    </xf>
    <xf numFmtId="6" fontId="16" fillId="8" borderId="17" xfId="0" applyNumberFormat="1" applyFont="1" applyFill="1" applyBorder="1"/>
    <xf numFmtId="6" fontId="16" fillId="8" borderId="28" xfId="0" applyNumberFormat="1" applyFont="1" applyFill="1" applyBorder="1"/>
    <xf numFmtId="6" fontId="17" fillId="8" borderId="5" xfId="0" applyNumberFormat="1" applyFont="1" applyFill="1" applyBorder="1"/>
    <xf numFmtId="3" fontId="16" fillId="8" borderId="15" xfId="0" applyNumberFormat="1" applyFont="1" applyFill="1" applyBorder="1" applyAlignment="1">
      <alignment horizontal="center"/>
    </xf>
    <xf numFmtId="1" fontId="16" fillId="8" borderId="17" xfId="0" applyNumberFormat="1" applyFont="1" applyFill="1" applyBorder="1" applyAlignment="1">
      <alignment horizontal="center"/>
    </xf>
    <xf numFmtId="1" fontId="16" fillId="8" borderId="17" xfId="0" applyNumberFormat="1" applyFont="1" applyFill="1" applyBorder="1" applyAlignment="1">
      <alignment horizontal="center" vertical="center"/>
    </xf>
    <xf numFmtId="169" fontId="16" fillId="8" borderId="5" xfId="0" applyNumberFormat="1" applyFont="1" applyFill="1" applyBorder="1"/>
    <xf numFmtId="0" fontId="17" fillId="7" borderId="13" xfId="0" applyFont="1" applyFill="1" applyBorder="1" applyAlignment="1">
      <alignment horizontal="center"/>
    </xf>
    <xf numFmtId="0" fontId="17" fillId="7" borderId="14" xfId="0" applyFont="1" applyFill="1" applyBorder="1" applyAlignment="1">
      <alignment horizontal="center" vertical="center" wrapText="1"/>
    </xf>
    <xf numFmtId="0" fontId="17" fillId="7" borderId="5" xfId="0" applyFont="1" applyFill="1" applyBorder="1" applyAlignment="1">
      <alignment horizontal="right" vertical="center" wrapText="1"/>
    </xf>
    <xf numFmtId="0" fontId="41" fillId="8" borderId="0" xfId="0" applyFont="1" applyFill="1"/>
    <xf numFmtId="6" fontId="16" fillId="8" borderId="5" xfId="2" applyNumberFormat="1" applyFont="1" applyFill="1" applyBorder="1" applyAlignment="1"/>
    <xf numFmtId="6" fontId="16" fillId="4" borderId="5" xfId="2" applyNumberFormat="1" applyFont="1" applyFill="1" applyBorder="1"/>
    <xf numFmtId="169" fontId="16" fillId="4" borderId="5" xfId="0" applyNumberFormat="1" applyFont="1" applyFill="1" applyBorder="1"/>
    <xf numFmtId="1" fontId="16" fillId="8" borderId="28" xfId="0" applyNumberFormat="1" applyFont="1" applyFill="1" applyBorder="1" applyAlignment="1">
      <alignment horizontal="center"/>
    </xf>
    <xf numFmtId="0" fontId="40" fillId="8" borderId="0" xfId="0" applyFont="1" applyFill="1"/>
    <xf numFmtId="6" fontId="16" fillId="4" borderId="15" xfId="2" applyNumberFormat="1" applyFont="1" applyFill="1" applyBorder="1" applyAlignment="1"/>
    <xf numFmtId="6" fontId="16" fillId="4" borderId="5" xfId="9" applyNumberFormat="1" applyFont="1" applyFill="1" applyBorder="1" applyAlignment="1">
      <alignment horizontal="right"/>
    </xf>
    <xf numFmtId="169" fontId="16" fillId="0" borderId="3" xfId="2" applyNumberFormat="1" applyFont="1" applyFill="1" applyBorder="1" applyAlignment="1">
      <alignment horizontal="right" vertical="center"/>
    </xf>
    <xf numFmtId="169" fontId="16" fillId="8" borderId="3" xfId="2" applyNumberFormat="1" applyFont="1" applyFill="1" applyBorder="1" applyAlignment="1">
      <alignment horizontal="right" vertical="center"/>
    </xf>
    <xf numFmtId="9" fontId="16" fillId="0" borderId="17" xfId="9" applyFont="1" applyBorder="1"/>
    <xf numFmtId="9" fontId="16" fillId="0" borderId="28" xfId="9" applyFont="1" applyBorder="1"/>
    <xf numFmtId="9" fontId="16" fillId="4" borderId="17" xfId="9" applyFont="1" applyFill="1" applyBorder="1"/>
    <xf numFmtId="9" fontId="16" fillId="4" borderId="28" xfId="9" applyFont="1" applyFill="1" applyBorder="1"/>
    <xf numFmtId="0" fontId="18" fillId="6" borderId="8" xfId="12" applyFont="1" applyFill="1" applyBorder="1" applyAlignment="1">
      <alignment horizontal="center" vertical="center" wrapText="1"/>
    </xf>
    <xf numFmtId="9" fontId="0" fillId="8" borderId="0" xfId="0" applyNumberFormat="1" applyFill="1"/>
    <xf numFmtId="0" fontId="18" fillId="6" borderId="8" xfId="12" applyFont="1" applyFill="1" applyBorder="1" applyAlignment="1">
      <alignment horizontal="center" vertical="center" wrapText="1"/>
    </xf>
    <xf numFmtId="169" fontId="16" fillId="4" borderId="3" xfId="2" applyNumberFormat="1" applyFont="1" applyFill="1" applyBorder="1" applyAlignment="1">
      <alignment horizontal="right" vertical="center"/>
    </xf>
    <xf numFmtId="171" fontId="16" fillId="4" borderId="3" xfId="2" applyNumberFormat="1" applyFont="1" applyFill="1" applyBorder="1" applyAlignment="1">
      <alignment horizontal="right" vertical="center"/>
    </xf>
    <xf numFmtId="171" fontId="16" fillId="4" borderId="6" xfId="2" applyNumberFormat="1" applyFont="1" applyFill="1" applyBorder="1" applyAlignment="1">
      <alignment horizontal="right" vertical="center"/>
    </xf>
    <xf numFmtId="0" fontId="17" fillId="0" borderId="22" xfId="0" applyFont="1" applyBorder="1" applyAlignment="1">
      <alignment horizontal="right"/>
    </xf>
    <xf numFmtId="171" fontId="16" fillId="8" borderId="5" xfId="0" applyNumberFormat="1" applyFont="1" applyFill="1" applyBorder="1"/>
    <xf numFmtId="0" fontId="17" fillId="7" borderId="7" xfId="12" applyFont="1" applyFill="1" applyBorder="1" applyAlignment="1">
      <alignment horizontal="center"/>
    </xf>
    <xf numFmtId="9" fontId="16" fillId="8" borderId="3" xfId="9" applyFont="1" applyFill="1" applyBorder="1" applyAlignment="1">
      <alignment horizontal="right" vertical="center"/>
    </xf>
    <xf numFmtId="9" fontId="16" fillId="8" borderId="5" xfId="9" applyFont="1" applyFill="1" applyBorder="1"/>
    <xf numFmtId="168" fontId="16" fillId="0" borderId="17" xfId="9" applyNumberFormat="1" applyFont="1" applyFill="1" applyBorder="1" applyAlignment="1">
      <alignment horizontal="center"/>
    </xf>
    <xf numFmtId="0" fontId="16" fillId="8" borderId="0" xfId="12" applyFont="1" applyFill="1" applyAlignment="1">
      <alignment horizontal="left"/>
    </xf>
    <xf numFmtId="0" fontId="18" fillId="6" borderId="3" xfId="0" applyFont="1" applyFill="1" applyBorder="1" applyAlignment="1">
      <alignment horizontal="center" vertical="center" wrapText="1"/>
    </xf>
    <xf numFmtId="0" fontId="18" fillId="6" borderId="3" xfId="12" applyFont="1" applyFill="1" applyBorder="1" applyAlignment="1">
      <alignment horizontal="center" vertical="center" wrapText="1"/>
    </xf>
    <xf numFmtId="9" fontId="16" fillId="8" borderId="6" xfId="9" applyFont="1" applyFill="1" applyBorder="1" applyAlignment="1">
      <alignment horizontal="right" vertical="center"/>
    </xf>
    <xf numFmtId="1" fontId="16" fillId="8" borderId="3" xfId="2" applyNumberFormat="1" applyFont="1" applyFill="1" applyBorder="1" applyAlignment="1">
      <alignment horizontal="center" vertical="center"/>
    </xf>
    <xf numFmtId="0" fontId="18" fillId="6" borderId="20" xfId="0" applyFont="1" applyFill="1" applyBorder="1" applyAlignment="1">
      <alignment horizontal="right" vertical="center"/>
    </xf>
    <xf numFmtId="171" fontId="0" fillId="8" borderId="5" xfId="0" applyNumberFormat="1" applyFill="1" applyBorder="1"/>
    <xf numFmtId="1" fontId="16" fillId="8" borderId="6" xfId="2" applyNumberFormat="1" applyFont="1" applyFill="1" applyBorder="1" applyAlignment="1">
      <alignment horizontal="center" vertical="center"/>
    </xf>
    <xf numFmtId="169" fontId="16" fillId="4" borderId="6" xfId="2" applyNumberFormat="1" applyFont="1" applyFill="1" applyBorder="1" applyAlignment="1">
      <alignment horizontal="right" vertical="center"/>
    </xf>
    <xf numFmtId="2" fontId="17" fillId="7" borderId="8" xfId="12" applyNumberFormat="1" applyFont="1" applyFill="1" applyBorder="1"/>
    <xf numFmtId="0" fontId="16" fillId="8" borderId="22" xfId="12" applyFont="1" applyFill="1" applyBorder="1" applyAlignment="1">
      <alignment horizontal="left"/>
    </xf>
    <xf numFmtId="0" fontId="16" fillId="8" borderId="21" xfId="12" applyFont="1" applyFill="1" applyBorder="1" applyAlignment="1">
      <alignment horizontal="left"/>
    </xf>
    <xf numFmtId="0" fontId="16" fillId="8" borderId="23" xfId="12" applyFont="1" applyFill="1" applyBorder="1" applyAlignment="1">
      <alignment horizontal="left"/>
    </xf>
    <xf numFmtId="10" fontId="16" fillId="5" borderId="3" xfId="12" applyNumberFormat="1" applyFont="1" applyFill="1" applyBorder="1"/>
    <xf numFmtId="2" fontId="16" fillId="5" borderId="3" xfId="12" applyNumberFormat="1" applyFont="1" applyFill="1" applyBorder="1"/>
    <xf numFmtId="1" fontId="16" fillId="5" borderId="3" xfId="12" applyNumberFormat="1" applyFont="1" applyFill="1" applyBorder="1"/>
    <xf numFmtId="2" fontId="16" fillId="5" borderId="8" xfId="12" applyNumberFormat="1" applyFont="1" applyFill="1" applyBorder="1"/>
    <xf numFmtId="44" fontId="16" fillId="5" borderId="3" xfId="2" applyFont="1" applyFill="1" applyBorder="1"/>
    <xf numFmtId="3" fontId="16" fillId="8" borderId="17" xfId="12" applyNumberFormat="1" applyFont="1" applyFill="1" applyBorder="1" applyAlignment="1">
      <alignment horizontal="center"/>
    </xf>
    <xf numFmtId="3" fontId="16" fillId="8" borderId="15" xfId="12" applyNumberFormat="1" applyFont="1" applyFill="1" applyBorder="1" applyAlignment="1">
      <alignment horizontal="center"/>
    </xf>
    <xf numFmtId="0" fontId="17" fillId="7" borderId="16" xfId="12" applyFont="1" applyFill="1" applyBorder="1" applyAlignment="1">
      <alignment horizontal="center"/>
    </xf>
    <xf numFmtId="3" fontId="16" fillId="0" borderId="16" xfId="12" applyNumberFormat="1" applyFont="1" applyBorder="1" applyAlignment="1">
      <alignment horizontal="center"/>
    </xf>
    <xf numFmtId="3" fontId="16" fillId="4" borderId="16" xfId="12" applyNumberFormat="1" applyFont="1" applyFill="1" applyBorder="1" applyAlignment="1">
      <alignment horizontal="center"/>
    </xf>
    <xf numFmtId="3" fontId="16" fillId="8" borderId="16" xfId="12" applyNumberFormat="1" applyFont="1" applyFill="1" applyBorder="1" applyAlignment="1">
      <alignment horizontal="center"/>
    </xf>
    <xf numFmtId="6" fontId="17" fillId="0" borderId="4" xfId="2" applyNumberFormat="1" applyFont="1" applyBorder="1"/>
    <xf numFmtId="6" fontId="17" fillId="4" borderId="4" xfId="2" applyNumberFormat="1" applyFont="1" applyFill="1" applyBorder="1"/>
    <xf numFmtId="0" fontId="16" fillId="8" borderId="5" xfId="12" applyFont="1" applyFill="1" applyBorder="1"/>
    <xf numFmtId="0" fontId="19" fillId="8" borderId="5" xfId="12" applyFont="1" applyFill="1" applyBorder="1" applyAlignment="1">
      <alignment horizontal="center"/>
    </xf>
    <xf numFmtId="0" fontId="23" fillId="8" borderId="20" xfId="24" applyFont="1" applyFill="1" applyBorder="1" applyAlignment="1"/>
    <xf numFmtId="169" fontId="16" fillId="8" borderId="5" xfId="2" applyNumberFormat="1" applyFont="1" applyFill="1" applyBorder="1" applyAlignment="1">
      <alignment horizontal="right" vertical="center"/>
    </xf>
    <xf numFmtId="169" fontId="16" fillId="8" borderId="6" xfId="2" applyNumberFormat="1" applyFont="1" applyFill="1" applyBorder="1" applyAlignment="1">
      <alignment horizontal="right" vertical="center"/>
    </xf>
    <xf numFmtId="169" fontId="0" fillId="8" borderId="5" xfId="0" applyNumberFormat="1" applyFill="1" applyBorder="1"/>
    <xf numFmtId="2" fontId="16" fillId="5" borderId="13" xfId="0" applyNumberFormat="1" applyFont="1" applyFill="1" applyBorder="1" applyAlignment="1">
      <alignment horizontal="center" vertical="center" wrapText="1"/>
    </xf>
    <xf numFmtId="2" fontId="16" fillId="5" borderId="14" xfId="0" applyNumberFormat="1" applyFont="1" applyFill="1" applyBorder="1" applyAlignment="1">
      <alignment horizontal="center" vertical="center" wrapText="1"/>
    </xf>
    <xf numFmtId="169" fontId="16" fillId="5" borderId="3" xfId="2" applyNumberFormat="1" applyFont="1" applyFill="1" applyBorder="1"/>
    <xf numFmtId="169" fontId="16" fillId="5" borderId="13" xfId="2" applyNumberFormat="1" applyFont="1" applyFill="1" applyBorder="1" applyAlignment="1">
      <alignment horizontal="right"/>
    </xf>
    <xf numFmtId="169" fontId="16" fillId="5" borderId="15" xfId="2" applyNumberFormat="1" applyFont="1" applyFill="1" applyBorder="1" applyAlignment="1">
      <alignment horizontal="right"/>
    </xf>
    <xf numFmtId="169" fontId="16" fillId="5" borderId="15" xfId="2" applyNumberFormat="1" applyFont="1" applyFill="1" applyBorder="1" applyAlignment="1">
      <alignment horizontal="right" vertical="center"/>
    </xf>
    <xf numFmtId="169" fontId="16" fillId="5" borderId="14" xfId="2" applyNumberFormat="1" applyFont="1" applyFill="1" applyBorder="1" applyAlignment="1">
      <alignment horizontal="right" vertical="center"/>
    </xf>
    <xf numFmtId="1" fontId="16" fillId="5" borderId="13" xfId="2" applyNumberFormat="1" applyFont="1" applyFill="1" applyBorder="1" applyAlignment="1">
      <alignment horizontal="center" vertical="center"/>
    </xf>
    <xf numFmtId="1" fontId="16" fillId="5" borderId="15" xfId="2" applyNumberFormat="1" applyFont="1" applyFill="1" applyBorder="1" applyAlignment="1">
      <alignment horizontal="center" vertical="center"/>
    </xf>
    <xf numFmtId="1" fontId="16" fillId="5" borderId="14" xfId="0" applyNumberFormat="1" applyFont="1" applyFill="1" applyBorder="1" applyAlignment="1">
      <alignment horizontal="center" vertical="center" wrapText="1"/>
    </xf>
    <xf numFmtId="3" fontId="16" fillId="5" borderId="3" xfId="0" applyNumberFormat="1" applyFont="1" applyFill="1" applyBorder="1" applyAlignment="1">
      <alignment horizontal="right"/>
    </xf>
    <xf numFmtId="5" fontId="16" fillId="5" borderId="3" xfId="2" applyNumberFormat="1" applyFont="1" applyFill="1" applyBorder="1" applyAlignment="1">
      <alignment horizontal="right"/>
    </xf>
    <xf numFmtId="0" fontId="16" fillId="5" borderId="3" xfId="2" applyNumberFormat="1" applyFont="1" applyFill="1" applyBorder="1" applyAlignment="1">
      <alignment horizontal="right"/>
    </xf>
    <xf numFmtId="0" fontId="20" fillId="6" borderId="6" xfId="8" applyFont="1" applyFill="1" applyBorder="1" applyAlignment="1">
      <alignment horizontal="center" vertical="center"/>
    </xf>
    <xf numFmtId="0" fontId="24" fillId="7" borderId="10" xfId="8" applyFont="1" applyFill="1" applyBorder="1" applyAlignment="1">
      <alignment horizontal="center" vertical="center" wrapText="1"/>
    </xf>
    <xf numFmtId="0" fontId="24" fillId="7" borderId="18" xfId="8"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8" fillId="6" borderId="30"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18" fillId="6" borderId="23" xfId="0" applyFont="1" applyFill="1" applyBorder="1" applyAlignment="1">
      <alignment horizontal="center" vertical="center" wrapText="1"/>
    </xf>
    <xf numFmtId="0" fontId="28" fillId="6" borderId="12" xfId="0" applyFont="1" applyFill="1" applyBorder="1" applyAlignment="1">
      <alignment horizontal="center" vertical="center"/>
    </xf>
    <xf numFmtId="0" fontId="28" fillId="6" borderId="2" xfId="0" applyFont="1" applyFill="1" applyBorder="1" applyAlignment="1">
      <alignment horizontal="center" vertical="center"/>
    </xf>
    <xf numFmtId="0" fontId="28" fillId="6" borderId="9" xfId="0" applyFont="1" applyFill="1" applyBorder="1" applyAlignment="1">
      <alignment horizontal="center" vertical="center"/>
    </xf>
    <xf numFmtId="0" fontId="29" fillId="7" borderId="3" xfId="0" applyFont="1" applyFill="1" applyBorder="1" applyAlignment="1">
      <alignment horizontal="left"/>
    </xf>
    <xf numFmtId="0" fontId="24" fillId="7" borderId="3" xfId="0" applyFont="1" applyFill="1" applyBorder="1" applyAlignment="1">
      <alignment horizontal="left"/>
    </xf>
    <xf numFmtId="0" fontId="18" fillId="6" borderId="5"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4"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22" xfId="0" applyFont="1" applyFill="1" applyBorder="1" applyAlignment="1">
      <alignment horizontal="center" vertical="center"/>
    </xf>
    <xf numFmtId="0" fontId="18" fillId="6" borderId="23" xfId="0" applyFont="1" applyFill="1" applyBorder="1" applyAlignment="1">
      <alignment horizontal="center" vertical="center"/>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3" xfId="0" applyFont="1" applyFill="1" applyBorder="1" applyAlignment="1">
      <alignment horizontal="center" vertical="center"/>
    </xf>
    <xf numFmtId="0" fontId="18" fillId="6" borderId="8" xfId="0" applyFont="1" applyFill="1" applyBorder="1" applyAlignment="1">
      <alignment horizontal="center" vertical="center" wrapText="1"/>
    </xf>
    <xf numFmtId="0" fontId="17" fillId="7" borderId="12" xfId="0" applyFont="1" applyFill="1" applyBorder="1" applyAlignment="1">
      <alignment horizontal="center"/>
    </xf>
    <xf numFmtId="0" fontId="17" fillId="7" borderId="9" xfId="0" applyFont="1" applyFill="1" applyBorder="1" applyAlignment="1">
      <alignment horizontal="center"/>
    </xf>
    <xf numFmtId="0" fontId="18" fillId="6" borderId="12" xfId="0" applyFont="1" applyFill="1" applyBorder="1" applyAlignment="1">
      <alignment horizontal="center" vertical="center"/>
    </xf>
    <xf numFmtId="0" fontId="18" fillId="6" borderId="9" xfId="0" applyFont="1" applyFill="1" applyBorder="1" applyAlignment="1">
      <alignment horizontal="center" vertical="center"/>
    </xf>
    <xf numFmtId="0" fontId="17" fillId="0" borderId="12" xfId="0" applyFont="1" applyBorder="1" applyAlignment="1">
      <alignment horizontal="left"/>
    </xf>
    <xf numFmtId="0" fontId="17" fillId="0" borderId="9" xfId="0" applyFont="1" applyBorder="1" applyAlignment="1">
      <alignment horizontal="left"/>
    </xf>
    <xf numFmtId="0" fontId="18" fillId="6" borderId="11" xfId="0" applyFont="1" applyFill="1" applyBorder="1" applyAlignment="1">
      <alignment horizontal="center" vertical="center"/>
    </xf>
    <xf numFmtId="0" fontId="18" fillId="6" borderId="26" xfId="0" applyFont="1" applyFill="1" applyBorder="1" applyAlignment="1">
      <alignment horizontal="center" vertical="center"/>
    </xf>
    <xf numFmtId="0" fontId="18" fillId="6" borderId="27" xfId="0" applyFont="1" applyFill="1" applyBorder="1" applyAlignment="1">
      <alignment horizontal="center" vertical="center"/>
    </xf>
    <xf numFmtId="0" fontId="18" fillId="6" borderId="12" xfId="0" applyFont="1" applyFill="1" applyBorder="1" applyAlignment="1">
      <alignment horizontal="center"/>
    </xf>
    <xf numFmtId="0" fontId="18" fillId="6" borderId="3" xfId="0" applyFont="1" applyFill="1" applyBorder="1" applyAlignment="1">
      <alignment horizontal="center"/>
    </xf>
    <xf numFmtId="0" fontId="18" fillId="6" borderId="12" xfId="0" applyFont="1" applyFill="1" applyBorder="1" applyAlignment="1">
      <alignment horizontal="center" wrapText="1"/>
    </xf>
    <xf numFmtId="0" fontId="18" fillId="6" borderId="9" xfId="0" applyFont="1" applyFill="1" applyBorder="1" applyAlignment="1">
      <alignment horizontal="center" wrapText="1"/>
    </xf>
    <xf numFmtId="0" fontId="18" fillId="6" borderId="3" xfId="0" applyFont="1" applyFill="1" applyBorder="1" applyAlignment="1">
      <alignment horizontal="right" vertical="center"/>
    </xf>
    <xf numFmtId="0" fontId="39" fillId="0" borderId="12" xfId="12" applyFont="1" applyBorder="1" applyAlignment="1">
      <alignment horizontal="left" vertical="center"/>
    </xf>
    <xf numFmtId="0" fontId="39" fillId="0" borderId="2" xfId="12" applyFont="1" applyBorder="1" applyAlignment="1">
      <alignment horizontal="left" vertical="center"/>
    </xf>
    <xf numFmtId="0" fontId="39" fillId="0" borderId="9" xfId="12" applyFont="1" applyBorder="1" applyAlignment="1">
      <alignment horizontal="left" vertical="center"/>
    </xf>
    <xf numFmtId="0" fontId="9" fillId="8" borderId="12" xfId="0" applyFont="1" applyFill="1" applyBorder="1" applyAlignment="1">
      <alignment horizontal="left"/>
    </xf>
    <xf numFmtId="0" fontId="9" fillId="8" borderId="9" xfId="0" applyFont="1" applyFill="1" applyBorder="1" applyAlignment="1">
      <alignment horizontal="left"/>
    </xf>
    <xf numFmtId="0" fontId="18" fillId="6" borderId="20" xfId="0" applyFont="1" applyFill="1" applyBorder="1" applyAlignment="1">
      <alignment horizontal="right" vertical="center"/>
    </xf>
    <xf numFmtId="0" fontId="18" fillId="6" borderId="0" xfId="0" applyFont="1" applyFill="1" applyBorder="1" applyAlignment="1">
      <alignment horizontal="right" vertical="center"/>
    </xf>
    <xf numFmtId="0" fontId="18" fillId="6" borderId="2" xfId="0" applyFont="1" applyFill="1" applyBorder="1" applyAlignment="1">
      <alignment horizontal="center"/>
    </xf>
    <xf numFmtId="0" fontId="18" fillId="6" borderId="9" xfId="0" applyFont="1" applyFill="1" applyBorder="1" applyAlignment="1">
      <alignment horizontal="center"/>
    </xf>
    <xf numFmtId="0" fontId="28" fillId="6" borderId="3" xfId="12" applyFont="1" applyFill="1" applyBorder="1" applyAlignment="1">
      <alignment horizontal="center" vertical="center" wrapText="1"/>
    </xf>
    <xf numFmtId="0" fontId="16" fillId="0" borderId="0" xfId="0" applyFont="1" applyFill="1" applyAlignment="1">
      <alignment horizontal="center"/>
    </xf>
    <xf numFmtId="0" fontId="18" fillId="6" borderId="8" xfId="12" applyFont="1" applyFill="1" applyBorder="1" applyAlignment="1">
      <alignment horizontal="center" vertical="center" wrapText="1"/>
    </xf>
    <xf numFmtId="0" fontId="18" fillId="6" borderId="5" xfId="12" applyFont="1" applyFill="1" applyBorder="1" applyAlignment="1">
      <alignment horizontal="center" vertical="center" wrapText="1"/>
    </xf>
    <xf numFmtId="0" fontId="18" fillId="6" borderId="4" xfId="12" applyFont="1" applyFill="1" applyBorder="1" applyAlignment="1">
      <alignment horizontal="center" vertical="center" wrapText="1"/>
    </xf>
    <xf numFmtId="0" fontId="9" fillId="8" borderId="2" xfId="0" applyFont="1" applyFill="1" applyBorder="1" applyAlignment="1">
      <alignment horizontal="left"/>
    </xf>
    <xf numFmtId="0" fontId="16" fillId="8" borderId="10" xfId="0" applyFont="1" applyFill="1" applyBorder="1" applyAlignment="1">
      <alignment horizontal="right"/>
    </xf>
    <xf numFmtId="0" fontId="16" fillId="8" borderId="29" xfId="0" applyFont="1" applyFill="1" applyBorder="1" applyAlignment="1">
      <alignment horizontal="right"/>
    </xf>
    <xf numFmtId="0" fontId="16" fillId="8" borderId="18" xfId="0" applyFont="1" applyFill="1" applyBorder="1" applyAlignment="1">
      <alignment horizontal="right"/>
    </xf>
    <xf numFmtId="0" fontId="16" fillId="0" borderId="10" xfId="0" applyFont="1" applyBorder="1" applyAlignment="1">
      <alignment horizontal="right"/>
    </xf>
    <xf numFmtId="0" fontId="16" fillId="0" borderId="29" xfId="0" applyFont="1" applyBorder="1" applyAlignment="1">
      <alignment horizontal="right"/>
    </xf>
    <xf numFmtId="0" fontId="16" fillId="0" borderId="18" xfId="0" applyFont="1" applyBorder="1" applyAlignment="1">
      <alignment horizontal="right"/>
    </xf>
    <xf numFmtId="0" fontId="18" fillId="6" borderId="5" xfId="0" applyFont="1" applyFill="1" applyBorder="1" applyAlignment="1">
      <alignment horizontal="center"/>
    </xf>
    <xf numFmtId="0" fontId="17" fillId="7" borderId="3" xfId="0" applyFont="1" applyFill="1" applyBorder="1" applyAlignment="1">
      <alignment horizontal="center" vertical="center" wrapText="1"/>
    </xf>
    <xf numFmtId="0" fontId="16" fillId="0" borderId="12" xfId="0" applyFont="1" applyBorder="1" applyAlignment="1">
      <alignment horizontal="left"/>
    </xf>
    <xf numFmtId="0" fontId="16" fillId="0" borderId="2" xfId="0" applyFont="1" applyBorder="1" applyAlignment="1">
      <alignment horizontal="left"/>
    </xf>
    <xf numFmtId="0" fontId="16" fillId="0" borderId="9" xfId="0" applyFont="1" applyBorder="1" applyAlignment="1">
      <alignment horizontal="left"/>
    </xf>
    <xf numFmtId="0" fontId="35" fillId="6" borderId="12" xfId="0" applyFont="1" applyFill="1" applyBorder="1" applyAlignment="1">
      <alignment horizontal="center"/>
    </xf>
    <xf numFmtId="0" fontId="35" fillId="6" borderId="2" xfId="0" applyFont="1" applyFill="1" applyBorder="1" applyAlignment="1">
      <alignment horizontal="center"/>
    </xf>
    <xf numFmtId="0" fontId="35" fillId="6" borderId="9" xfId="0" applyFont="1" applyFill="1" applyBorder="1" applyAlignment="1">
      <alignment horizontal="center"/>
    </xf>
    <xf numFmtId="0" fontId="35" fillId="6" borderId="3" xfId="0" applyFont="1" applyFill="1" applyBorder="1" applyAlignment="1">
      <alignment horizontal="center" vertical="center"/>
    </xf>
    <xf numFmtId="9" fontId="35" fillId="6" borderId="3" xfId="0" quotePrefix="1" applyNumberFormat="1"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6" fillId="0" borderId="3" xfId="0" applyFont="1" applyBorder="1" applyAlignment="1">
      <alignment horizontal="left" wrapText="1"/>
    </xf>
    <xf numFmtId="0" fontId="18" fillId="6" borderId="3" xfId="0" applyFont="1" applyFill="1" applyBorder="1" applyAlignment="1">
      <alignment horizontal="center" vertical="center" wrapText="1"/>
    </xf>
    <xf numFmtId="0" fontId="16" fillId="8" borderId="3" xfId="0" applyFont="1" applyFill="1" applyBorder="1" applyAlignment="1">
      <alignment horizontal="left" vertical="center"/>
    </xf>
    <xf numFmtId="0" fontId="16" fillId="0" borderId="12" xfId="0" applyFont="1" applyBorder="1" applyAlignment="1">
      <alignment horizontal="left" wrapText="1"/>
    </xf>
    <xf numFmtId="0" fontId="16" fillId="0" borderId="9" xfId="0" applyFont="1" applyBorder="1" applyAlignment="1">
      <alignment horizontal="left" wrapText="1"/>
    </xf>
    <xf numFmtId="0" fontId="18" fillId="6" borderId="8"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7" xfId="0" applyFont="1" applyFill="1" applyBorder="1" applyAlignment="1">
      <alignment horizontal="center" vertical="center"/>
    </xf>
    <xf numFmtId="0" fontId="17" fillId="7" borderId="8" xfId="0" applyFont="1" applyFill="1" applyBorder="1" applyAlignment="1">
      <alignment horizontal="center" vertical="center" wrapText="1"/>
    </xf>
    <xf numFmtId="6" fontId="24" fillId="5" borderId="3" xfId="12" applyNumberFormat="1" applyFont="1" applyFill="1" applyBorder="1" applyAlignment="1">
      <alignment horizontal="center" vertical="center" wrapText="1"/>
    </xf>
    <xf numFmtId="0" fontId="24" fillId="7" borderId="3" xfId="12" applyFont="1" applyFill="1" applyBorder="1" applyAlignment="1">
      <alignment horizontal="center" vertical="center" wrapText="1"/>
    </xf>
    <xf numFmtId="0" fontId="18" fillId="6" borderId="2" xfId="0" applyFont="1" applyFill="1" applyBorder="1" applyAlignment="1">
      <alignment horizontal="center" vertical="center"/>
    </xf>
    <xf numFmtId="0" fontId="18" fillId="6" borderId="2" xfId="0" applyFont="1" applyFill="1" applyBorder="1" applyAlignment="1">
      <alignment horizontal="center" vertical="center" wrapText="1"/>
    </xf>
    <xf numFmtId="0" fontId="17" fillId="8" borderId="21" xfId="0" applyFont="1" applyFill="1" applyBorder="1" applyAlignment="1">
      <alignment horizontal="center"/>
    </xf>
    <xf numFmtId="0" fontId="35" fillId="6" borderId="12" xfId="0" applyFont="1" applyFill="1" applyBorder="1" applyAlignment="1">
      <alignment horizontal="center" vertical="center"/>
    </xf>
    <xf numFmtId="0" fontId="35" fillId="6" borderId="9" xfId="0" applyFont="1" applyFill="1" applyBorder="1" applyAlignment="1">
      <alignment horizontal="center" vertical="center"/>
    </xf>
    <xf numFmtId="0" fontId="36" fillId="8" borderId="12" xfId="0" applyFont="1" applyFill="1" applyBorder="1" applyAlignment="1">
      <alignment horizontal="right" vertical="center" wrapText="1"/>
    </xf>
    <xf numFmtId="0" fontId="36" fillId="8" borderId="9" xfId="0" applyFont="1" applyFill="1" applyBorder="1" applyAlignment="1">
      <alignment horizontal="right" vertical="center" wrapText="1"/>
    </xf>
    <xf numFmtId="0" fontId="37" fillId="8" borderId="3" xfId="0" applyFont="1" applyFill="1" applyBorder="1" applyAlignment="1">
      <alignment horizontal="center" vertical="center"/>
    </xf>
    <xf numFmtId="0" fontId="37" fillId="0" borderId="12" xfId="0" applyFont="1" applyBorder="1" applyAlignment="1">
      <alignment horizontal="left"/>
    </xf>
    <xf numFmtId="0" fontId="37" fillId="0" borderId="2" xfId="0" applyFont="1" applyBorder="1" applyAlignment="1">
      <alignment horizontal="left"/>
    </xf>
    <xf numFmtId="0" fontId="37" fillId="0" borderId="9" xfId="0" applyFont="1" applyBorder="1" applyAlignment="1">
      <alignment horizontal="left"/>
    </xf>
    <xf numFmtId="0" fontId="35" fillId="6" borderId="2" xfId="0" applyFont="1" applyFill="1" applyBorder="1" applyAlignment="1">
      <alignment horizontal="center" vertical="center"/>
    </xf>
    <xf numFmtId="0" fontId="36" fillId="7" borderId="12" xfId="0" applyFont="1" applyFill="1" applyBorder="1" applyAlignment="1">
      <alignment horizontal="right" vertical="center" wrapText="1"/>
    </xf>
    <xf numFmtId="0" fontId="36" fillId="7" borderId="9" xfId="0" applyFont="1" applyFill="1" applyBorder="1" applyAlignment="1">
      <alignment horizontal="right" vertical="center" wrapText="1"/>
    </xf>
    <xf numFmtId="0" fontId="16" fillId="8" borderId="3" xfId="0" applyFont="1" applyFill="1" applyBorder="1" applyAlignment="1">
      <alignment horizontal="left" wrapText="1"/>
    </xf>
    <xf numFmtId="0" fontId="34" fillId="8" borderId="12" xfId="12" applyFont="1" applyFill="1" applyBorder="1" applyAlignment="1">
      <alignment horizontal="left"/>
    </xf>
    <xf numFmtId="0" fontId="34" fillId="8" borderId="2" xfId="12" applyFont="1" applyFill="1" applyBorder="1" applyAlignment="1">
      <alignment horizontal="left"/>
    </xf>
    <xf numFmtId="0" fontId="34" fillId="8" borderId="9" xfId="12" applyFont="1" applyFill="1" applyBorder="1" applyAlignment="1">
      <alignment horizontal="left"/>
    </xf>
    <xf numFmtId="0" fontId="18" fillId="6" borderId="12" xfId="12" applyFont="1" applyFill="1" applyBorder="1" applyAlignment="1">
      <alignment horizontal="center" vertical="center"/>
    </xf>
    <xf numFmtId="0" fontId="18" fillId="6" borderId="9" xfId="12" applyFont="1" applyFill="1" applyBorder="1" applyAlignment="1">
      <alignment horizontal="center" vertical="center"/>
    </xf>
    <xf numFmtId="0" fontId="18" fillId="6" borderId="3" xfId="12" applyFont="1" applyFill="1" applyBorder="1" applyAlignment="1">
      <alignment horizontal="center"/>
    </xf>
    <xf numFmtId="0" fontId="18" fillId="6" borderId="12" xfId="12" applyFont="1" applyFill="1" applyBorder="1" applyAlignment="1">
      <alignment horizontal="center"/>
    </xf>
    <xf numFmtId="0" fontId="18" fillId="6" borderId="8" xfId="12" applyFont="1" applyFill="1" applyBorder="1" applyAlignment="1">
      <alignment horizontal="center" vertical="center"/>
    </xf>
    <xf numFmtId="0" fontId="18" fillId="6" borderId="3" xfId="12" applyFont="1" applyFill="1" applyBorder="1" applyAlignment="1">
      <alignment horizontal="center" vertical="center"/>
    </xf>
    <xf numFmtId="0" fontId="18" fillId="6" borderId="19" xfId="12" applyFont="1" applyFill="1" applyBorder="1" applyAlignment="1">
      <alignment horizontal="center" vertical="center" wrapText="1"/>
    </xf>
    <xf numFmtId="0" fontId="18" fillId="6" borderId="25" xfId="12" applyFont="1" applyFill="1" applyBorder="1" applyAlignment="1">
      <alignment horizontal="center" vertical="center" wrapText="1"/>
    </xf>
    <xf numFmtId="0" fontId="18" fillId="6" borderId="30" xfId="12" applyFont="1" applyFill="1" applyBorder="1" applyAlignment="1">
      <alignment horizontal="center" vertical="center" wrapText="1"/>
    </xf>
    <xf numFmtId="0" fontId="18" fillId="6" borderId="22" xfId="12" applyFont="1" applyFill="1" applyBorder="1" applyAlignment="1">
      <alignment horizontal="center" vertical="center" wrapText="1"/>
    </xf>
    <xf numFmtId="0" fontId="18" fillId="6" borderId="21" xfId="12" applyFont="1" applyFill="1" applyBorder="1" applyAlignment="1">
      <alignment horizontal="center" vertical="center" wrapText="1"/>
    </xf>
    <xf numFmtId="0" fontId="18" fillId="6" borderId="23" xfId="12" applyFont="1" applyFill="1" applyBorder="1" applyAlignment="1">
      <alignment horizontal="center" vertical="center" wrapText="1"/>
    </xf>
    <xf numFmtId="0" fontId="16" fillId="0" borderId="12" xfId="12" applyFont="1" applyBorder="1" applyAlignment="1">
      <alignment horizontal="left" wrapText="1"/>
    </xf>
    <xf numFmtId="0" fontId="16" fillId="0" borderId="2" xfId="12" applyFont="1" applyBorder="1" applyAlignment="1">
      <alignment horizontal="left" wrapText="1"/>
    </xf>
    <xf numFmtId="0" fontId="16" fillId="0" borderId="9" xfId="12" applyFont="1" applyBorder="1" applyAlignment="1">
      <alignment horizontal="left" wrapText="1"/>
    </xf>
    <xf numFmtId="0" fontId="16" fillId="8" borderId="19" xfId="12" applyFont="1" applyFill="1" applyBorder="1" applyAlignment="1">
      <alignment horizontal="left"/>
    </xf>
    <xf numFmtId="0" fontId="16" fillId="8" borderId="25" xfId="12" applyFont="1" applyFill="1" applyBorder="1" applyAlignment="1">
      <alignment horizontal="left"/>
    </xf>
    <xf numFmtId="0" fontId="16" fillId="8" borderId="30" xfId="12" applyFont="1" applyFill="1" applyBorder="1" applyAlignment="1">
      <alignment horizontal="left"/>
    </xf>
    <xf numFmtId="0" fontId="16" fillId="8" borderId="12" xfId="12" applyFont="1" applyFill="1" applyBorder="1" applyAlignment="1">
      <alignment horizontal="left"/>
    </xf>
    <xf numFmtId="0" fontId="16" fillId="8" borderId="9" xfId="12" applyFont="1" applyFill="1" applyBorder="1" applyAlignment="1">
      <alignment horizontal="left"/>
    </xf>
    <xf numFmtId="0" fontId="17" fillId="0" borderId="34" xfId="12" applyFont="1" applyBorder="1" applyAlignment="1">
      <alignment horizontal="right"/>
    </xf>
    <xf numFmtId="0" fontId="17" fillId="0" borderId="35" xfId="12" applyFont="1" applyBorder="1" applyAlignment="1">
      <alignment horizontal="right"/>
    </xf>
    <xf numFmtId="0" fontId="17" fillId="0" borderId="36" xfId="12" applyFont="1" applyBorder="1" applyAlignment="1">
      <alignment horizontal="right"/>
    </xf>
    <xf numFmtId="0" fontId="18" fillId="6" borderId="3" xfId="12" applyFont="1" applyFill="1" applyBorder="1" applyAlignment="1">
      <alignment horizontal="center" vertical="center" wrapText="1"/>
    </xf>
    <xf numFmtId="6" fontId="24" fillId="5" borderId="12" xfId="12" applyNumberFormat="1" applyFont="1" applyFill="1" applyBorder="1" applyAlignment="1">
      <alignment horizontal="center" vertical="center" wrapText="1"/>
    </xf>
    <xf numFmtId="0" fontId="18" fillId="6" borderId="9" xfId="12" applyFont="1" applyFill="1" applyBorder="1" applyAlignment="1">
      <alignment horizontal="center"/>
    </xf>
    <xf numFmtId="0" fontId="18" fillId="6" borderId="19" xfId="12" applyFont="1" applyFill="1" applyBorder="1" applyAlignment="1">
      <alignment horizontal="center" vertical="center"/>
    </xf>
    <xf numFmtId="0" fontId="18" fillId="6" borderId="30" xfId="12" applyFont="1" applyFill="1" applyBorder="1" applyAlignment="1">
      <alignment horizontal="center" vertical="center"/>
    </xf>
    <xf numFmtId="0" fontId="18" fillId="6" borderId="22" xfId="12" applyFont="1" applyFill="1" applyBorder="1" applyAlignment="1">
      <alignment horizontal="center" vertical="center"/>
    </xf>
    <xf numFmtId="0" fontId="18" fillId="6" borderId="23" xfId="12" applyFont="1" applyFill="1" applyBorder="1" applyAlignment="1">
      <alignment horizontal="center" vertical="center"/>
    </xf>
    <xf numFmtId="0" fontId="18" fillId="6" borderId="12" xfId="12" applyFont="1" applyFill="1" applyBorder="1" applyAlignment="1">
      <alignment horizontal="center" vertical="center" wrapText="1"/>
    </xf>
    <xf numFmtId="0" fontId="28" fillId="6" borderId="12" xfId="12" applyFont="1" applyFill="1" applyBorder="1" applyAlignment="1">
      <alignment horizontal="center" vertical="center" wrapText="1"/>
    </xf>
    <xf numFmtId="0" fontId="16" fillId="8" borderId="22" xfId="12" applyFont="1" applyFill="1" applyBorder="1" applyAlignment="1">
      <alignment horizontal="left"/>
    </xf>
    <xf numFmtId="0" fontId="16" fillId="8" borderId="21" xfId="12" applyFont="1" applyFill="1" applyBorder="1" applyAlignment="1">
      <alignment horizontal="left"/>
    </xf>
    <xf numFmtId="0" fontId="16" fillId="8" borderId="23" xfId="12" applyFont="1" applyFill="1" applyBorder="1" applyAlignment="1">
      <alignment horizontal="left"/>
    </xf>
    <xf numFmtId="0" fontId="18" fillId="6" borderId="7" xfId="12" applyFont="1" applyFill="1" applyBorder="1" applyAlignment="1">
      <alignment horizontal="center" vertical="center" wrapText="1"/>
    </xf>
    <xf numFmtId="0" fontId="9" fillId="8" borderId="12" xfId="0" applyFont="1" applyFill="1" applyBorder="1" applyAlignment="1">
      <alignment horizontal="center" wrapText="1"/>
    </xf>
    <xf numFmtId="0" fontId="0" fillId="8" borderId="2" xfId="0" applyFill="1" applyBorder="1" applyAlignment="1">
      <alignment horizontal="center" wrapText="1"/>
    </xf>
    <xf numFmtId="0" fontId="0" fillId="8" borderId="9" xfId="0" applyFill="1" applyBorder="1" applyAlignment="1">
      <alignment horizontal="center" wrapText="1"/>
    </xf>
    <xf numFmtId="0" fontId="11" fillId="0" borderId="22" xfId="0" applyFont="1" applyBorder="1" applyAlignment="1">
      <alignment horizontal="right"/>
    </xf>
    <xf numFmtId="0" fontId="11" fillId="0" borderId="21" xfId="0" applyFont="1" applyBorder="1" applyAlignment="1">
      <alignment horizontal="right"/>
    </xf>
    <xf numFmtId="0" fontId="11" fillId="0" borderId="23" xfId="0" applyFont="1" applyBorder="1" applyAlignment="1">
      <alignment horizontal="right"/>
    </xf>
    <xf numFmtId="0" fontId="18" fillId="6" borderId="8" xfId="0" applyFont="1" applyFill="1" applyBorder="1" applyAlignment="1">
      <alignment horizontal="center"/>
    </xf>
    <xf numFmtId="0" fontId="20" fillId="6" borderId="12" xfId="0" applyFont="1" applyFill="1" applyBorder="1" applyAlignment="1">
      <alignment horizontal="center"/>
    </xf>
    <xf numFmtId="0" fontId="20" fillId="6" borderId="2" xfId="0" applyFont="1" applyFill="1" applyBorder="1" applyAlignment="1">
      <alignment horizontal="center"/>
    </xf>
    <xf numFmtId="0" fontId="20" fillId="6" borderId="9" xfId="0" applyFont="1" applyFill="1" applyBorder="1" applyAlignment="1">
      <alignment horizontal="center"/>
    </xf>
    <xf numFmtId="0" fontId="28" fillId="6" borderId="2" xfId="12" applyFont="1" applyFill="1" applyBorder="1" applyAlignment="1">
      <alignment horizontal="center" vertical="center" wrapText="1"/>
    </xf>
    <xf numFmtId="0" fontId="28" fillId="6" borderId="9" xfId="12" applyFont="1" applyFill="1" applyBorder="1" applyAlignment="1">
      <alignment horizontal="center" vertical="center" wrapText="1"/>
    </xf>
    <xf numFmtId="0" fontId="24" fillId="7" borderId="12" xfId="12" applyFont="1" applyFill="1" applyBorder="1" applyAlignment="1">
      <alignment horizontal="center" vertical="center" wrapText="1"/>
    </xf>
    <xf numFmtId="0" fontId="24" fillId="7" borderId="9" xfId="12" applyFont="1" applyFill="1" applyBorder="1" applyAlignment="1">
      <alignment horizontal="center" vertical="center" wrapText="1"/>
    </xf>
  </cellXfs>
  <cellStyles count="36">
    <cellStyle name="active" xfId="1" xr:uid="{00000000-0005-0000-0000-000000000000}"/>
    <cellStyle name="Comma 2" xfId="13" xr:uid="{00000000-0005-0000-0000-000002000000}"/>
    <cellStyle name="Comma 3" xfId="23" xr:uid="{00000000-0005-0000-0000-000003000000}"/>
    <cellStyle name="Comma 4" xfId="26" xr:uid="{70843B5B-5B20-425F-A562-FE6217C273E5}"/>
    <cellStyle name="Comma 4 2" xfId="29" xr:uid="{7F7CD4DC-138E-45B6-BD63-8E20BBB70E88}"/>
    <cellStyle name="Comma 4 3" xfId="34" xr:uid="{865A539E-9617-4A9C-8676-579A16C2A4E3}"/>
    <cellStyle name="Comma 5" xfId="35" xr:uid="{4BC2A7B7-C011-4A6D-9EDD-5D96C4863E16}"/>
    <cellStyle name="Currency" xfId="2" builtinId="4"/>
    <cellStyle name="Currency 2" xfId="30" xr:uid="{1EBC2143-73A8-4208-9DCD-D028241C161F}"/>
    <cellStyle name="Currency 2 2" xfId="20" xr:uid="{00000000-0005-0000-0000-000005000000}"/>
    <cellStyle name="Currency 2 3" xfId="33" xr:uid="{C888180E-8EEF-4125-8A3B-FB0092CDE3C9}"/>
    <cellStyle name="Currency 3" xfId="21" xr:uid="{00000000-0005-0000-0000-000006000000}"/>
    <cellStyle name="Currency 8" xfId="17" xr:uid="{00000000-0005-0000-0000-000007000000}"/>
    <cellStyle name="Grey" xfId="3" xr:uid="{00000000-0005-0000-0000-000008000000}"/>
    <cellStyle name="Header1" xfId="4" xr:uid="{00000000-0005-0000-0000-000009000000}"/>
    <cellStyle name="Header2" xfId="5" xr:uid="{00000000-0005-0000-0000-00000A000000}"/>
    <cellStyle name="Hyperlink" xfId="27" builtinId="8"/>
    <cellStyle name="Hyperlink 2" xfId="31" xr:uid="{A264FA62-74C7-4D6F-A50F-0F3D7D9AD2C0}"/>
    <cellStyle name="Input [yellow]" xfId="6" xr:uid="{00000000-0005-0000-0000-00000C000000}"/>
    <cellStyle name="Normal" xfId="0" builtinId="0"/>
    <cellStyle name="Normal - Style1" xfId="7" xr:uid="{00000000-0005-0000-0000-00000E000000}"/>
    <cellStyle name="Normal 11" xfId="16" xr:uid="{00000000-0005-0000-0000-00000F000000}"/>
    <cellStyle name="Normal 11 2" xfId="24" xr:uid="{00000000-0005-0000-0000-000010000000}"/>
    <cellStyle name="Normal 16" xfId="12" xr:uid="{00000000-0005-0000-0000-000011000000}"/>
    <cellStyle name="Normal 2" xfId="8" xr:uid="{00000000-0005-0000-0000-000012000000}"/>
    <cellStyle name="Normal 2 2" xfId="19" xr:uid="{00000000-0005-0000-0000-000013000000}"/>
    <cellStyle name="Normal 3" xfId="28" xr:uid="{1925518A-B263-4CFD-BB5E-0709EEAC8044}"/>
    <cellStyle name="Normal 3 2" xfId="32" xr:uid="{AA2B0321-D12C-419B-9E75-E60F81B6AD7A}"/>
    <cellStyle name="Normal 4" xfId="14" xr:uid="{00000000-0005-0000-0000-000014000000}"/>
    <cellStyle name="Normal 4 2" xfId="15" xr:uid="{00000000-0005-0000-0000-000015000000}"/>
    <cellStyle name="Normal 4 2 2" xfId="25" xr:uid="{BCC2316D-3890-4BC2-81F5-EA24DB0F5E68}"/>
    <cellStyle name="Normal 4 3" xfId="18" xr:uid="{00000000-0005-0000-0000-000016000000}"/>
    <cellStyle name="Normal 5" xfId="22" xr:uid="{00000000-0005-0000-0000-000017000000}"/>
    <cellStyle name="Percent" xfId="9" builtinId="5"/>
    <cellStyle name="Percent [2]" xfId="10" xr:uid="{00000000-0005-0000-0000-000019000000}"/>
    <cellStyle name="PSChar" xfId="11" xr:uid="{00000000-0005-0000-0000-00001A000000}"/>
  </cellStyles>
  <dxfs count="1">
    <dxf>
      <font>
        <color rgb="FF9C0006"/>
      </font>
      <fill>
        <patternFill>
          <bgColor rgb="FFFFC7CE"/>
        </patternFill>
      </fill>
    </dxf>
  </dxfs>
  <tableStyles count="0" defaultTableStyle="TableStyleMedium9" defaultPivotStyle="PivotStyleLight16"/>
  <colors>
    <mruColors>
      <color rgb="FFFEF5E4"/>
      <color rgb="FFFFFFCC"/>
      <color rgb="FFFDB924"/>
      <color rgb="FF029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Wyoming%20TIGER\CBA%20Working%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EMCKEN~1\LOCALS~1\Temp\notesE97E9E\Template%20of%20Benefits%20%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TWFP01\Data\Project\FTW_TPTO\061018034\xls\Service%20Area%20D\2007_8_11_FTW_RIF_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trix"/>
      <sheetName val="START Summary"/>
      <sheetName val="START Narrative"/>
      <sheetName val="START Distance Benefit"/>
      <sheetName val="START Costs"/>
      <sheetName val="START VMT Table"/>
      <sheetName val="START Assumptions"/>
      <sheetName val="START Inside Storage Benefit"/>
      <sheetName val="START Mobility Benefit"/>
      <sheetName val="START Safety Benefit"/>
      <sheetName val="START Cost of Extra Idling"/>
      <sheetName val="START Road Cost Benefit"/>
      <sheetName val="START Parking Benefit"/>
      <sheetName val="START Remaining Capital Value"/>
      <sheetName val="START Global Benefit"/>
      <sheetName val="START Energy Cost"/>
      <sheetName val="START CNG Benefits"/>
      <sheetName val="START Value of CO2 rdctn"/>
    </sheetNames>
    <sheetDataSet>
      <sheetData sheetId="0"/>
      <sheetData sheetId="1"/>
      <sheetData sheetId="2"/>
      <sheetData sheetId="3"/>
      <sheetData sheetId="4">
        <row r="5">
          <cell r="I5">
            <v>35873401.852506503</v>
          </cell>
          <cell r="L5">
            <v>-11950617.593879221</v>
          </cell>
        </row>
      </sheetData>
      <sheetData sheetId="5"/>
      <sheetData sheetId="6">
        <row r="31">
          <cell r="B31">
            <v>2013</v>
          </cell>
        </row>
        <row r="32">
          <cell r="B32">
            <v>2015</v>
          </cell>
        </row>
        <row r="33">
          <cell r="B33">
            <v>50</v>
          </cell>
        </row>
        <row r="35">
          <cell r="B35">
            <v>7.0000000000000007E-2</v>
          </cell>
        </row>
        <row r="37">
          <cell r="B37">
            <v>0.26</v>
          </cell>
        </row>
        <row r="39">
          <cell r="B39">
            <v>0.02</v>
          </cell>
        </row>
      </sheetData>
      <sheetData sheetId="7"/>
      <sheetData sheetId="8"/>
      <sheetData sheetId="9"/>
      <sheetData sheetId="10"/>
      <sheetData sheetId="11"/>
      <sheetData sheetId="12"/>
      <sheetData sheetId="13"/>
      <sheetData sheetId="14"/>
      <sheetData sheetId="15">
        <row r="8">
          <cell r="I8">
            <v>101752.39</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nnel Capacity"/>
      <sheetName val="Notes"/>
    </sheetNames>
    <sheetDataSet>
      <sheetData sheetId="0">
        <row r="2">
          <cell r="C2">
            <v>8000</v>
          </cell>
        </row>
        <row r="3">
          <cell r="C3">
            <v>0.57999999999999996</v>
          </cell>
        </row>
        <row r="4">
          <cell r="C4">
            <v>0</v>
          </cell>
        </row>
        <row r="5">
          <cell r="C5">
            <v>63</v>
          </cell>
        </row>
        <row r="6">
          <cell r="C6">
            <v>36</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NEW ROAD"/>
      <sheetName val="CCI"/>
      <sheetName val="PayItems"/>
      <sheetName val="Basswood (4)"/>
      <sheetName val="Basswood (5)"/>
      <sheetName val="Basswood (6)"/>
      <sheetName val="Basswood (7)"/>
      <sheetName val="Summerfields"/>
      <sheetName val="NTP (2)"/>
      <sheetName val="NTP (3)"/>
      <sheetName val="NTP (4)"/>
      <sheetName val="Shiver"/>
      <sheetName val="Heritage Trace (5)"/>
      <sheetName val="Heritage Trace (6)"/>
      <sheetName val="Heritage Trace (7)"/>
      <sheetName val="Golden Triangle (2)"/>
      <sheetName val="Golden Triangle (3)"/>
      <sheetName val="Golden Triangle (4)"/>
      <sheetName val="Keller Hicks (2)"/>
      <sheetName val="Keller Hicks (3)"/>
      <sheetName val="Keller Hicks (4)"/>
      <sheetName val="Timberland (1)"/>
      <sheetName val="Timberland (2)"/>
      <sheetName val="Timberland (3)"/>
      <sheetName val="N. Riverside (1)"/>
      <sheetName val="N. Riverside (2)"/>
      <sheetName val="N. Riverside (3)"/>
      <sheetName val="N. Riverside (4)"/>
      <sheetName val="N. Riverside (5)"/>
      <sheetName val="N. Riverside (6)"/>
      <sheetName val="N. Riverside (7)"/>
      <sheetName val="N. Beach (3)"/>
      <sheetName val="N. Beach (4)"/>
      <sheetName val="N. Beach (5)"/>
      <sheetName val="N. Beach (6)"/>
      <sheetName val="N. Beach (7)"/>
      <sheetName val="N. Beach (8)"/>
      <sheetName val="N. Beach (9)"/>
      <sheetName val="N. Beach (10)"/>
      <sheetName val="Park Vista (2)"/>
      <sheetName val="Park Vista (3)"/>
      <sheetName val="Park Vista (4)"/>
      <sheetName val="Park Vista (5)"/>
      <sheetName val="Summary"/>
      <sheetName val="CIP"/>
      <sheetName val="CIP-cost"/>
      <sheetName val="SupD"/>
      <sheetName val="E-D"/>
      <sheetName val="MaxFee"/>
      <sheetName val="PieCharts"/>
      <sheetName val="LUVMET"/>
      <sheetName val="LUVMET (2)"/>
      <sheetName val="10-Yr"/>
    </sheetNames>
    <sheetDataSet>
      <sheetData sheetId="0"/>
      <sheetData sheetId="1">
        <row r="2">
          <cell r="A2" t="str">
            <v>Median</v>
          </cell>
        </row>
        <row r="3">
          <cell r="A3" t="str">
            <v>NEW</v>
          </cell>
        </row>
        <row r="4">
          <cell r="A4" t="str">
            <v>EXISTING</v>
          </cell>
        </row>
      </sheetData>
      <sheetData sheetId="2">
        <row r="6">
          <cell r="B6">
            <v>155.07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1"/>
  <sheetViews>
    <sheetView tabSelected="1" workbookViewId="0">
      <selection activeCell="B2" sqref="B2:C2"/>
    </sheetView>
  </sheetViews>
  <sheetFormatPr defaultRowHeight="12.75" x14ac:dyDescent="0.2"/>
  <cols>
    <col min="1" max="1" width="6.42578125" customWidth="1"/>
    <col min="2" max="2" width="11.85546875" customWidth="1"/>
    <col min="3" max="3" width="19.140625" customWidth="1"/>
    <col min="4" max="4" width="12.5703125" bestFit="1" customWidth="1"/>
    <col min="5" max="5" width="17.85546875" bestFit="1" customWidth="1"/>
    <col min="6" max="6" width="15.42578125" bestFit="1" customWidth="1"/>
    <col min="7" max="7" width="20.5703125" bestFit="1" customWidth="1"/>
    <col min="8" max="8" width="16.85546875" bestFit="1" customWidth="1"/>
  </cols>
  <sheetData>
    <row r="1" spans="1:26" x14ac:dyDescent="0.2">
      <c r="A1" s="48"/>
      <c r="B1" s="48"/>
      <c r="C1" s="48"/>
      <c r="D1" s="48"/>
      <c r="E1" s="48"/>
      <c r="F1" s="48"/>
      <c r="G1" s="48"/>
      <c r="H1" s="48"/>
      <c r="I1" s="48"/>
      <c r="J1" s="48"/>
      <c r="K1" s="48"/>
      <c r="L1" s="48"/>
      <c r="M1" s="48"/>
      <c r="N1" s="48"/>
      <c r="O1" s="48"/>
      <c r="P1" s="48"/>
      <c r="Q1" s="48"/>
      <c r="R1" s="48"/>
      <c r="S1" s="48"/>
      <c r="T1" s="48"/>
      <c r="U1" s="48"/>
      <c r="V1" s="48"/>
      <c r="W1" s="48"/>
      <c r="X1" s="48"/>
      <c r="Y1" s="48"/>
      <c r="Z1" s="48"/>
    </row>
    <row r="2" spans="1:26" ht="33" customHeight="1" thickBot="1" x14ac:dyDescent="0.25">
      <c r="A2" s="48"/>
      <c r="B2" s="323" t="s">
        <v>0</v>
      </c>
      <c r="C2" s="323"/>
      <c r="D2" s="4" t="s">
        <v>1</v>
      </c>
      <c r="E2" s="4" t="s">
        <v>2</v>
      </c>
      <c r="F2" s="4" t="s">
        <v>3</v>
      </c>
      <c r="G2" s="4" t="s">
        <v>4</v>
      </c>
      <c r="H2" s="4" t="s">
        <v>5</v>
      </c>
      <c r="I2" s="48"/>
      <c r="J2" s="48"/>
      <c r="K2" s="48"/>
      <c r="L2" s="48"/>
      <c r="M2" s="48"/>
      <c r="N2" s="48"/>
      <c r="O2" s="48"/>
      <c r="P2" s="48"/>
      <c r="Q2" s="48"/>
      <c r="R2" s="48"/>
      <c r="S2" s="48"/>
      <c r="T2" s="48"/>
      <c r="U2" s="48"/>
      <c r="V2" s="48"/>
      <c r="W2" s="48"/>
      <c r="X2" s="48"/>
      <c r="Y2" s="48"/>
      <c r="Z2" s="48"/>
    </row>
    <row r="3" spans="1:26" ht="62.25" customHeight="1" thickTop="1" x14ac:dyDescent="0.2">
      <c r="A3" s="48"/>
      <c r="B3" s="324" t="str">
        <f>'Summary Table'!A1</f>
        <v>2022 BCA SUMMARY - U.S. 69 Bridge Replacement in Durant, OK</v>
      </c>
      <c r="C3" s="325"/>
      <c r="D3" s="5">
        <f>Costs!C3</f>
        <v>47596995</v>
      </c>
      <c r="E3" s="240">
        <f>'Summary Table'!U38</f>
        <v>30752149.173867863</v>
      </c>
      <c r="F3" s="5">
        <f>'Summary Table'!N38</f>
        <v>198191749.84618825</v>
      </c>
      <c r="G3" s="240">
        <f>'Summary Table'!Q38</f>
        <v>60973055.062479384</v>
      </c>
      <c r="H3" s="6">
        <f>'Summary Table'!C4</f>
        <v>1.9827250029826282</v>
      </c>
      <c r="I3" s="48"/>
      <c r="J3" s="48"/>
      <c r="K3" s="48"/>
      <c r="L3" s="48"/>
      <c r="M3" s="48"/>
      <c r="N3" s="48"/>
      <c r="O3" s="48"/>
      <c r="P3" s="48"/>
      <c r="Q3" s="48"/>
      <c r="R3" s="48"/>
      <c r="S3" s="48"/>
      <c r="T3" s="48"/>
      <c r="U3" s="48"/>
      <c r="V3" s="48"/>
      <c r="W3" s="48"/>
      <c r="X3" s="48"/>
      <c r="Y3" s="48"/>
      <c r="Z3" s="48"/>
    </row>
    <row r="4" spans="1:26" x14ac:dyDescent="0.2">
      <c r="A4" s="48"/>
      <c r="B4" s="48"/>
      <c r="C4" s="48"/>
      <c r="D4" s="48"/>
      <c r="E4" s="48"/>
      <c r="F4" s="48"/>
      <c r="G4" s="48"/>
      <c r="H4" s="48"/>
      <c r="I4" s="48"/>
      <c r="J4" s="48"/>
      <c r="K4" s="48"/>
      <c r="L4" s="48"/>
      <c r="M4" s="48"/>
      <c r="N4" s="48"/>
      <c r="O4" s="48"/>
      <c r="P4" s="48"/>
      <c r="Q4" s="48"/>
      <c r="R4" s="48"/>
      <c r="S4" s="48"/>
      <c r="T4" s="48"/>
      <c r="U4" s="48"/>
      <c r="V4" s="48"/>
      <c r="W4" s="48"/>
      <c r="X4" s="48"/>
      <c r="Y4" s="48"/>
      <c r="Z4" s="48"/>
    </row>
    <row r="5" spans="1:26" x14ac:dyDescent="0.2">
      <c r="A5" s="48"/>
      <c r="B5" s="48"/>
      <c r="C5" s="48"/>
      <c r="D5" s="48"/>
      <c r="E5" s="48"/>
      <c r="F5" s="48"/>
      <c r="G5" s="48"/>
      <c r="H5" s="48"/>
      <c r="I5" s="48"/>
      <c r="J5" s="48"/>
      <c r="K5" s="48"/>
      <c r="L5" s="48"/>
      <c r="M5" s="48"/>
      <c r="N5" s="48"/>
      <c r="O5" s="48"/>
      <c r="P5" s="48"/>
      <c r="Q5" s="48"/>
      <c r="R5" s="48"/>
      <c r="S5" s="48"/>
      <c r="T5" s="48"/>
      <c r="U5" s="48"/>
      <c r="V5" s="48"/>
      <c r="W5" s="48"/>
      <c r="X5" s="48"/>
      <c r="Y5" s="48"/>
      <c r="Z5" s="48"/>
    </row>
    <row r="6" spans="1:26" x14ac:dyDescent="0.2">
      <c r="A6" s="48"/>
      <c r="B6" s="48"/>
      <c r="C6" s="48"/>
      <c r="D6" s="48"/>
      <c r="E6" s="48"/>
      <c r="F6" s="48"/>
      <c r="G6" s="48"/>
      <c r="H6" s="48"/>
      <c r="I6" s="48"/>
      <c r="J6" s="48"/>
      <c r="K6" s="48"/>
      <c r="L6" s="48"/>
      <c r="M6" s="48"/>
      <c r="N6" s="48"/>
      <c r="O6" s="48"/>
      <c r="P6" s="48"/>
      <c r="Q6" s="48"/>
      <c r="R6" s="48"/>
      <c r="S6" s="48"/>
      <c r="T6" s="48"/>
      <c r="U6" s="48"/>
      <c r="V6" s="48"/>
      <c r="W6" s="48"/>
      <c r="X6" s="48"/>
      <c r="Y6" s="48"/>
      <c r="Z6" s="48"/>
    </row>
    <row r="7" spans="1:26" ht="15.75" x14ac:dyDescent="0.25">
      <c r="A7" s="48"/>
      <c r="B7" s="48"/>
      <c r="C7" s="48"/>
      <c r="D7" s="48"/>
      <c r="E7" s="48"/>
      <c r="F7" s="48"/>
      <c r="G7" s="48"/>
      <c r="H7" s="48"/>
      <c r="I7" s="90"/>
      <c r="J7" s="90"/>
      <c r="K7" s="48"/>
      <c r="L7" s="48"/>
      <c r="M7" s="48"/>
      <c r="N7" s="48"/>
      <c r="O7" s="48"/>
      <c r="P7" s="48"/>
      <c r="Q7" s="48"/>
      <c r="R7" s="48"/>
      <c r="S7" s="48"/>
      <c r="T7" s="48"/>
      <c r="U7" s="48"/>
      <c r="V7" s="48"/>
      <c r="W7" s="48"/>
      <c r="X7" s="48"/>
      <c r="Y7" s="48"/>
      <c r="Z7" s="48"/>
    </row>
    <row r="8" spans="1:26" ht="15.75" x14ac:dyDescent="0.25">
      <c r="A8" s="48"/>
      <c r="B8" s="48"/>
      <c r="C8" s="48"/>
      <c r="D8" s="48"/>
      <c r="E8" s="48"/>
      <c r="F8" s="48"/>
      <c r="G8" s="48"/>
      <c r="H8" s="48"/>
      <c r="I8" s="90"/>
      <c r="J8" s="90"/>
      <c r="K8" s="48"/>
      <c r="L8" s="48"/>
      <c r="M8" s="48"/>
      <c r="N8" s="48"/>
      <c r="O8" s="48"/>
      <c r="P8" s="48"/>
      <c r="Q8" s="48"/>
      <c r="R8" s="48"/>
      <c r="S8" s="48"/>
      <c r="T8" s="48"/>
      <c r="U8" s="48"/>
      <c r="V8" s="48"/>
      <c r="W8" s="48"/>
      <c r="X8" s="48"/>
      <c r="Y8" s="48"/>
      <c r="Z8" s="48"/>
    </row>
    <row r="9" spans="1:26" x14ac:dyDescent="0.2">
      <c r="A9" s="48"/>
      <c r="B9" s="48"/>
      <c r="C9" s="48"/>
      <c r="D9" s="48"/>
      <c r="E9" s="48"/>
      <c r="F9" s="48"/>
      <c r="G9" s="48"/>
      <c r="H9" s="48"/>
      <c r="I9" s="48"/>
      <c r="J9" s="48"/>
      <c r="K9" s="48"/>
      <c r="L9" s="48"/>
      <c r="M9" s="48"/>
      <c r="N9" s="48"/>
      <c r="O9" s="48"/>
      <c r="P9" s="48"/>
      <c r="Q9" s="48"/>
      <c r="R9" s="48"/>
      <c r="S9" s="48"/>
      <c r="T9" s="48"/>
      <c r="U9" s="48"/>
      <c r="V9" s="48"/>
      <c r="W9" s="48"/>
      <c r="X9" s="48"/>
      <c r="Y9" s="48"/>
      <c r="Z9" s="48"/>
    </row>
    <row r="10" spans="1:26" x14ac:dyDescent="0.2">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row>
    <row r="11" spans="1:26" x14ac:dyDescent="0.2">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row>
    <row r="12" spans="1:26" x14ac:dyDescent="0.2">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row>
    <row r="13" spans="1:26" x14ac:dyDescent="0.2">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row>
    <row r="14" spans="1:26" x14ac:dyDescent="0.2">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row>
    <row r="15" spans="1:26" x14ac:dyDescent="0.2">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row>
    <row r="16" spans="1:26" x14ac:dyDescent="0.2">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1:26" x14ac:dyDescent="0.2">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row>
    <row r="18" spans="1:26" x14ac:dyDescent="0.2">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row>
    <row r="19" spans="1:26" x14ac:dyDescent="0.2">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x14ac:dyDescent="0.2">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row>
    <row r="21" spans="1:26" x14ac:dyDescent="0.2">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row>
    <row r="22" spans="1:26" x14ac:dyDescent="0.2">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x14ac:dyDescent="0.2">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x14ac:dyDescent="0.2">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x14ac:dyDescent="0.2">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x14ac:dyDescent="0.2">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x14ac:dyDescent="0.2">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row>
    <row r="28" spans="1:26" x14ac:dyDescent="0.2">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x14ac:dyDescent="0.2">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x14ac:dyDescent="0.2">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row>
    <row r="31" spans="1:26" x14ac:dyDescent="0.2">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x14ac:dyDescent="0.2">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x14ac:dyDescent="0.2">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row>
    <row r="34" spans="1:26" x14ac:dyDescent="0.2">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x14ac:dyDescent="0.2">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x14ac:dyDescent="0.2">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x14ac:dyDescent="0.2">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x14ac:dyDescent="0.2">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x14ac:dyDescent="0.2">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x14ac:dyDescent="0.2">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x14ac:dyDescent="0.2">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x14ac:dyDescent="0.2">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x14ac:dyDescent="0.2">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x14ac:dyDescent="0.2">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x14ac:dyDescent="0.2">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x14ac:dyDescent="0.2">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x14ac:dyDescent="0.2">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x14ac:dyDescent="0.2">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x14ac:dyDescent="0.2">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x14ac:dyDescent="0.2">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x14ac:dyDescent="0.2">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sheetData>
  <mergeCells count="2">
    <mergeCell ref="B2:C2"/>
    <mergeCell ref="B3:C3"/>
  </mergeCells>
  <pageMargins left="0.7" right="0.7" top="0.75" bottom="0.75" header="0.3" footer="0.3"/>
  <pageSetup scale="96" orientation="landscape"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81F9-3E96-449E-A527-903E83E687E2}">
  <sheetPr>
    <pageSetUpPr fitToPage="1"/>
  </sheetPr>
  <dimension ref="A1:EX480"/>
  <sheetViews>
    <sheetView zoomScale="85" zoomScaleNormal="85" workbookViewId="0"/>
  </sheetViews>
  <sheetFormatPr defaultRowHeight="12.75" x14ac:dyDescent="0.2"/>
  <cols>
    <col min="1" max="1" width="13.85546875" customWidth="1"/>
    <col min="2" max="2" width="16.7109375" customWidth="1"/>
    <col min="3" max="3" width="15.7109375" customWidth="1"/>
    <col min="4" max="4" width="16.140625" bestFit="1" customWidth="1"/>
    <col min="5" max="5" width="14.7109375" customWidth="1"/>
    <col min="6" max="6" width="11.85546875" customWidth="1"/>
    <col min="7" max="7" width="12.42578125" bestFit="1" customWidth="1"/>
    <col min="8" max="8" width="14" customWidth="1"/>
    <col min="9" max="9" width="12.28515625" customWidth="1"/>
    <col min="10" max="10" width="11" bestFit="1" customWidth="1"/>
    <col min="11" max="11" width="11.7109375" customWidth="1"/>
    <col min="12" max="12" width="10.140625" customWidth="1"/>
    <col min="13" max="14" width="11.28515625" customWidth="1"/>
    <col min="15" max="15" width="12.5703125" customWidth="1"/>
    <col min="16" max="16" width="11.7109375" customWidth="1"/>
    <col min="17" max="17" width="12.7109375" customWidth="1"/>
    <col min="18" max="18" width="12.85546875" customWidth="1"/>
    <col min="19" max="19" width="12.5703125" customWidth="1"/>
    <col min="20" max="21" width="11.7109375" customWidth="1"/>
    <col min="22" max="22" width="12.85546875" bestFit="1" customWidth="1"/>
    <col min="23" max="29" width="10.7109375" customWidth="1"/>
    <col min="30" max="154" width="8.85546875" style="48"/>
  </cols>
  <sheetData>
    <row r="1" spans="1:29" ht="23.25" x14ac:dyDescent="0.35">
      <c r="A1" s="195" t="s">
        <v>178</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row>
    <row r="2" spans="1:29" ht="18.75" x14ac:dyDescent="0.3">
      <c r="A2" s="84"/>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row>
    <row r="3" spans="1:29" ht="18" customHeight="1" x14ac:dyDescent="0.2">
      <c r="A3" s="332" t="s">
        <v>6</v>
      </c>
      <c r="B3" s="333"/>
      <c r="C3" s="334"/>
      <c r="D3" s="48"/>
      <c r="E3" s="48"/>
      <c r="F3" s="48"/>
      <c r="G3" s="48"/>
      <c r="H3" s="48"/>
      <c r="I3" s="48"/>
      <c r="J3" s="48"/>
      <c r="K3" s="48"/>
      <c r="L3" s="48"/>
      <c r="M3" s="48"/>
      <c r="N3" s="48"/>
      <c r="O3" s="48"/>
      <c r="P3" s="48"/>
      <c r="Q3" s="48"/>
      <c r="R3" s="48"/>
      <c r="S3" s="48"/>
      <c r="T3" s="48"/>
      <c r="U3" s="48"/>
      <c r="V3" s="48"/>
      <c r="W3" s="48"/>
      <c r="X3" s="48"/>
      <c r="Y3" s="48"/>
      <c r="Z3" s="48"/>
      <c r="AA3" s="48"/>
      <c r="AB3" s="48"/>
      <c r="AC3" s="48"/>
    </row>
    <row r="4" spans="1:29" ht="19.899999999999999" customHeight="1" x14ac:dyDescent="0.3">
      <c r="A4" s="335" t="s">
        <v>7</v>
      </c>
      <c r="B4" s="335"/>
      <c r="C4" s="44">
        <f>Q38/U38</f>
        <v>1.9827250029826282</v>
      </c>
      <c r="D4" s="60"/>
      <c r="E4" s="48"/>
      <c r="F4" s="48"/>
      <c r="G4" s="48"/>
      <c r="H4" s="48"/>
      <c r="I4" s="48"/>
      <c r="J4" s="48"/>
      <c r="K4" s="48"/>
      <c r="L4" s="48"/>
      <c r="M4" s="48"/>
      <c r="N4" s="48"/>
      <c r="O4" s="48"/>
      <c r="P4" s="48"/>
      <c r="Q4" s="48"/>
      <c r="R4" s="48"/>
      <c r="S4" s="48"/>
      <c r="T4" s="48"/>
      <c r="U4" s="48"/>
      <c r="V4" s="48"/>
      <c r="W4" s="48"/>
      <c r="X4" s="48"/>
      <c r="Y4" s="48"/>
      <c r="Z4" s="48"/>
      <c r="AA4" s="48"/>
      <c r="AB4" s="48"/>
      <c r="AC4" s="48"/>
    </row>
    <row r="5" spans="1:29" ht="18" customHeight="1" x14ac:dyDescent="0.25">
      <c r="A5" s="336" t="s">
        <v>8</v>
      </c>
      <c r="B5" s="336"/>
      <c r="C5" s="42">
        <f>IRR(D12:D37)</f>
        <v>5.1724769456270359E-2</v>
      </c>
      <c r="D5" s="60"/>
      <c r="E5" s="48"/>
      <c r="F5" s="48"/>
      <c r="G5" s="48"/>
      <c r="H5" s="48"/>
      <c r="I5" s="48"/>
      <c r="J5" s="48"/>
      <c r="K5" s="48"/>
      <c r="L5" s="48"/>
      <c r="M5" s="48"/>
      <c r="N5" s="48"/>
      <c r="O5" s="48"/>
      <c r="P5" s="48"/>
      <c r="Q5" s="48"/>
      <c r="R5" s="48"/>
      <c r="S5" s="48"/>
      <c r="T5" s="48"/>
      <c r="U5" s="48"/>
      <c r="V5" s="48"/>
      <c r="W5" s="48"/>
      <c r="X5" s="48"/>
      <c r="Y5" s="48"/>
      <c r="Z5" s="48"/>
      <c r="AA5" s="48"/>
      <c r="AB5" s="48"/>
      <c r="AC5" s="48"/>
    </row>
    <row r="6" spans="1:29" ht="18" customHeight="1" x14ac:dyDescent="0.25">
      <c r="A6" s="336" t="s">
        <v>9</v>
      </c>
      <c r="B6" s="336"/>
      <c r="C6" s="43">
        <f>Q38-U38</f>
        <v>30220905.888611522</v>
      </c>
      <c r="D6" s="60"/>
      <c r="E6" s="48"/>
      <c r="F6" s="48"/>
      <c r="G6" s="48"/>
      <c r="H6" s="48"/>
      <c r="I6" s="48"/>
      <c r="J6" s="48"/>
      <c r="K6" s="48"/>
      <c r="L6" s="48"/>
      <c r="M6" s="48"/>
      <c r="N6" s="48"/>
      <c r="O6" s="48"/>
      <c r="P6" s="48"/>
      <c r="Q6" s="48"/>
      <c r="R6" s="48"/>
      <c r="S6" s="48"/>
      <c r="T6" s="48"/>
      <c r="U6" s="48"/>
      <c r="V6" s="48"/>
      <c r="W6" s="48"/>
      <c r="X6" s="48"/>
      <c r="Y6" s="48"/>
      <c r="Z6" s="48"/>
      <c r="AA6" s="48"/>
      <c r="AB6" s="48"/>
      <c r="AC6" s="48"/>
    </row>
    <row r="7" spans="1:29" ht="18" customHeight="1" x14ac:dyDescent="0.25">
      <c r="A7" s="336" t="s">
        <v>10</v>
      </c>
      <c r="B7" s="336"/>
      <c r="C7" s="42">
        <v>7.0000000000000007E-2</v>
      </c>
      <c r="D7" s="60"/>
      <c r="E7" s="48"/>
      <c r="F7" s="48"/>
      <c r="G7" s="48"/>
      <c r="H7" s="48"/>
      <c r="I7" s="48"/>
      <c r="J7" s="48"/>
      <c r="K7" s="48"/>
      <c r="L7" s="48"/>
      <c r="M7" s="48"/>
      <c r="N7" s="48"/>
      <c r="O7" s="48"/>
      <c r="P7" s="48"/>
      <c r="Q7" s="48"/>
      <c r="R7" s="48"/>
      <c r="S7" s="48"/>
      <c r="T7" s="48"/>
      <c r="U7" s="48"/>
      <c r="V7" s="48"/>
      <c r="W7" s="48"/>
      <c r="X7" s="48"/>
      <c r="Y7" s="48"/>
      <c r="Z7" s="48"/>
      <c r="AA7" s="48"/>
      <c r="AB7" s="48"/>
      <c r="AC7" s="48"/>
    </row>
    <row r="8" spans="1:29" x14ac:dyDescent="0.2">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row>
    <row r="9" spans="1:29" ht="14.45" customHeight="1" x14ac:dyDescent="0.2">
      <c r="A9" s="326" t="s">
        <v>11</v>
      </c>
      <c r="B9" s="327"/>
      <c r="C9" s="327"/>
      <c r="D9" s="327"/>
      <c r="E9" s="328"/>
      <c r="F9" s="48"/>
      <c r="G9" s="345" t="s">
        <v>151</v>
      </c>
      <c r="H9" s="345"/>
      <c r="I9" s="345"/>
      <c r="J9" s="345"/>
      <c r="K9" s="345"/>
      <c r="L9" s="345"/>
      <c r="M9" s="345"/>
      <c r="N9" s="345"/>
      <c r="O9" s="345"/>
      <c r="P9" s="345"/>
      <c r="Q9" s="345"/>
      <c r="R9" s="48"/>
      <c r="S9" s="326" t="s">
        <v>152</v>
      </c>
      <c r="T9" s="327"/>
      <c r="U9" s="328"/>
      <c r="V9" s="48"/>
      <c r="W9" s="48"/>
      <c r="X9" s="48"/>
      <c r="Y9" s="48"/>
      <c r="Z9" s="48"/>
      <c r="AA9" s="48"/>
      <c r="AB9" s="48"/>
      <c r="AC9" s="48"/>
    </row>
    <row r="10" spans="1:29" ht="14.45" customHeight="1" x14ac:dyDescent="0.2">
      <c r="A10" s="329"/>
      <c r="B10" s="330"/>
      <c r="C10" s="330"/>
      <c r="D10" s="330"/>
      <c r="E10" s="331"/>
      <c r="F10" s="48"/>
      <c r="G10" s="339" t="s">
        <v>12</v>
      </c>
      <c r="H10" s="346" t="s">
        <v>23</v>
      </c>
      <c r="I10" s="341" t="s">
        <v>13</v>
      </c>
      <c r="J10" s="342"/>
      <c r="K10" s="341" t="s">
        <v>14</v>
      </c>
      <c r="L10" s="342"/>
      <c r="M10" s="239" t="s">
        <v>15</v>
      </c>
      <c r="N10" s="337" t="s">
        <v>16</v>
      </c>
      <c r="O10" s="337" t="s">
        <v>17</v>
      </c>
      <c r="P10" s="343" t="s">
        <v>202</v>
      </c>
      <c r="Q10" s="337" t="s">
        <v>18</v>
      </c>
      <c r="R10" s="48"/>
      <c r="S10" s="329"/>
      <c r="T10" s="330"/>
      <c r="U10" s="331"/>
      <c r="V10" s="48"/>
      <c r="W10" s="48"/>
      <c r="X10" s="48"/>
      <c r="Y10" s="48"/>
      <c r="Z10" s="48"/>
      <c r="AA10" s="48"/>
      <c r="AB10" s="48"/>
      <c r="AC10" s="48"/>
    </row>
    <row r="11" spans="1:29" ht="48.75" customHeight="1" thickBot="1" x14ac:dyDescent="0.25">
      <c r="A11" s="232" t="s">
        <v>12</v>
      </c>
      <c r="B11" s="232" t="s">
        <v>19</v>
      </c>
      <c r="C11" s="232" t="s">
        <v>20</v>
      </c>
      <c r="D11" s="232" t="s">
        <v>21</v>
      </c>
      <c r="E11" s="232" t="s">
        <v>22</v>
      </c>
      <c r="F11" s="48"/>
      <c r="G11" s="340"/>
      <c r="H11" s="340"/>
      <c r="I11" s="232" t="s">
        <v>24</v>
      </c>
      <c r="J11" s="232" t="s">
        <v>25</v>
      </c>
      <c r="K11" s="232" t="s">
        <v>219</v>
      </c>
      <c r="L11" s="232" t="s">
        <v>26</v>
      </c>
      <c r="M11" s="232" t="s">
        <v>27</v>
      </c>
      <c r="N11" s="338"/>
      <c r="O11" s="338"/>
      <c r="P11" s="344"/>
      <c r="Q11" s="338"/>
      <c r="R11" s="48"/>
      <c r="S11" s="232" t="s">
        <v>12</v>
      </c>
      <c r="T11" s="232" t="s">
        <v>1</v>
      </c>
      <c r="U11" s="232" t="s">
        <v>17</v>
      </c>
      <c r="V11" s="48"/>
      <c r="W11" s="48"/>
      <c r="X11" s="48"/>
      <c r="Y11" s="48"/>
      <c r="Z11" s="48"/>
      <c r="AA11" s="48"/>
      <c r="AB11" s="48"/>
      <c r="AC11" s="48"/>
    </row>
    <row r="12" spans="1:29" ht="13.9" customHeight="1" thickTop="1" x14ac:dyDescent="0.2">
      <c r="A12" s="142">
        <v>2020</v>
      </c>
      <c r="B12" s="108">
        <f>U12</f>
        <v>0</v>
      </c>
      <c r="C12" s="109">
        <f>Q12</f>
        <v>0</v>
      </c>
      <c r="D12" s="108">
        <f t="shared" ref="D12" si="0">C12-B12</f>
        <v>0</v>
      </c>
      <c r="E12" s="110">
        <f>D12</f>
        <v>0</v>
      </c>
      <c r="F12" s="48"/>
      <c r="G12" s="142">
        <v>2020</v>
      </c>
      <c r="H12" s="114"/>
      <c r="I12" s="95"/>
      <c r="J12" s="106"/>
      <c r="K12" s="95"/>
      <c r="L12" s="106"/>
      <c r="M12" s="95"/>
      <c r="N12" s="106"/>
      <c r="O12" s="95"/>
      <c r="P12" s="106"/>
      <c r="Q12" s="95"/>
      <c r="R12" s="48"/>
      <c r="S12" s="142">
        <v>2020</v>
      </c>
      <c r="T12" s="114">
        <f>INDEX(Costs!$G$5:$G$30,MATCH(S12,Costs!$E$5:$E$30,0))</f>
        <v>0</v>
      </c>
      <c r="U12" s="115">
        <f>T12*INDEX(NPV!$C$3:$C$42,MATCH('Summary Table'!$S12,NPV!$B$3:$B$42,0))</f>
        <v>0</v>
      </c>
      <c r="V12" s="48"/>
      <c r="W12" s="48"/>
      <c r="X12" s="48"/>
      <c r="Y12" s="48"/>
      <c r="Z12" s="48"/>
      <c r="AA12" s="48"/>
      <c r="AB12" s="48"/>
      <c r="AC12" s="48"/>
    </row>
    <row r="13" spans="1:29" x14ac:dyDescent="0.2">
      <c r="A13" s="142">
        <v>2021</v>
      </c>
      <c r="B13" s="108">
        <f>U13</f>
        <v>639872.27414330223</v>
      </c>
      <c r="C13" s="109">
        <f>Q13</f>
        <v>0</v>
      </c>
      <c r="D13" s="108">
        <f>C13-B13</f>
        <v>-639872.27414330223</v>
      </c>
      <c r="E13" s="110">
        <f>D13+E12</f>
        <v>-639872.27414330223</v>
      </c>
      <c r="F13" s="48"/>
      <c r="G13" s="142">
        <v>2021</v>
      </c>
      <c r="H13" s="114"/>
      <c r="I13" s="95"/>
      <c r="J13" s="106"/>
      <c r="K13" s="95"/>
      <c r="L13" s="106"/>
      <c r="M13" s="95"/>
      <c r="N13" s="106"/>
      <c r="O13" s="95"/>
      <c r="P13" s="106"/>
      <c r="Q13" s="95"/>
      <c r="R13" s="48"/>
      <c r="S13" s="142">
        <f t="shared" ref="S13:S37" si="1">S12+1</f>
        <v>2021</v>
      </c>
      <c r="T13" s="114">
        <f>INDEX(Costs!$G$5:$G$30,MATCH(S13,Costs!$E$5:$E$30,0))</f>
        <v>684663.33333333337</v>
      </c>
      <c r="U13" s="115">
        <f>T13*INDEX(NPV!$C$3:$C$42,MATCH('Summary Table'!$S13,NPV!$B$3:$B$42,0))</f>
        <v>639872.27414330223</v>
      </c>
      <c r="V13" s="48"/>
      <c r="W13" s="48"/>
      <c r="X13" s="48"/>
      <c r="Y13" s="48"/>
      <c r="Z13" s="48"/>
      <c r="AA13" s="48"/>
      <c r="AB13" s="48"/>
      <c r="AC13" s="48"/>
    </row>
    <row r="14" spans="1:29" x14ac:dyDescent="0.2">
      <c r="A14" s="142">
        <f t="shared" ref="A14:A37" si="2">A13+1</f>
        <v>2022</v>
      </c>
      <c r="B14" s="108">
        <f t="shared" ref="B14:B37" si="3">U14</f>
        <v>316474.51014644653</v>
      </c>
      <c r="C14" s="109">
        <f t="shared" ref="C14:C37" si="4">Q14</f>
        <v>0</v>
      </c>
      <c r="D14" s="108">
        <f t="shared" ref="D14:D37" si="5">C14-B14</f>
        <v>-316474.51014644653</v>
      </c>
      <c r="E14" s="110">
        <f t="shared" ref="E14:E20" si="6">D14+E13</f>
        <v>-956346.78428974876</v>
      </c>
      <c r="F14" s="48"/>
      <c r="G14" s="142">
        <f t="shared" ref="G14:G37" si="7">G13+1</f>
        <v>2022</v>
      </c>
      <c r="H14" s="114"/>
      <c r="I14" s="95"/>
      <c r="J14" s="106"/>
      <c r="K14" s="95"/>
      <c r="L14" s="106"/>
      <c r="M14" s="95"/>
      <c r="N14" s="106"/>
      <c r="O14" s="95"/>
      <c r="P14" s="106"/>
      <c r="Q14" s="95"/>
      <c r="R14" s="48"/>
      <c r="S14" s="142">
        <f t="shared" si="1"/>
        <v>2022</v>
      </c>
      <c r="T14" s="114">
        <f>INDEX(Costs!$G$5:$G$30,MATCH(S14,Costs!$E$5:$E$30,0))</f>
        <v>362331.66666666663</v>
      </c>
      <c r="U14" s="115">
        <f>T14*INDEX(NPV!$C$3:$C$42,MATCH('Summary Table'!$S14,NPV!$B$3:$B$42,0))</f>
        <v>316474.51014644653</v>
      </c>
      <c r="V14" s="48"/>
      <c r="W14" s="48"/>
      <c r="X14" s="48"/>
      <c r="Y14" s="48"/>
      <c r="Z14" s="48"/>
      <c r="AA14" s="48"/>
      <c r="AB14" s="48"/>
      <c r="AC14" s="48"/>
    </row>
    <row r="15" spans="1:29" x14ac:dyDescent="0.2">
      <c r="A15" s="142">
        <f t="shared" si="2"/>
        <v>2023</v>
      </c>
      <c r="B15" s="108">
        <f t="shared" si="3"/>
        <v>122444.68153362778</v>
      </c>
      <c r="C15" s="109">
        <f t="shared" si="4"/>
        <v>0</v>
      </c>
      <c r="D15" s="108">
        <f t="shared" si="5"/>
        <v>-122444.68153362778</v>
      </c>
      <c r="E15" s="110">
        <f t="shared" si="6"/>
        <v>-1078791.4658233766</v>
      </c>
      <c r="F15" s="48"/>
      <c r="G15" s="142">
        <f t="shared" si="7"/>
        <v>2023</v>
      </c>
      <c r="H15" s="114"/>
      <c r="I15" s="95"/>
      <c r="J15" s="106"/>
      <c r="K15" s="95"/>
      <c r="L15" s="106"/>
      <c r="M15" s="95"/>
      <c r="N15" s="106"/>
      <c r="O15" s="95"/>
      <c r="P15" s="106"/>
      <c r="Q15" s="95"/>
      <c r="R15" s="48"/>
      <c r="S15" s="142">
        <f t="shared" si="1"/>
        <v>2023</v>
      </c>
      <c r="T15" s="114">
        <f>INDEX(Costs!$G$5:$G$30,MATCH(S15,Costs!$E$5:$E$30,0))</f>
        <v>150000</v>
      </c>
      <c r="U15" s="115">
        <f>T15*INDEX(NPV!$C$3:$C$42,MATCH('Summary Table'!$S15,NPV!$B$3:$B$42,0))</f>
        <v>122444.68153362778</v>
      </c>
      <c r="V15" s="48"/>
      <c r="W15" s="48"/>
      <c r="X15" s="48"/>
      <c r="Y15" s="48"/>
      <c r="AA15" s="48"/>
      <c r="AB15" s="48"/>
      <c r="AC15" s="48"/>
    </row>
    <row r="16" spans="1:29" x14ac:dyDescent="0.2">
      <c r="A16" s="142">
        <f t="shared" si="2"/>
        <v>2024</v>
      </c>
      <c r="B16" s="108">
        <f t="shared" si="3"/>
        <v>28318670.271204136</v>
      </c>
      <c r="C16" s="109">
        <f t="shared" si="4"/>
        <v>0</v>
      </c>
      <c r="D16" s="108">
        <f>C16-B16</f>
        <v>-28318670.271204136</v>
      </c>
      <c r="E16" s="110">
        <f t="shared" si="6"/>
        <v>-29397461.737027511</v>
      </c>
      <c r="F16" s="48"/>
      <c r="G16" s="142">
        <f t="shared" si="7"/>
        <v>2024</v>
      </c>
      <c r="H16" s="114"/>
      <c r="I16" s="95"/>
      <c r="J16" s="106"/>
      <c r="K16" s="95"/>
      <c r="L16" s="106"/>
      <c r="M16" s="95"/>
      <c r="N16" s="106"/>
      <c r="O16" s="95"/>
      <c r="P16" s="106"/>
      <c r="Q16" s="95"/>
      <c r="R16" s="48"/>
      <c r="S16" s="142">
        <f t="shared" si="1"/>
        <v>2024</v>
      </c>
      <c r="T16" s="114">
        <f>INDEX(Costs!$G$5:$G$30,MATCH(S16,Costs!$E$5:$E$30,0))</f>
        <v>37120000</v>
      </c>
      <c r="U16" s="115">
        <f>T16*INDEX(NPV!$C$3:$C$42,MATCH('Summary Table'!$S16,NPV!$B$3:$B$42,0))</f>
        <v>28318670.271204136</v>
      </c>
      <c r="V16" s="48"/>
      <c r="W16" s="48"/>
      <c r="X16" s="48"/>
      <c r="Y16" s="48"/>
      <c r="Z16" s="48"/>
      <c r="AA16" s="48"/>
      <c r="AB16" s="48"/>
      <c r="AC16" s="48"/>
    </row>
    <row r="17" spans="1:29" x14ac:dyDescent="0.2">
      <c r="A17" s="142">
        <f t="shared" si="2"/>
        <v>2025</v>
      </c>
      <c r="B17" s="108">
        <f t="shared" si="3"/>
        <v>6616511.7456084425</v>
      </c>
      <c r="C17" s="109">
        <f t="shared" si="4"/>
        <v>0</v>
      </c>
      <c r="D17" s="108">
        <f t="shared" si="5"/>
        <v>-6616511.7456084425</v>
      </c>
      <c r="E17" s="110">
        <f>D17+E16</f>
        <v>-36013973.482635953</v>
      </c>
      <c r="F17" s="48"/>
      <c r="G17" s="142">
        <f t="shared" si="7"/>
        <v>2025</v>
      </c>
      <c r="H17" s="114"/>
      <c r="I17" s="95"/>
      <c r="J17" s="106"/>
      <c r="K17" s="95"/>
      <c r="L17" s="106"/>
      <c r="M17" s="95"/>
      <c r="N17" s="106"/>
      <c r="O17" s="95"/>
      <c r="P17" s="106"/>
      <c r="Q17" s="95"/>
      <c r="R17" s="48"/>
      <c r="S17" s="142">
        <f t="shared" si="1"/>
        <v>2025</v>
      </c>
      <c r="T17" s="114">
        <f>INDEX(Costs!$G$5:$G$30,MATCH(S17,Costs!$E$5:$E$30,0))</f>
        <v>9280000</v>
      </c>
      <c r="U17" s="115">
        <f>T17*INDEX(NPV!$C$3:$C$42,MATCH('Summary Table'!$S17,NPV!$B$3:$B$42,0))</f>
        <v>6616511.7456084425</v>
      </c>
      <c r="V17" s="48"/>
      <c r="W17" s="48"/>
      <c r="X17" s="48"/>
      <c r="Y17" s="48"/>
      <c r="Z17" s="48"/>
      <c r="AA17" s="48"/>
      <c r="AB17" s="48"/>
      <c r="AC17" s="48"/>
    </row>
    <row r="18" spans="1:29" x14ac:dyDescent="0.2">
      <c r="A18" s="142">
        <f t="shared" si="2"/>
        <v>2026</v>
      </c>
      <c r="B18" s="108">
        <f t="shared" si="3"/>
        <v>0</v>
      </c>
      <c r="C18" s="109">
        <f t="shared" si="4"/>
        <v>2866660.9739972572</v>
      </c>
      <c r="D18" s="108">
        <f t="shared" si="5"/>
        <v>2866660.9739972572</v>
      </c>
      <c r="E18" s="110">
        <f t="shared" si="6"/>
        <v>-33147312.508638695</v>
      </c>
      <c r="F18" s="48"/>
      <c r="G18" s="142">
        <f t="shared" si="7"/>
        <v>2026</v>
      </c>
      <c r="H18" s="114">
        <f>INDEX(Maintenance!$D$8:$D$27,MATCH(G18,Maintenance!$A$8:$A$27,0))</f>
        <v>1148652</v>
      </c>
      <c r="I18" s="95">
        <f>INDEX('Travel Time'!$J$11:$J$30,MATCH(G18,'Travel Time'!$A$11:$A$30,0))</f>
        <v>21057.439879466663</v>
      </c>
      <c r="J18" s="106">
        <f>INDEX('Travel Time'!$J$38:$J$57,MATCH(G18,'Travel Time'!$A$38:$A$57,0))</f>
        <v>2161694.9507999988</v>
      </c>
      <c r="K18" s="95">
        <f>INDEX('Environmental Protection'!$G$8:$G$27,MATCH(G18,'Environmental Protection'!$A$8:$A$27,0))</f>
        <v>404250</v>
      </c>
      <c r="L18" s="106">
        <f>INDEX('Environmental Protection'!$H$8:$H$27,MATCH(G18,'Environmental Protection'!$A$8:$A$27,0))</f>
        <v>1973</v>
      </c>
      <c r="M18" s="95">
        <f>INDEX(Safety!$D$10:$D$29,MATCH(G18,Safety!$A$10:$A$29,0))</f>
        <v>563951</v>
      </c>
      <c r="N18" s="106">
        <f>SUM(H18:M18)</f>
        <v>4301578.3906794656</v>
      </c>
      <c r="O18" s="95">
        <f>SUM(H18,I18,J18,K18,M18)*INDEX(NPV!$C$3:$C$42,MATCH('Summary Table'!$G18,NPV!$B$3:$B$42,0))</f>
        <v>2865008.6175588202</v>
      </c>
      <c r="P18" s="106">
        <f>L18*INDEX(NPV!$D$3:$D$42,MATCH('Summary Table'!$G18,NPV!$B$3:$B$42,0))</f>
        <v>1652.3564384368503</v>
      </c>
      <c r="Q18" s="95">
        <f>SUM(O18:P18)</f>
        <v>2866660.9739972572</v>
      </c>
      <c r="R18" s="48"/>
      <c r="S18" s="142">
        <f t="shared" si="1"/>
        <v>2026</v>
      </c>
      <c r="T18" s="114">
        <f>INDEX(Costs!$G$5:$G$30,MATCH(S18,Costs!$E$5:$E$30,0))</f>
        <v>0</v>
      </c>
      <c r="U18" s="115">
        <f>T18*INDEX(NPV!$C$3:$C$42,MATCH('Summary Table'!$S18,NPV!$B$3:$B$42,0))</f>
        <v>0</v>
      </c>
      <c r="V18" s="48"/>
      <c r="W18" s="48"/>
      <c r="X18" s="48"/>
      <c r="Y18" s="48"/>
      <c r="Z18" s="48"/>
      <c r="AA18" s="48"/>
      <c r="AB18" s="48"/>
      <c r="AC18" s="48"/>
    </row>
    <row r="19" spans="1:29" x14ac:dyDescent="0.2">
      <c r="A19" s="142">
        <f t="shared" si="2"/>
        <v>2027</v>
      </c>
      <c r="B19" s="108">
        <f t="shared" si="3"/>
        <v>0</v>
      </c>
      <c r="C19" s="109">
        <f t="shared" si="4"/>
        <v>2168467.0520559754</v>
      </c>
      <c r="D19" s="108">
        <f t="shared" si="5"/>
        <v>2168467.0520559754</v>
      </c>
      <c r="E19" s="110">
        <f t="shared" si="6"/>
        <v>-30978845.456582718</v>
      </c>
      <c r="F19" s="48"/>
      <c r="G19" s="142">
        <f t="shared" si="7"/>
        <v>2027</v>
      </c>
      <c r="H19" s="114">
        <f>INDEX(Maintenance!$D$8:$D$27,MATCH(G19,Maintenance!$A$8:$A$27,0))</f>
        <v>0</v>
      </c>
      <c r="I19" s="95">
        <f>INDEX('Travel Time'!$J$11:$J$30,MATCH(G19,'Travel Time'!$A$11:$A$30,0))</f>
        <v>24093.293783999994</v>
      </c>
      <c r="J19" s="106">
        <f>INDEX('Travel Time'!$J$38:$J$57,MATCH(G19,'Travel Time'!$A$38:$A$57,0))</f>
        <v>2473346.7990000006</v>
      </c>
      <c r="K19" s="95">
        <f>INDEX('Environmental Protection'!$G$8:$G$27,MATCH(G19,'Environmental Protection'!$A$8:$A$27,0))</f>
        <v>418027</v>
      </c>
      <c r="L19" s="106">
        <f>INDEX('Environmental Protection'!$H$8:$H$27,MATCH(G19,'Environmental Protection'!$A$8:$A$27,0))</f>
        <v>2042</v>
      </c>
      <c r="M19" s="95">
        <f>INDEX(Safety!$D$10:$D$29,MATCH(G19,Safety!$A$10:$A$29,0))</f>
        <v>563951</v>
      </c>
      <c r="N19" s="106">
        <f t="shared" ref="N19" si="8">SUM(H19:M19)</f>
        <v>3481460.0927840006</v>
      </c>
      <c r="O19" s="95">
        <f>SUM(H19,I19,J19,K19,M19)*INDEX(NPV!$C$3:$C$42,MATCH('Summary Table'!$G19,NPV!$B$3:$B$42,0))</f>
        <v>2166806.7191898124</v>
      </c>
      <c r="P19" s="106">
        <f>L19*INDEX(NPV!$D$3:$D$42,MATCH('Summary Table'!$G19,NPV!$B$3:$B$42,0))</f>
        <v>1660.3328661631285</v>
      </c>
      <c r="Q19" s="95">
        <f t="shared" ref="Q19" si="9">SUM(O19:P19)</f>
        <v>2168467.0520559754</v>
      </c>
      <c r="R19" s="48"/>
      <c r="S19" s="142">
        <f t="shared" si="1"/>
        <v>2027</v>
      </c>
      <c r="T19" s="114">
        <f>INDEX(Costs!$G$5:$G$30,MATCH(S19,Costs!$E$5:$E$30,0))</f>
        <v>0</v>
      </c>
      <c r="U19" s="115">
        <f>T19*INDEX(NPV!$C$3:$C$42,MATCH('Summary Table'!$S19,NPV!$B$3:$B$42,0))</f>
        <v>0</v>
      </c>
      <c r="V19" s="48"/>
      <c r="W19" s="48"/>
      <c r="X19" s="48"/>
      <c r="Y19" s="48"/>
      <c r="Z19" s="48"/>
      <c r="AA19" s="48"/>
      <c r="AB19" s="48"/>
      <c r="AC19" s="48"/>
    </row>
    <row r="20" spans="1:29" x14ac:dyDescent="0.2">
      <c r="A20" s="142">
        <f t="shared" si="2"/>
        <v>2028</v>
      </c>
      <c r="B20" s="108">
        <f t="shared" si="3"/>
        <v>0</v>
      </c>
      <c r="C20" s="109">
        <f t="shared" si="4"/>
        <v>2226041.0693464554</v>
      </c>
      <c r="D20" s="108">
        <f t="shared" si="5"/>
        <v>2226041.0693464554</v>
      </c>
      <c r="E20" s="110">
        <f t="shared" si="6"/>
        <v>-28752804.387236264</v>
      </c>
      <c r="F20" s="48"/>
      <c r="G20" s="142">
        <f t="shared" si="7"/>
        <v>2028</v>
      </c>
      <c r="H20" s="114">
        <f>INDEX(Maintenance!$D$8:$D$27,MATCH(G20,Maintenance!$A$8:$A$27,0))</f>
        <v>0</v>
      </c>
      <c r="I20" s="95">
        <f>INDEX('Travel Time'!$J$11:$J$30,MATCH(G20,'Travel Time'!$A$11:$A$30,0))</f>
        <v>27225.916414666666</v>
      </c>
      <c r="J20" s="106">
        <f>INDEX('Travel Time'!$J$38:$J$57,MATCH(G20,'Travel Time'!$A$38:$A$57,0))</f>
        <v>2794932.6405000016</v>
      </c>
      <c r="K20" s="95">
        <f>INDEX('Environmental Protection'!$G$8:$G$27,MATCH(G20,'Environmental Protection'!$A$8:$A$27,0))</f>
        <v>432230</v>
      </c>
      <c r="L20" s="106">
        <f>INDEX('Environmental Protection'!$H$8:$H$27,MATCH(G20,'Environmental Protection'!$A$8:$A$27,0))</f>
        <v>2148</v>
      </c>
      <c r="M20" s="95">
        <f>INDEX(Safety!$D$10:$D$29,MATCH(G20,Safety!$A$10:$A$29,0))</f>
        <v>567451</v>
      </c>
      <c r="N20" s="106">
        <f>SUM(H20:M20)</f>
        <v>3823987.5569146681</v>
      </c>
      <c r="O20" s="95">
        <f>SUM(H20,I20,J20,K20,M20)*INDEX(NPV!$C$3:$C$42,MATCH('Summary Table'!$G20,NPV!$B$3:$B$42,0))</f>
        <v>2224345.4183111489</v>
      </c>
      <c r="P20" s="106">
        <f>L20*INDEX(NPV!$D$3:$D$42,MATCH('Summary Table'!$G20,NPV!$B$3:$B$42,0))</f>
        <v>1695.6510353063341</v>
      </c>
      <c r="Q20" s="95">
        <f>SUM(O20:P20)</f>
        <v>2226041.0693464554</v>
      </c>
      <c r="R20" s="48"/>
      <c r="S20" s="142">
        <f t="shared" si="1"/>
        <v>2028</v>
      </c>
      <c r="T20" s="114">
        <f>INDEX(Costs!$G$5:$G$30,MATCH(S20,Costs!$E$5:$E$30,0))</f>
        <v>0</v>
      </c>
      <c r="U20" s="115">
        <f>T20*INDEX(NPV!$C$3:$C$42,MATCH('Summary Table'!$S20,NPV!$B$3:$B$42,0))</f>
        <v>0</v>
      </c>
      <c r="V20" s="48"/>
      <c r="W20" s="48"/>
      <c r="X20" s="48"/>
      <c r="Y20" s="48"/>
      <c r="Z20" s="48"/>
      <c r="AA20" s="48"/>
      <c r="AB20" s="48"/>
      <c r="AC20" s="48"/>
    </row>
    <row r="21" spans="1:29" x14ac:dyDescent="0.2">
      <c r="A21" s="142">
        <f t="shared" si="2"/>
        <v>2029</v>
      </c>
      <c r="B21" s="108">
        <f t="shared" si="3"/>
        <v>0</v>
      </c>
      <c r="C21" s="109">
        <f t="shared" si="4"/>
        <v>2270678.5405523921</v>
      </c>
      <c r="D21" s="108">
        <f t="shared" si="5"/>
        <v>2270678.5405523921</v>
      </c>
      <c r="E21" s="111">
        <f>D21+E20</f>
        <v>-26482125.846683871</v>
      </c>
      <c r="F21" s="48"/>
      <c r="G21" s="142">
        <f t="shared" si="7"/>
        <v>2029</v>
      </c>
      <c r="H21" s="114">
        <f>INDEX(Maintenance!$D$8:$D$27,MATCH(G21,Maintenance!$A$8:$A$27,0))</f>
        <v>0</v>
      </c>
      <c r="I21" s="95">
        <f>INDEX('Travel Time'!$J$11:$J$30,MATCH(G21,'Travel Time'!$A$11:$A$30,0))</f>
        <v>30457.426794666666</v>
      </c>
      <c r="J21" s="106">
        <f>INDEX('Travel Time'!$J$38:$J$57,MATCH(G21,'Travel Time'!$A$38:$A$57,0))</f>
        <v>3126670.0079999994</v>
      </c>
      <c r="K21" s="95">
        <f>INDEX('Environmental Protection'!$G$8:$G$27,MATCH(G21,'Environmental Protection'!$A$8:$A$27,0))</f>
        <v>446842</v>
      </c>
      <c r="L21" s="106">
        <f>INDEX('Environmental Protection'!$H$8:$H$27,MATCH(G21,'Environmental Protection'!$A$8:$A$27,0))</f>
        <v>2221</v>
      </c>
      <c r="M21" s="95">
        <f>INDEX(Safety!$D$10:$D$29,MATCH(G21,Safety!$A$10:$A$29,0))</f>
        <v>567451</v>
      </c>
      <c r="N21" s="106">
        <f t="shared" ref="N21:N37" si="10">SUM(H21:M21)</f>
        <v>4173641.4347946662</v>
      </c>
      <c r="O21" s="95">
        <f>SUM(H21,I21,J21,K21,M21)*INDEX(NPV!$C$3:$C$42,MATCH('Summary Table'!$G21,NPV!$B$3:$B$42,0))</f>
        <v>2268976.3289898569</v>
      </c>
      <c r="P21" s="106">
        <f>L21*INDEX(NPV!$D$3:$D$42,MATCH('Summary Table'!$G21,NPV!$B$3:$B$42,0))</f>
        <v>1702.2115625351955</v>
      </c>
      <c r="Q21" s="95">
        <f>SUM(O21:P21)</f>
        <v>2270678.5405523921</v>
      </c>
      <c r="R21" s="48"/>
      <c r="S21" s="142">
        <f t="shared" si="1"/>
        <v>2029</v>
      </c>
      <c r="T21" s="114">
        <f>INDEX(Costs!$G$5:$G$30,MATCH(S21,Costs!$E$5:$E$30,0))</f>
        <v>0</v>
      </c>
      <c r="U21" s="115">
        <f>T21*INDEX(NPV!$C$3:$C$42,MATCH('Summary Table'!$S21,NPV!$B$3:$B$42,0))</f>
        <v>0</v>
      </c>
      <c r="V21" s="48"/>
      <c r="W21" s="48"/>
      <c r="X21" s="48"/>
      <c r="Y21" s="48"/>
      <c r="Z21" s="48"/>
      <c r="AA21" s="48"/>
      <c r="AB21" s="48"/>
      <c r="AC21" s="48"/>
    </row>
    <row r="22" spans="1:29" x14ac:dyDescent="0.2">
      <c r="A22" s="142">
        <f t="shared" si="2"/>
        <v>2030</v>
      </c>
      <c r="B22" s="108">
        <f t="shared" si="3"/>
        <v>0</v>
      </c>
      <c r="C22" s="109">
        <f t="shared" si="4"/>
        <v>3060292.1157522812</v>
      </c>
      <c r="D22" s="108">
        <f t="shared" si="5"/>
        <v>3060292.1157522812</v>
      </c>
      <c r="E22" s="111">
        <f t="shared" ref="E22:E37" si="11">D22+E21</f>
        <v>-23421833.730931591</v>
      </c>
      <c r="F22" s="48"/>
      <c r="G22" s="142">
        <f t="shared" si="7"/>
        <v>2030</v>
      </c>
      <c r="H22" s="114">
        <f>INDEX(Maintenance!$D$8:$D$27,MATCH(G22,Maintenance!$A$8:$A$27,0))</f>
        <v>1478000</v>
      </c>
      <c r="I22" s="95">
        <f>INDEX('Travel Time'!$J$11:$J$30,MATCH(G22,'Travel Time'!$A$11:$A$30,0))</f>
        <v>33792.062970399995</v>
      </c>
      <c r="J22" s="106">
        <f>INDEX('Travel Time'!$J$38:$J$57,MATCH(G22,'Travel Time'!$A$38:$A$57,0))</f>
        <v>3468993.9669000027</v>
      </c>
      <c r="K22" s="95">
        <f>INDEX('Environmental Protection'!$G$8:$G$27,MATCH(G22,'Environmental Protection'!$A$8:$A$27,0))</f>
        <v>463067</v>
      </c>
      <c r="L22" s="106">
        <f>INDEX('Environmental Protection'!$H$8:$H$27,MATCH(G22,'Environmental Protection'!$A$8:$A$27,0))</f>
        <v>2296</v>
      </c>
      <c r="M22" s="95">
        <f>INDEX(Safety!$D$10:$D$29,MATCH(G22,Safety!$A$10:$A$29,0))</f>
        <v>572844</v>
      </c>
      <c r="N22" s="106">
        <f t="shared" si="10"/>
        <v>6018993.029870403</v>
      </c>
      <c r="O22" s="95">
        <f>SUM(H22,I22,J22,K22,M22)*INDEX(NPV!$C$3:$C$42,MATCH('Summary Table'!$G22,NPV!$B$3:$B$42,0))</f>
        <v>3058583.6761236782</v>
      </c>
      <c r="P22" s="106">
        <f>L22*INDEX(NPV!$D$3:$D$42,MATCH('Summary Table'!$G22,NPV!$B$3:$B$42,0))</f>
        <v>1708.4396286028809</v>
      </c>
      <c r="Q22" s="95">
        <f t="shared" ref="Q22:Q37" si="12">SUM(O22:P22)</f>
        <v>3060292.1157522812</v>
      </c>
      <c r="R22" s="48"/>
      <c r="S22" s="142">
        <f t="shared" si="1"/>
        <v>2030</v>
      </c>
      <c r="T22" s="114">
        <f>INDEX(Costs!$G$5:$G$30,MATCH(S22,Costs!$E$5:$E$30,0))</f>
        <v>0</v>
      </c>
      <c r="U22" s="115">
        <f>T22*INDEX(NPV!$C$3:$C$42,MATCH('Summary Table'!$S22,NPV!$B$3:$B$42,0))</f>
        <v>0</v>
      </c>
      <c r="V22" s="48"/>
      <c r="W22" s="48"/>
      <c r="X22" s="48"/>
      <c r="Y22" s="48"/>
      <c r="Z22" s="48"/>
      <c r="AA22" s="48"/>
      <c r="AB22" s="48"/>
      <c r="AC22" s="48"/>
    </row>
    <row r="23" spans="1:29" x14ac:dyDescent="0.2">
      <c r="A23" s="142">
        <f t="shared" si="2"/>
        <v>2031</v>
      </c>
      <c r="B23" s="108">
        <f t="shared" si="3"/>
        <v>0</v>
      </c>
      <c r="C23" s="109">
        <f t="shared" si="4"/>
        <v>2331134.6354288775</v>
      </c>
      <c r="D23" s="108">
        <f t="shared" si="5"/>
        <v>2331134.6354288775</v>
      </c>
      <c r="E23" s="111">
        <f t="shared" si="11"/>
        <v>-21090699.095502712</v>
      </c>
      <c r="F23" s="48"/>
      <c r="G23" s="142">
        <f t="shared" si="7"/>
        <v>2031</v>
      </c>
      <c r="H23" s="114">
        <f>INDEX(Maintenance!$D$8:$D$27,MATCH(G23,Maintenance!$A$8:$A$27,0))</f>
        <v>0</v>
      </c>
      <c r="I23" s="95">
        <f>INDEX('Travel Time'!$J$11:$J$30,MATCH(G23,'Travel Time'!$A$11:$A$30,0))</f>
        <v>37231.325916633323</v>
      </c>
      <c r="J23" s="106">
        <f>INDEX('Travel Time'!$J$38:$J$57,MATCH(G23,'Travel Time'!$A$38:$A$57,0))</f>
        <v>3822058.6028624978</v>
      </c>
      <c r="K23" s="95">
        <f>INDEX('Environmental Protection'!$G$8:$G$27,MATCH(G23,'Environmental Protection'!$A$8:$A$27,0))</f>
        <v>470951</v>
      </c>
      <c r="L23" s="106">
        <f>INDEX('Environmental Protection'!$H$8:$H$27,MATCH(G23,'Environmental Protection'!$A$8:$A$27,0))</f>
        <v>2373</v>
      </c>
      <c r="M23" s="95">
        <f>INDEX(Safety!$D$10:$D$29,MATCH(G23,Safety!$A$10:$A$29,0))</f>
        <v>572844</v>
      </c>
      <c r="N23" s="106">
        <f t="shared" si="10"/>
        <v>4905457.9287791308</v>
      </c>
      <c r="O23" s="95">
        <f>SUM(H23,I23,J23,K23,M23)*INDEX(NPV!$C$3:$C$42,MATCH('Summary Table'!$G23,NPV!$B$3:$B$42,0))</f>
        <v>2329420.3297395087</v>
      </c>
      <c r="P23" s="106">
        <f>L23*INDEX(NPV!$D$3:$D$42,MATCH('Summary Table'!$G23,NPV!$B$3:$B$42,0))</f>
        <v>1714.3056893688629</v>
      </c>
      <c r="Q23" s="95">
        <f t="shared" si="12"/>
        <v>2331134.6354288775</v>
      </c>
      <c r="R23" s="48"/>
      <c r="S23" s="142">
        <f t="shared" si="1"/>
        <v>2031</v>
      </c>
      <c r="T23" s="114">
        <f>INDEX(Costs!$G$5:$G$30,MATCH(S23,Costs!$E$5:$E$30,0))</f>
        <v>0</v>
      </c>
      <c r="U23" s="115">
        <f>T23*INDEX(NPV!$C$3:$C$42,MATCH('Summary Table'!$S23,NPV!$B$3:$B$42,0))</f>
        <v>0</v>
      </c>
      <c r="V23" s="48"/>
      <c r="W23" s="48"/>
      <c r="X23" s="48"/>
      <c r="Y23" s="48"/>
      <c r="Z23" s="48"/>
      <c r="AA23" s="48"/>
      <c r="AB23" s="48"/>
      <c r="AC23" s="48"/>
    </row>
    <row r="24" spans="1:29" x14ac:dyDescent="0.2">
      <c r="A24" s="142">
        <f t="shared" si="2"/>
        <v>2032</v>
      </c>
      <c r="B24" s="108">
        <f t="shared" si="3"/>
        <v>0</v>
      </c>
      <c r="C24" s="109">
        <f t="shared" si="4"/>
        <v>2480382.650084686</v>
      </c>
      <c r="D24" s="108">
        <f t="shared" si="5"/>
        <v>2480382.650084686</v>
      </c>
      <c r="E24" s="111">
        <f t="shared" ref="E24:E34" si="13">D24+E23</f>
        <v>-18610316.445418026</v>
      </c>
      <c r="F24" s="48"/>
      <c r="G24" s="142">
        <f t="shared" si="7"/>
        <v>2032</v>
      </c>
      <c r="H24" s="114">
        <f>INDEX(Maintenance!$D$8:$D$27,MATCH(G24,Maintenance!$A$8:$A$27,0))</f>
        <v>0</v>
      </c>
      <c r="I24" s="95">
        <f>INDEX('Travel Time'!$J$11:$J$30,MATCH(G24,'Travel Time'!$A$11:$A$30,0))</f>
        <v>40777.599534466659</v>
      </c>
      <c r="J24" s="106">
        <f>INDEX('Travel Time'!$J$38:$J$57,MATCH(G24,'Travel Time'!$A$38:$A$57,0))</f>
        <v>4186108.6401750026</v>
      </c>
      <c r="K24" s="95">
        <f>INDEX('Environmental Protection'!$G$8:$G$27,MATCH(G24,'Environmental Protection'!$A$8:$A$27,0))</f>
        <v>478966</v>
      </c>
      <c r="L24" s="106">
        <f>INDEX('Environmental Protection'!$H$8:$H$27,MATCH(G24,'Environmental Protection'!$A$8:$A$27,0))</f>
        <v>2451</v>
      </c>
      <c r="M24" s="95">
        <f>INDEX(Safety!$D$10:$D$29,MATCH(G24,Safety!$A$10:$A$29,0))</f>
        <v>876573</v>
      </c>
      <c r="N24" s="106">
        <f t="shared" si="10"/>
        <v>5584876.2397094695</v>
      </c>
      <c r="O24" s="95">
        <f>SUM(H24,I24,J24,K24,M24)*INDEX(NPV!$C$3:$C$42,MATCH('Summary Table'!$G24,NPV!$B$3:$B$42,0))</f>
        <v>2478663.5679983329</v>
      </c>
      <c r="P24" s="106">
        <f>L24*INDEX(NPV!$D$3:$D$42,MATCH('Summary Table'!$G24,NPV!$B$3:$B$42,0))</f>
        <v>1719.0820863529775</v>
      </c>
      <c r="Q24" s="95">
        <f t="shared" si="12"/>
        <v>2480382.650084686</v>
      </c>
      <c r="R24" s="48"/>
      <c r="S24" s="142">
        <f t="shared" si="1"/>
        <v>2032</v>
      </c>
      <c r="T24" s="114">
        <f>INDEX(Costs!$G$5:$G$30,MATCH(S24,Costs!$E$5:$E$30,0))</f>
        <v>0</v>
      </c>
      <c r="U24" s="115">
        <f>T24*INDEX(NPV!$C$3:$C$42,MATCH('Summary Table'!$S24,NPV!$B$3:$B$42,0))</f>
        <v>0</v>
      </c>
      <c r="V24" s="48"/>
      <c r="W24" s="48"/>
      <c r="X24" s="48"/>
      <c r="Y24" s="48"/>
      <c r="Z24" s="48"/>
      <c r="AA24" s="48"/>
      <c r="AB24" s="48"/>
      <c r="AC24" s="48"/>
    </row>
    <row r="25" spans="1:29" x14ac:dyDescent="0.2">
      <c r="A25" s="142">
        <f t="shared" si="2"/>
        <v>2033</v>
      </c>
      <c r="B25" s="108">
        <f t="shared" si="3"/>
        <v>0</v>
      </c>
      <c r="C25" s="109">
        <f t="shared" si="4"/>
        <v>2478856.9596504066</v>
      </c>
      <c r="D25" s="108">
        <f t="shared" si="5"/>
        <v>2478856.9596504066</v>
      </c>
      <c r="E25" s="111">
        <f t="shared" si="13"/>
        <v>-16131459.48576762</v>
      </c>
      <c r="F25" s="48"/>
      <c r="G25" s="142">
        <f t="shared" si="7"/>
        <v>2033</v>
      </c>
      <c r="H25" s="114">
        <f>INDEX(Maintenance!$D$8:$D$27,MATCH(G25,Maintenance!$A$8:$A$27,0))</f>
        <v>0</v>
      </c>
      <c r="I25" s="95">
        <f>INDEX('Travel Time'!$J$11:$J$30,MATCH(G25,'Travel Time'!$A$11:$A$30,0))</f>
        <v>44433.267724999998</v>
      </c>
      <c r="J25" s="106">
        <f>INDEX('Travel Time'!$J$38:$J$57,MATCH(G25,'Travel Time'!$A$38:$A$57,0))</f>
        <v>4561388.8031249996</v>
      </c>
      <c r="K25" s="95">
        <f>INDEX('Environmental Protection'!$G$8:$G$27,MATCH(G25,'Environmental Protection'!$A$8:$A$27,0))</f>
        <v>487111</v>
      </c>
      <c r="L25" s="106">
        <f>INDEX('Environmental Protection'!$H$8:$H$27,MATCH(G25,'Environmental Protection'!$A$8:$A$27,0))</f>
        <v>2532</v>
      </c>
      <c r="M25" s="95">
        <f>INDEX(Safety!$D$10:$D$29,MATCH(G25,Safety!$A$10:$A$29,0))</f>
        <v>876573</v>
      </c>
      <c r="N25" s="106">
        <f t="shared" si="10"/>
        <v>5972038.0708499998</v>
      </c>
      <c r="O25" s="95">
        <f>SUM(H25,I25,J25,K25,M25)*INDEX(NPV!$C$3:$C$42,MATCH('Summary Table'!$G25,NPV!$B$3:$B$42,0))</f>
        <v>2477132.7908575437</v>
      </c>
      <c r="P25" s="106">
        <f>L25*INDEX(NPV!$D$3:$D$42,MATCH('Summary Table'!$G25,NPV!$B$3:$B$42,0))</f>
        <v>1724.1687928627264</v>
      </c>
      <c r="Q25" s="95">
        <f t="shared" si="12"/>
        <v>2478856.9596504066</v>
      </c>
      <c r="R25" s="48"/>
      <c r="S25" s="142">
        <f t="shared" si="1"/>
        <v>2033</v>
      </c>
      <c r="T25" s="114">
        <f>INDEX(Costs!$G$5:$G$30,MATCH(S25,Costs!$E$5:$E$30,0))</f>
        <v>0</v>
      </c>
      <c r="U25" s="115">
        <f>T25*INDEX(NPV!$C$3:$C$42,MATCH('Summary Table'!$S25,NPV!$B$3:$B$42,0))</f>
        <v>0</v>
      </c>
      <c r="V25" s="48"/>
      <c r="W25" s="48"/>
      <c r="X25" s="48"/>
      <c r="Y25" s="48"/>
      <c r="Z25" s="48"/>
      <c r="AA25" s="48"/>
      <c r="AB25" s="48"/>
      <c r="AC25" s="48"/>
    </row>
    <row r="26" spans="1:29" x14ac:dyDescent="0.2">
      <c r="A26" s="142">
        <f t="shared" si="2"/>
        <v>2034</v>
      </c>
      <c r="B26" s="108">
        <f t="shared" si="3"/>
        <v>0</v>
      </c>
      <c r="C26" s="109">
        <f t="shared" si="4"/>
        <v>3189684.648363153</v>
      </c>
      <c r="D26" s="108">
        <f t="shared" si="5"/>
        <v>3189684.648363153</v>
      </c>
      <c r="E26" s="111">
        <f t="shared" si="13"/>
        <v>-12941774.837404467</v>
      </c>
      <c r="F26" s="48"/>
      <c r="G26" s="142">
        <f t="shared" si="7"/>
        <v>2034</v>
      </c>
      <c r="H26" s="114">
        <f>INDEX(Maintenance!$D$8:$D$27,MATCH(G26,Maintenance!$A$8:$A$27,0))</f>
        <v>1848000</v>
      </c>
      <c r="I26" s="95">
        <f>INDEX('Travel Time'!$J$11:$J$30,MATCH(G26,'Travel Time'!$A$11:$A$30,0))</f>
        <v>48202.127071466668</v>
      </c>
      <c r="J26" s="106">
        <f>INDEX('Travel Time'!$J$38:$J$57,MATCH(G26,'Travel Time'!$A$38:$A$57,0))</f>
        <v>4948288.8378000008</v>
      </c>
      <c r="K26" s="95">
        <f>INDEX('Environmental Protection'!$G$8:$G$27,MATCH(G26,'Environmental Protection'!$A$8:$A$27,0))</f>
        <v>495402</v>
      </c>
      <c r="L26" s="106">
        <f>INDEX('Environmental Protection'!$H$8:$H$27,MATCH(G26,'Environmental Protection'!$A$8:$A$27,0))</f>
        <v>2615</v>
      </c>
      <c r="M26" s="95">
        <f>INDEX(Safety!$D$10:$D$29,MATCH(G26,Safety!$A$10:$A$29,0))</f>
        <v>880360</v>
      </c>
      <c r="N26" s="106">
        <f t="shared" si="10"/>
        <v>8222867.964871468</v>
      </c>
      <c r="O26" s="95">
        <f>SUM(H26,I26,J26,K26,M26)*INDEX(NPV!$C$3:$C$42,MATCH('Summary Table'!$G26,NPV!$B$3:$B$42,0))</f>
        <v>3187955.8253009375</v>
      </c>
      <c r="P26" s="106">
        <f>L26*INDEX(NPV!$D$3:$D$42,MATCH('Summary Table'!$G26,NPV!$B$3:$B$42,0))</f>
        <v>1728.8230622156893</v>
      </c>
      <c r="Q26" s="95">
        <f t="shared" si="12"/>
        <v>3189684.648363153</v>
      </c>
      <c r="R26" s="48"/>
      <c r="S26" s="142">
        <f t="shared" si="1"/>
        <v>2034</v>
      </c>
      <c r="T26" s="114">
        <f>INDEX(Costs!$G$5:$G$30,MATCH(S26,Costs!$E$5:$E$30,0))</f>
        <v>0</v>
      </c>
      <c r="U26" s="115">
        <f>T26*INDEX(NPV!$C$3:$C$42,MATCH('Summary Table'!$S26,NPV!$B$3:$B$42,0))</f>
        <v>0</v>
      </c>
      <c r="V26" s="48"/>
      <c r="W26" s="48"/>
      <c r="X26" s="48"/>
      <c r="Y26" s="48"/>
      <c r="Z26" s="48"/>
      <c r="AA26" s="48"/>
      <c r="AB26" s="48"/>
      <c r="AC26" s="48"/>
    </row>
    <row r="27" spans="1:29" x14ac:dyDescent="0.2">
      <c r="A27" s="142">
        <f t="shared" si="2"/>
        <v>2035</v>
      </c>
      <c r="B27" s="108">
        <f t="shared" si="3"/>
        <v>0</v>
      </c>
      <c r="C27" s="109">
        <f t="shared" si="4"/>
        <v>2460336.4851470902</v>
      </c>
      <c r="D27" s="108">
        <f t="shared" si="5"/>
        <v>2460336.4851470902</v>
      </c>
      <c r="E27" s="111">
        <f t="shared" si="13"/>
        <v>-10481438.352257377</v>
      </c>
      <c r="F27" s="48"/>
      <c r="G27" s="142">
        <f t="shared" si="7"/>
        <v>2035</v>
      </c>
      <c r="H27" s="114">
        <f>INDEX(Maintenance!$D$8:$D$27,MATCH(G27,Maintenance!$A$8:$A$27,0))</f>
        <v>0</v>
      </c>
      <c r="I27" s="95">
        <f>INDEX('Travel Time'!$J$11:$J$30,MATCH(G27,'Travel Time'!$A$11:$A$30,0))</f>
        <v>52086.826352866665</v>
      </c>
      <c r="J27" s="106">
        <f>INDEX('Travel Time'!$J$38:$J$57,MATCH(G27,'Travel Time'!$A$38:$A$57,0))</f>
        <v>5347080.6600749986</v>
      </c>
      <c r="K27" s="95">
        <f>INDEX('Environmental Protection'!$G$8:$G$27,MATCH(G27,'Environmental Protection'!$A$8:$A$27,0))</f>
        <v>503837</v>
      </c>
      <c r="L27" s="106">
        <f>INDEX('Environmental Protection'!$H$8:$H$27,MATCH(G27,'Environmental Protection'!$A$8:$A$27,0))</f>
        <v>2700</v>
      </c>
      <c r="M27" s="95">
        <f>INDEX(Safety!$D$10:$D$29,MATCH(G27,Safety!$A$10:$A$29,0))</f>
        <v>880360</v>
      </c>
      <c r="N27" s="106">
        <f t="shared" si="10"/>
        <v>6786064.486427865</v>
      </c>
      <c r="O27" s="95">
        <f>SUM(H27,I27,J27,K27,M27)*INDEX(NPV!$C$3:$C$42,MATCH('Summary Table'!$G27,NPV!$B$3:$B$42,0))</f>
        <v>2458603.4578891192</v>
      </c>
      <c r="P27" s="106">
        <f>L27*INDEX(NPV!$D$3:$D$42,MATCH('Summary Table'!$G27,NPV!$B$3:$B$42,0))</f>
        <v>1733.0272579711377</v>
      </c>
      <c r="Q27" s="95">
        <f t="shared" si="12"/>
        <v>2460336.4851470902</v>
      </c>
      <c r="R27" s="48"/>
      <c r="S27" s="142">
        <f t="shared" si="1"/>
        <v>2035</v>
      </c>
      <c r="T27" s="114">
        <f>INDEX(Costs!$G$5:$G$30,MATCH(S27,Costs!$E$5:$E$30,0))</f>
        <v>0</v>
      </c>
      <c r="U27" s="115">
        <f>T27*INDEX(NPV!$C$3:$C$42,MATCH('Summary Table'!$S27,NPV!$B$3:$B$42,0))</f>
        <v>0</v>
      </c>
      <c r="V27" s="48"/>
      <c r="W27" s="48"/>
      <c r="X27" s="48"/>
      <c r="Y27" s="48"/>
      <c r="Z27" s="48"/>
      <c r="AA27" s="48"/>
      <c r="AB27" s="48"/>
      <c r="AC27" s="48"/>
    </row>
    <row r="28" spans="1:29" x14ac:dyDescent="0.2">
      <c r="A28" s="142">
        <f t="shared" si="2"/>
        <v>2036</v>
      </c>
      <c r="B28" s="108">
        <f t="shared" si="3"/>
        <v>0</v>
      </c>
      <c r="C28" s="109">
        <f t="shared" si="4"/>
        <v>2444175.6828006832</v>
      </c>
      <c r="D28" s="108">
        <f t="shared" si="5"/>
        <v>2444175.6828006832</v>
      </c>
      <c r="E28" s="111">
        <f t="shared" si="13"/>
        <v>-8037262.6694566933</v>
      </c>
      <c r="F28" s="48"/>
      <c r="G28" s="142">
        <f t="shared" si="7"/>
        <v>2036</v>
      </c>
      <c r="H28" s="114">
        <f>INDEX(Maintenance!$D$8:$D$27,MATCH(G28,Maintenance!$A$8:$A$27,0))</f>
        <v>0</v>
      </c>
      <c r="I28" s="95">
        <f>INDEX('Travel Time'!$J$11:$J$30,MATCH(G28,'Travel Time'!$A$11:$A$30,0))</f>
        <v>56090.014348199991</v>
      </c>
      <c r="J28" s="106">
        <f>INDEX('Travel Time'!$J$38:$J$57,MATCH(G28,'Travel Time'!$A$38:$A$57,0))</f>
        <v>5758036.1858249996</v>
      </c>
      <c r="K28" s="95">
        <f>INDEX('Environmental Protection'!$G$8:$G$27,MATCH(G28,'Environmental Protection'!$A$8:$A$27,0))</f>
        <v>512418</v>
      </c>
      <c r="L28" s="106">
        <f>INDEX('Environmental Protection'!$H$8:$H$27,MATCH(G28,'Environmental Protection'!$A$8:$A$27,0))</f>
        <v>2828</v>
      </c>
      <c r="M28" s="95">
        <f>INDEX(Safety!$D$10:$D$29,MATCH(G28,Safety!$A$10:$A$29,0))</f>
        <v>883860</v>
      </c>
      <c r="N28" s="106">
        <f t="shared" si="10"/>
        <v>7213232.2001731992</v>
      </c>
      <c r="O28" s="95">
        <f>SUM(H28,I28,J28,K28,M28)*INDEX(NPV!$C$3:$C$42,MATCH('Summary Table'!$G28,NPV!$B$3:$B$42,0))</f>
        <v>2442413.3666965687</v>
      </c>
      <c r="P28" s="106">
        <f>L28*INDEX(NPV!$D$3:$D$42,MATCH('Summary Table'!$G28,NPV!$B$3:$B$42,0))</f>
        <v>1762.3161041144833</v>
      </c>
      <c r="Q28" s="95">
        <f t="shared" si="12"/>
        <v>2444175.6828006832</v>
      </c>
      <c r="R28" s="48"/>
      <c r="S28" s="142">
        <f t="shared" si="1"/>
        <v>2036</v>
      </c>
      <c r="T28" s="114">
        <f>INDEX(Costs!$G$5:$G$30,MATCH(S28,Costs!$E$5:$E$30,0))</f>
        <v>0</v>
      </c>
      <c r="U28" s="115">
        <f>T28*INDEX(NPV!$C$3:$C$42,MATCH('Summary Table'!$S28,NPV!$B$3:$B$42,0))</f>
        <v>0</v>
      </c>
      <c r="V28" s="48"/>
      <c r="W28" s="48"/>
      <c r="X28" s="48"/>
      <c r="Y28" s="48"/>
      <c r="Z28" s="48"/>
      <c r="AA28" s="48"/>
      <c r="AB28" s="48"/>
      <c r="AC28" s="48"/>
    </row>
    <row r="29" spans="1:29" x14ac:dyDescent="0.2">
      <c r="A29" s="142">
        <f t="shared" si="2"/>
        <v>2037</v>
      </c>
      <c r="B29" s="108">
        <f t="shared" si="3"/>
        <v>0</v>
      </c>
      <c r="C29" s="109">
        <f t="shared" si="4"/>
        <v>2422437.2272522878</v>
      </c>
      <c r="D29" s="108">
        <f t="shared" si="5"/>
        <v>2422437.2272522878</v>
      </c>
      <c r="E29" s="111">
        <f t="shared" si="13"/>
        <v>-5614825.4422044056</v>
      </c>
      <c r="F29" s="48"/>
      <c r="G29" s="142">
        <f t="shared" si="7"/>
        <v>2037</v>
      </c>
      <c r="H29" s="114">
        <f>INDEX(Maintenance!$D$8:$D$27,MATCH(G29,Maintenance!$A$8:$A$27,0))</f>
        <v>0</v>
      </c>
      <c r="I29" s="95">
        <f>INDEX('Travel Time'!$J$11:$J$30,MATCH(G29,'Travel Time'!$A$11:$A$30,0))</f>
        <v>60212.662276433315</v>
      </c>
      <c r="J29" s="106">
        <f>INDEX('Travel Time'!$J$38:$J$57,MATCH(G29,'Travel Time'!$A$38:$A$57,0))</f>
        <v>6181255.1175374985</v>
      </c>
      <c r="K29" s="95">
        <f>INDEX('Environmental Protection'!$G$8:$G$27,MATCH(G29,'Environmental Protection'!$A$8:$A$27,0))</f>
        <v>521129</v>
      </c>
      <c r="L29" s="106">
        <f>INDEX('Environmental Protection'!$H$8:$H$27,MATCH(G29,'Environmental Protection'!$A$8:$A$27,0))</f>
        <v>2917</v>
      </c>
      <c r="M29" s="95">
        <f>INDEX(Safety!$D$10:$D$29,MATCH(G29,Safety!$A$10:$A$29,0))</f>
        <v>883860</v>
      </c>
      <c r="N29" s="106">
        <f t="shared" si="10"/>
        <v>7649373.7798139323</v>
      </c>
      <c r="O29" s="95">
        <f>SUM(H29,I29,J29,K29,M29)*INDEX(NPV!$C$3:$C$42,MATCH('Summary Table'!$G29,NPV!$B$3:$B$42,0))</f>
        <v>2420672.3942797584</v>
      </c>
      <c r="P29" s="106">
        <f>L29*INDEX(NPV!$D$3:$D$42,MATCH('Summary Table'!$G29,NPV!$B$3:$B$42,0))</f>
        <v>1764.8329725291976</v>
      </c>
      <c r="Q29" s="95">
        <f t="shared" si="12"/>
        <v>2422437.2272522878</v>
      </c>
      <c r="R29" s="48"/>
      <c r="S29" s="142">
        <f t="shared" si="1"/>
        <v>2037</v>
      </c>
      <c r="T29" s="114">
        <f>INDEX(Costs!$G$5:$G$30,MATCH(S29,Costs!$E$5:$E$30,0))</f>
        <v>0</v>
      </c>
      <c r="U29" s="115">
        <f>T29*INDEX(NPV!$C$3:$C$42,MATCH('Summary Table'!$S29,NPV!$B$3:$B$42,0))</f>
        <v>0</v>
      </c>
      <c r="V29" s="48"/>
      <c r="W29" s="48"/>
      <c r="X29" s="48"/>
      <c r="Y29" s="48"/>
      <c r="Z29" s="48"/>
      <c r="AA29" s="48"/>
      <c r="AB29" s="48"/>
      <c r="AC29" s="48"/>
    </row>
    <row r="30" spans="1:29" x14ac:dyDescent="0.2">
      <c r="A30" s="142">
        <f t="shared" si="2"/>
        <v>2038</v>
      </c>
      <c r="B30" s="108">
        <f t="shared" si="3"/>
        <v>0</v>
      </c>
      <c r="C30" s="109">
        <f t="shared" si="4"/>
        <v>4546419.7006257139</v>
      </c>
      <c r="D30" s="108">
        <f t="shared" si="5"/>
        <v>4546419.7006257139</v>
      </c>
      <c r="E30" s="111">
        <f>D30+E29</f>
        <v>-1068405.7415786916</v>
      </c>
      <c r="F30" s="48"/>
      <c r="G30" s="142">
        <f t="shared" si="7"/>
        <v>2038</v>
      </c>
      <c r="H30" s="114">
        <f>INDEX(Maintenance!$D$8:$D$27,MATCH(G30,Maintenance!$A$8:$A$27,0))</f>
        <v>0</v>
      </c>
      <c r="I30" s="95">
        <f>INDEX('Travel Time'!$J$11:$J$30,MATCH(G30,'Travel Time'!$A$11:$A$30,0))</f>
        <v>128921.371488</v>
      </c>
      <c r="J30" s="106">
        <f>INDEX('Travel Time'!$J$38:$J$57,MATCH(G30,'Travel Time'!$A$38:$A$57,0))</f>
        <v>13234689.467999998</v>
      </c>
      <c r="K30" s="95">
        <f>INDEX('Environmental Protection'!$G$8:$G$27,MATCH(G30,'Environmental Protection'!$A$8:$A$27,0))</f>
        <v>1060000</v>
      </c>
      <c r="L30" s="106">
        <f>INDEX('Environmental Protection'!$H$8:$H$27,MATCH(G30,'Environmental Protection'!$A$8:$A$27,0))</f>
        <v>6019</v>
      </c>
      <c r="M30" s="95">
        <f>INDEX(Safety!$D$10:$D$29,MATCH(G30,Safety!$A$10:$A$29,0))</f>
        <v>931030</v>
      </c>
      <c r="N30" s="106">
        <f t="shared" si="10"/>
        <v>15360659.839487998</v>
      </c>
      <c r="O30" s="95">
        <f>SUM(H30,I30,J30,K30,M30)*INDEX(NPV!$C$3:$C$42,MATCH('Summary Table'!$G30,NPV!$B$3:$B$42,0))</f>
        <v>4542884.1724824719</v>
      </c>
      <c r="P30" s="106">
        <f>L30*INDEX(NPV!$D$3:$D$42,MATCH('Summary Table'!$G30,NPV!$B$3:$B$42,0))</f>
        <v>3535.5281432424058</v>
      </c>
      <c r="Q30" s="95">
        <f t="shared" si="12"/>
        <v>4546419.7006257139</v>
      </c>
      <c r="R30" s="48"/>
      <c r="S30" s="142">
        <f t="shared" si="1"/>
        <v>2038</v>
      </c>
      <c r="T30" s="114">
        <f>INDEX(Costs!$G$5:$G$30,MATCH(S30,Costs!$E$5:$E$30,0))</f>
        <v>0</v>
      </c>
      <c r="U30" s="115">
        <f>T30*INDEX(NPV!$C$3:$C$42,MATCH('Summary Table'!$S30,NPV!$B$3:$B$42,0))</f>
        <v>0</v>
      </c>
      <c r="V30" s="48"/>
      <c r="W30" s="48"/>
      <c r="X30" s="48"/>
      <c r="Y30" s="48"/>
      <c r="Z30" s="48"/>
      <c r="AA30" s="48"/>
      <c r="AB30" s="48"/>
      <c r="AC30" s="48"/>
    </row>
    <row r="31" spans="1:29" x14ac:dyDescent="0.2">
      <c r="A31" s="142">
        <f t="shared" si="2"/>
        <v>2039</v>
      </c>
      <c r="B31" s="108">
        <f t="shared" si="3"/>
        <v>0</v>
      </c>
      <c r="C31" s="109">
        <f t="shared" si="4"/>
        <v>4317182.4262031531</v>
      </c>
      <c r="D31" s="108">
        <f t="shared" si="5"/>
        <v>4317182.4262031531</v>
      </c>
      <c r="E31" s="111">
        <f t="shared" si="13"/>
        <v>3248776.6846244615</v>
      </c>
      <c r="F31" s="48"/>
      <c r="G31" s="142">
        <f t="shared" si="7"/>
        <v>2039</v>
      </c>
      <c r="H31" s="114">
        <f>INDEX(Maintenance!$D$8:$D$27,MATCH(G31,Maintenance!$A$8:$A$27,0))</f>
        <v>0</v>
      </c>
      <c r="I31" s="95">
        <f>INDEX('Travel Time'!$J$11:$J$30,MATCH(G31,'Travel Time'!$A$11:$A$30,0))</f>
        <v>131118.09220533329</v>
      </c>
      <c r="J31" s="106">
        <f>INDEX('Travel Time'!$J$38:$J$57,MATCH(G31,'Travel Time'!$A$38:$A$57,0))</f>
        <v>13460198.366999997</v>
      </c>
      <c r="K31" s="95">
        <f>INDEX('Environmental Protection'!$G$8:$G$27,MATCH(G31,'Environmental Protection'!$A$8:$A$27,0))</f>
        <v>1078061</v>
      </c>
      <c r="L31" s="106">
        <f>INDEX('Environmental Protection'!$H$8:$H$27,MATCH(G31,'Environmental Protection'!$A$8:$A$27,0))</f>
        <v>6207</v>
      </c>
      <c r="M31" s="95">
        <f>INDEX(Safety!$D$10:$D$29,MATCH(G31,Safety!$A$10:$A$29,0))</f>
        <v>931030</v>
      </c>
      <c r="N31" s="106">
        <f t="shared" si="10"/>
        <v>15606614.459205329</v>
      </c>
      <c r="O31" s="95">
        <f>SUM(H31,I31,J31,K31,M31)*INDEX(NPV!$C$3:$C$42,MATCH('Summary Table'!$G31,NPV!$B$3:$B$42,0))</f>
        <v>4313642.6608347315</v>
      </c>
      <c r="P31" s="106">
        <f>L31*INDEX(NPV!$D$3:$D$42,MATCH('Summary Table'!$G31,NPV!$B$3:$B$42,0))</f>
        <v>3539.7653684216184</v>
      </c>
      <c r="Q31" s="95">
        <f t="shared" si="12"/>
        <v>4317182.4262031531</v>
      </c>
      <c r="R31" s="48"/>
      <c r="S31" s="142">
        <f t="shared" si="1"/>
        <v>2039</v>
      </c>
      <c r="T31" s="114">
        <f>INDEX(Costs!$G$5:$G$30,MATCH(S31,Costs!$E$5:$E$30,0))</f>
        <v>0</v>
      </c>
      <c r="U31" s="115">
        <f>T31*INDEX(NPV!$C$3:$C$42,MATCH('Summary Table'!$S31,NPV!$B$3:$B$42,0))</f>
        <v>0</v>
      </c>
      <c r="V31" s="48"/>
      <c r="W31" s="48"/>
      <c r="X31" s="48"/>
      <c r="Y31" s="48"/>
      <c r="Z31" s="48"/>
      <c r="AA31" s="48"/>
      <c r="AB31" s="48"/>
      <c r="AC31" s="48"/>
    </row>
    <row r="32" spans="1:29" x14ac:dyDescent="0.2">
      <c r="A32" s="142">
        <f t="shared" si="2"/>
        <v>2040</v>
      </c>
      <c r="B32" s="108">
        <f t="shared" si="3"/>
        <v>0</v>
      </c>
      <c r="C32" s="109">
        <f t="shared" si="4"/>
        <v>4100320.1873704367</v>
      </c>
      <c r="D32" s="108">
        <f t="shared" si="5"/>
        <v>4100320.1873704367</v>
      </c>
      <c r="E32" s="111">
        <f t="shared" si="13"/>
        <v>7349096.8719948977</v>
      </c>
      <c r="F32" s="48"/>
      <c r="G32" s="142">
        <f t="shared" si="7"/>
        <v>2040</v>
      </c>
      <c r="H32" s="114">
        <f>INDEX(Maintenance!$D$8:$D$27,MATCH(G32,Maintenance!$A$8:$A$27,0))</f>
        <v>0</v>
      </c>
      <c r="I32" s="95">
        <f>INDEX('Travel Time'!$J$11:$J$30,MATCH(G32,'Travel Time'!$A$11:$A$30,0))</f>
        <v>133346.59827066667</v>
      </c>
      <c r="J32" s="106">
        <f>INDEX('Travel Time'!$J$38:$J$57,MATCH(G32,'Travel Time'!$A$38:$A$57,0))</f>
        <v>13688970.256499998</v>
      </c>
      <c r="K32" s="95">
        <f>INDEX('Environmental Protection'!$G$8:$G$27,MATCH(G32,'Environmental Protection'!$A$8:$A$27,0))</f>
        <v>1096384</v>
      </c>
      <c r="L32" s="106">
        <f>INDEX('Environmental Protection'!$H$8:$H$27,MATCH(G32,'Environmental Protection'!$A$8:$A$27,0))</f>
        <v>6401</v>
      </c>
      <c r="M32" s="95">
        <f>INDEX(Safety!$D$10:$D$29,MATCH(G32,Safety!$A$10:$A$29,0))</f>
        <v>934530</v>
      </c>
      <c r="N32" s="106">
        <f t="shared" si="10"/>
        <v>15859631.854770664</v>
      </c>
      <c r="O32" s="95">
        <f>SUM(H32,I32,J32,K32,M32)*INDEX(NPV!$C$3:$C$42,MATCH('Summary Table'!$G32,NPV!$B$3:$B$42,0))</f>
        <v>4096776.1088678902</v>
      </c>
      <c r="P32" s="106">
        <f>L32*INDEX(NPV!$D$3:$D$42,MATCH('Summary Table'!$G32,NPV!$B$3:$B$42,0))</f>
        <v>3544.0785025467303</v>
      </c>
      <c r="Q32" s="95">
        <f t="shared" si="12"/>
        <v>4100320.1873704367</v>
      </c>
      <c r="R32" s="48"/>
      <c r="S32" s="142">
        <f t="shared" si="1"/>
        <v>2040</v>
      </c>
      <c r="T32" s="114">
        <f>INDEX(Costs!$G$5:$G$30,MATCH(S32,Costs!$E$5:$E$30,0))</f>
        <v>0</v>
      </c>
      <c r="U32" s="115">
        <f>T32*INDEX(NPV!$C$3:$C$42,MATCH('Summary Table'!$S32,NPV!$B$3:$B$42,0))</f>
        <v>0</v>
      </c>
      <c r="V32" s="48"/>
      <c r="W32" s="48"/>
      <c r="X32" s="48"/>
      <c r="Y32" s="48"/>
      <c r="Z32" s="48"/>
      <c r="AA32" s="48"/>
      <c r="AB32" s="48"/>
      <c r="AC32" s="48"/>
    </row>
    <row r="33" spans="1:29" x14ac:dyDescent="0.2">
      <c r="A33" s="142">
        <f t="shared" si="2"/>
        <v>2041</v>
      </c>
      <c r="B33" s="108">
        <f t="shared" si="3"/>
        <v>0</v>
      </c>
      <c r="C33" s="109">
        <f t="shared" si="4"/>
        <v>3894127.5582669368</v>
      </c>
      <c r="D33" s="108">
        <f t="shared" si="5"/>
        <v>3894127.5582669368</v>
      </c>
      <c r="E33" s="111">
        <f t="shared" si="13"/>
        <v>11243224.430261835</v>
      </c>
      <c r="F33" s="48"/>
      <c r="G33" s="142">
        <f t="shared" si="7"/>
        <v>2041</v>
      </c>
      <c r="H33" s="114">
        <f>INDEX(Maintenance!$D$8:$D$27,MATCH(G33,Maintenance!$A$8:$A$27,0))</f>
        <v>0</v>
      </c>
      <c r="I33" s="95">
        <f>INDEX('Travel Time'!$J$11:$J$30,MATCH(G33,'Travel Time'!$A$11:$A$30,0))</f>
        <v>135617.48480000001</v>
      </c>
      <c r="J33" s="106">
        <f>INDEX('Travel Time'!$J$38:$J$57,MATCH(G33,'Travel Time'!$A$38:$A$57,0))</f>
        <v>13922092.800000001</v>
      </c>
      <c r="K33" s="95">
        <f>INDEX('Environmental Protection'!$G$8:$G$27,MATCH(G33,'Environmental Protection'!$A$8:$A$27,0))</f>
        <v>1115056</v>
      </c>
      <c r="L33" s="106">
        <f>INDEX('Environmental Protection'!$H$8:$H$27,MATCH(G33,'Environmental Protection'!$A$8:$A$27,0))</f>
        <v>6599</v>
      </c>
      <c r="M33" s="95">
        <f>INDEX(Safety!$D$10:$D$29,MATCH(G33,Safety!$A$10:$A$29,0))</f>
        <v>936424</v>
      </c>
      <c r="N33" s="106">
        <f t="shared" si="10"/>
        <v>16115789.2848</v>
      </c>
      <c r="O33" s="95">
        <f>SUM(H33,I33,J33,K33,M33)*INDEX(NPV!$C$3:$C$42,MATCH('Summary Table'!$G33,NPV!$B$3:$B$42,0))</f>
        <v>3890580.2705952129</v>
      </c>
      <c r="P33" s="106">
        <f>L33*INDEX(NPV!$D$3:$D$42,MATCH('Summary Table'!$G33,NPV!$B$3:$B$42,0))</f>
        <v>3547.2876717239074</v>
      </c>
      <c r="Q33" s="95">
        <f t="shared" si="12"/>
        <v>3894127.5582669368</v>
      </c>
      <c r="R33" s="48"/>
      <c r="S33" s="142">
        <f t="shared" si="1"/>
        <v>2041</v>
      </c>
      <c r="T33" s="114">
        <f>INDEX(Costs!$G$5:$G$30,MATCH(S33,Costs!$E$5:$E$30,0))</f>
        <v>0</v>
      </c>
      <c r="U33" s="115">
        <f>T33*INDEX(NPV!$C$3:$C$42,MATCH('Summary Table'!$S33,NPV!$B$3:$B$42,0))</f>
        <v>0</v>
      </c>
      <c r="V33" s="48"/>
      <c r="W33" s="48"/>
      <c r="X33" s="48"/>
      <c r="Y33" s="48"/>
      <c r="Z33" s="48"/>
      <c r="AA33" s="48"/>
      <c r="AB33" s="48"/>
      <c r="AC33" s="48"/>
    </row>
    <row r="34" spans="1:29" x14ac:dyDescent="0.2">
      <c r="A34" s="142">
        <f t="shared" si="2"/>
        <v>2042</v>
      </c>
      <c r="B34" s="108">
        <f t="shared" si="3"/>
        <v>0</v>
      </c>
      <c r="C34" s="109">
        <f t="shared" si="4"/>
        <v>3697933.0905618295</v>
      </c>
      <c r="D34" s="108">
        <f t="shared" si="5"/>
        <v>3697933.0905618295</v>
      </c>
      <c r="E34" s="111">
        <f t="shared" si="13"/>
        <v>14941157.520823665</v>
      </c>
      <c r="F34" s="48"/>
      <c r="G34" s="142">
        <f t="shared" si="7"/>
        <v>2042</v>
      </c>
      <c r="H34" s="114">
        <f>INDEX(Maintenance!$D$8:$D$27,MATCH(G34,Maintenance!$A$8:$A$27,0))</f>
        <v>0</v>
      </c>
      <c r="I34" s="95">
        <f>INDEX('Travel Time'!$J$11:$J$30,MATCH(G34,'Travel Time'!$A$11:$A$30,0))</f>
        <v>137927.220088</v>
      </c>
      <c r="J34" s="106">
        <f>INDEX('Travel Time'!$J$38:$J$57,MATCH(G34,'Travel Time'!$A$38:$A$57,0))</f>
        <v>14159203.442999996</v>
      </c>
      <c r="K34" s="95">
        <f>INDEX('Environmental Protection'!$G$8:$G$27,MATCH(G34,'Environmental Protection'!$A$8:$A$27,0))</f>
        <v>1134047</v>
      </c>
      <c r="L34" s="106">
        <f>INDEX('Environmental Protection'!$H$8:$H$27,MATCH(G34,'Environmental Protection'!$A$8:$A$27,0))</f>
        <v>6802</v>
      </c>
      <c r="M34" s="95">
        <f>INDEX(Safety!$D$10:$D$29,MATCH(G34,Safety!$A$10:$A$29,0))</f>
        <v>936424</v>
      </c>
      <c r="N34" s="106">
        <f t="shared" si="10"/>
        <v>16374403.663087996</v>
      </c>
      <c r="O34" s="95">
        <f>SUM(H34,I34,J34,K34,M34)*INDEX(NPV!$C$3:$C$42,MATCH('Summary Table'!$G34,NPV!$B$3:$B$42,0))</f>
        <v>3694383.177770826</v>
      </c>
      <c r="P34" s="106">
        <f>L34*INDEX(NPV!$D$3:$D$42,MATCH('Summary Table'!$G34,NPV!$B$3:$B$42,0))</f>
        <v>3549.9127910033467</v>
      </c>
      <c r="Q34" s="95">
        <f t="shared" si="12"/>
        <v>3697933.0905618295</v>
      </c>
      <c r="R34" s="48"/>
      <c r="S34" s="142">
        <f t="shared" si="1"/>
        <v>2042</v>
      </c>
      <c r="T34" s="114">
        <f>INDEX(Costs!$G$5:$G$30,MATCH(S34,Costs!$E$5:$E$30,0))</f>
        <v>0</v>
      </c>
      <c r="U34" s="115">
        <f>T34*INDEX(NPV!$C$3:$C$42,MATCH('Summary Table'!$S34,NPV!$B$3:$B$42,0))</f>
        <v>0</v>
      </c>
      <c r="V34" s="48"/>
      <c r="W34" s="48"/>
      <c r="X34" s="48"/>
      <c r="Y34" s="48"/>
      <c r="Z34" s="48"/>
      <c r="AA34" s="48"/>
      <c r="AB34" s="48"/>
      <c r="AC34" s="48"/>
    </row>
    <row r="35" spans="1:29" x14ac:dyDescent="0.2">
      <c r="A35" s="142">
        <f t="shared" si="2"/>
        <v>2043</v>
      </c>
      <c r="B35" s="108">
        <f t="shared" si="3"/>
        <v>0</v>
      </c>
      <c r="C35" s="109">
        <f t="shared" si="4"/>
        <v>3512775.427857908</v>
      </c>
      <c r="D35" s="108">
        <f t="shared" si="5"/>
        <v>3512775.427857908</v>
      </c>
      <c r="E35" s="111">
        <f t="shared" si="11"/>
        <v>18453932.948681574</v>
      </c>
      <c r="F35" s="48"/>
      <c r="G35" s="142">
        <f t="shared" si="7"/>
        <v>2043</v>
      </c>
      <c r="H35" s="114">
        <f>INDEX(Maintenance!$D$8:$D$27,MATCH(G35,Maintenance!$A$8:$A$27,0))</f>
        <v>0</v>
      </c>
      <c r="I35" s="95">
        <f>INDEX('Travel Time'!$J$11:$J$30,MATCH(G35,'Travel Time'!$A$11:$A$30,0))</f>
        <v>140272.2724293333</v>
      </c>
      <c r="J35" s="106">
        <f>INDEX('Travel Time'!$J$38:$J$57,MATCH(G35,'Travel Time'!$A$38:$A$57,0))</f>
        <v>14399939.631000001</v>
      </c>
      <c r="K35" s="95">
        <f>INDEX('Environmental Protection'!$G$8:$G$27,MATCH(G35,'Environmental Protection'!$A$8:$A$27,0))</f>
        <v>1153328</v>
      </c>
      <c r="L35" s="106">
        <f>INDEX('Environmental Protection'!$H$8:$H$27,MATCH(G35,'Environmental Protection'!$A$8:$A$27,0))</f>
        <v>7102</v>
      </c>
      <c r="M35" s="95">
        <f>INDEX(Safety!$D$10:$D$29,MATCH(G35,Safety!$A$10:$A$29,0))</f>
        <v>941818</v>
      </c>
      <c r="N35" s="106">
        <f t="shared" si="10"/>
        <v>16642459.903429335</v>
      </c>
      <c r="O35" s="95">
        <f>SUM(H35,I35,J35,K35,M35)*INDEX(NPV!$C$3:$C$42,MATCH('Summary Table'!$G35,NPV!$B$3:$B$42,0))</f>
        <v>3509176.9030605601</v>
      </c>
      <c r="P35" s="106">
        <f>L35*INDEX(NPV!$D$3:$D$42,MATCH('Summary Table'!$G35,NPV!$B$3:$B$42,0))</f>
        <v>3598.5247973476917</v>
      </c>
      <c r="Q35" s="95">
        <f t="shared" si="12"/>
        <v>3512775.427857908</v>
      </c>
      <c r="R35" s="48"/>
      <c r="S35" s="142">
        <f t="shared" si="1"/>
        <v>2043</v>
      </c>
      <c r="T35" s="114">
        <f>INDEX(Costs!$G$5:$G$30,MATCH(S35,Costs!$E$5:$E$30,0))</f>
        <v>0</v>
      </c>
      <c r="U35" s="115">
        <f>T35*INDEX(NPV!$C$3:$C$42,MATCH('Summary Table'!$S35,NPV!$B$3:$B$42,0))</f>
        <v>0</v>
      </c>
      <c r="V35" s="48"/>
      <c r="W35" s="48"/>
      <c r="X35" s="48"/>
      <c r="Y35" s="48"/>
      <c r="Z35" s="48"/>
      <c r="AA35" s="48"/>
      <c r="AB35" s="48"/>
      <c r="AC35" s="48"/>
    </row>
    <row r="36" spans="1:29" x14ac:dyDescent="0.2">
      <c r="A36" s="142">
        <f t="shared" si="2"/>
        <v>2044</v>
      </c>
      <c r="B36" s="108">
        <f t="shared" si="3"/>
        <v>0</v>
      </c>
      <c r="C36" s="109">
        <f t="shared" si="4"/>
        <v>3336552.385276712</v>
      </c>
      <c r="D36" s="108">
        <f t="shared" si="5"/>
        <v>3336552.385276712</v>
      </c>
      <c r="E36" s="111">
        <f t="shared" si="11"/>
        <v>21790485.333958287</v>
      </c>
      <c r="F36" s="48"/>
      <c r="G36" s="142">
        <f t="shared" si="7"/>
        <v>2044</v>
      </c>
      <c r="H36" s="114">
        <f>INDEX(Maintenance!$D$8:$D$27,MATCH(G36,Maintenance!$A$8:$A$27,0))</f>
        <v>0</v>
      </c>
      <c r="I36" s="95">
        <f>INDEX('Travel Time'!$J$11:$J$30,MATCH(G36,'Travel Time'!$A$11:$A$30,0))</f>
        <v>142659.70523466668</v>
      </c>
      <c r="J36" s="106">
        <f>INDEX('Travel Time'!$J$38:$J$57,MATCH(G36,'Travel Time'!$A$38:$A$57,0))</f>
        <v>14645026.473000001</v>
      </c>
      <c r="K36" s="95">
        <f>INDEX('Environmental Protection'!$G$8:$G$27,MATCH(G36,'Environmental Protection'!$A$8:$A$27,0))</f>
        <v>1172957</v>
      </c>
      <c r="L36" s="106">
        <f>INDEX('Environmental Protection'!$H$8:$H$27,MATCH(G36,'Environmental Protection'!$A$8:$A$27,0))</f>
        <v>7317</v>
      </c>
      <c r="M36" s="95">
        <f>INDEX(Safety!$D$10:$D$29,MATCH(G36,Safety!$A$10:$A$29,0))</f>
        <v>945317</v>
      </c>
      <c r="N36" s="106">
        <f t="shared" si="10"/>
        <v>16913277.178234667</v>
      </c>
      <c r="O36" s="95">
        <f>SUM(H36,I36,J36,K36,M36)*INDEX(NPV!$C$3:$C$42,MATCH('Summary Table'!$G36,NPV!$B$3:$B$42,0))</f>
        <v>3332952.9061279157</v>
      </c>
      <c r="P36" s="106">
        <f>L36*INDEX(NPV!$D$3:$D$42,MATCH('Summary Table'!$G36,NPV!$B$3:$B$42,0))</f>
        <v>3599.4791487961907</v>
      </c>
      <c r="Q36" s="95">
        <f t="shared" si="12"/>
        <v>3336552.385276712</v>
      </c>
      <c r="R36" s="48"/>
      <c r="S36" s="142">
        <f t="shared" si="1"/>
        <v>2044</v>
      </c>
      <c r="T36" s="114">
        <f>INDEX(Costs!$G$5:$G$30,MATCH(S36,Costs!$E$5:$E$30,0))</f>
        <v>0</v>
      </c>
      <c r="U36" s="115">
        <f>T36*INDEX(NPV!$C$3:$C$42,MATCH('Summary Table'!$S36,NPV!$B$3:$B$42,0))</f>
        <v>0</v>
      </c>
      <c r="V36" s="48"/>
      <c r="W36" s="48"/>
      <c r="X36" s="48"/>
      <c r="Y36" s="48"/>
      <c r="Z36" s="48"/>
      <c r="AA36" s="48"/>
      <c r="AB36" s="48"/>
      <c r="AC36" s="48"/>
    </row>
    <row r="37" spans="1:29" ht="13.5" thickBot="1" x14ac:dyDescent="0.25">
      <c r="A37" s="143">
        <f t="shared" si="2"/>
        <v>2045</v>
      </c>
      <c r="B37" s="214">
        <f t="shared" si="3"/>
        <v>-5261824.3087680899</v>
      </c>
      <c r="C37" s="215">
        <f t="shared" si="4"/>
        <v>3168596.24588515</v>
      </c>
      <c r="D37" s="214">
        <f t="shared" si="5"/>
        <v>8430420.5546532404</v>
      </c>
      <c r="E37" s="215">
        <f t="shared" si="11"/>
        <v>30220905.888611525</v>
      </c>
      <c r="F37" s="48"/>
      <c r="G37" s="143">
        <f t="shared" si="7"/>
        <v>2045</v>
      </c>
      <c r="H37" s="157">
        <f>INDEX(Maintenance!$D$8:$D$27,MATCH(G37,Maintenance!$A$8:$A$27,0))</f>
        <v>0</v>
      </c>
      <c r="I37" s="99">
        <f>INDEX('Travel Time'!$J$11:$J$30,MATCH(G37,'Travel Time'!$A$11:$A$30,0))</f>
        <v>145089.51850400001</v>
      </c>
      <c r="J37" s="107">
        <f>INDEX('Travel Time'!$J$38:$J$57,MATCH(G37,'Travel Time'!$A$38:$A$57,0))</f>
        <v>14894463.969000001</v>
      </c>
      <c r="K37" s="99">
        <f>INDEX('Environmental Protection'!$G$8:$G$27,MATCH(G37,'Environmental Protection'!$A$8:$A$27,0))</f>
        <v>1192935</v>
      </c>
      <c r="L37" s="107">
        <f>INDEX('Environmental Protection'!$H$8:$H$27,MATCH(G37,'Environmental Protection'!$A$8:$A$27,0))</f>
        <v>7537</v>
      </c>
      <c r="M37" s="99">
        <f>INDEX(Safety!$D$10:$D$29,MATCH(G37,Safety!$A$10:$A$29,0))</f>
        <v>945317</v>
      </c>
      <c r="N37" s="107">
        <f t="shared" si="10"/>
        <v>17185342.487503998</v>
      </c>
      <c r="O37" s="99">
        <f>SUM(H37,I37,J37,K37,M37)*INDEX(NPV!$C$3:$C$42,MATCH('Summary Table'!$G37,NPV!$B$3:$B$42,0))</f>
        <v>3164996.5327096251</v>
      </c>
      <c r="P37" s="107">
        <f>L37*INDEX(NPV!$D$3:$D$42,MATCH('Summary Table'!$G37,NPV!$B$3:$B$42,0))</f>
        <v>3599.7131755251289</v>
      </c>
      <c r="Q37" s="99">
        <f t="shared" si="12"/>
        <v>3168596.24588515</v>
      </c>
      <c r="R37" s="48"/>
      <c r="S37" s="143">
        <f t="shared" si="1"/>
        <v>2045</v>
      </c>
      <c r="T37" s="157">
        <f>INDEX(Costs!$G$5:$G$30,MATCH(S37,Costs!$E$5:$E$30,0))</f>
        <v>-28558197</v>
      </c>
      <c r="U37" s="158">
        <f>T37*INDEX(NPV!$C$3:$C$42,MATCH('Summary Table'!$S37,NPV!$B$3:$B$42,0))</f>
        <v>-5261824.3087680899</v>
      </c>
      <c r="V37" s="48"/>
      <c r="W37" s="48"/>
      <c r="X37" s="48"/>
      <c r="Y37" s="48"/>
      <c r="Z37" s="48"/>
      <c r="AA37" s="48"/>
      <c r="AB37" s="48"/>
      <c r="AC37" s="48"/>
    </row>
    <row r="38" spans="1:29" ht="13.5" thickTop="1" x14ac:dyDescent="0.2">
      <c r="A38" s="238" t="s">
        <v>16</v>
      </c>
      <c r="B38" s="112">
        <f>SUM(B12:B37)</f>
        <v>30752149.173867863</v>
      </c>
      <c r="C38" s="113">
        <f>SUM(C12:C37)</f>
        <v>60973055.062479384</v>
      </c>
      <c r="D38" s="112">
        <f>SUM(D12:D37)</f>
        <v>30220905.888611525</v>
      </c>
      <c r="E38" s="113">
        <f>SUM(E12:E37)</f>
        <v>-197597970.06462684</v>
      </c>
      <c r="F38" s="48"/>
      <c r="G38" s="238" t="s">
        <v>16</v>
      </c>
      <c r="H38" s="253">
        <f>SUM(H12:H37)</f>
        <v>4474652</v>
      </c>
      <c r="I38" s="254">
        <f t="shared" ref="I38:Q38" si="14">SUM(I12:I37)</f>
        <v>1570612.2260882664</v>
      </c>
      <c r="J38" s="253">
        <f t="shared" si="14"/>
        <v>161234439.62009999</v>
      </c>
      <c r="K38" s="254">
        <f t="shared" si="14"/>
        <v>14636998</v>
      </c>
      <c r="L38" s="253">
        <f t="shared" si="14"/>
        <v>83080</v>
      </c>
      <c r="M38" s="254">
        <f>SUM(M12:M37)</f>
        <v>16191968</v>
      </c>
      <c r="N38" s="253">
        <f>SUM(N12:N37)</f>
        <v>198191749.84618825</v>
      </c>
      <c r="O38" s="254">
        <f t="shared" si="14"/>
        <v>60923975.225384317</v>
      </c>
      <c r="P38" s="253">
        <f t="shared" si="14"/>
        <v>49079.837095066498</v>
      </c>
      <c r="Q38" s="254">
        <f t="shared" si="14"/>
        <v>60973055.062479384</v>
      </c>
      <c r="R38" s="48"/>
      <c r="S38" s="238" t="s">
        <v>16</v>
      </c>
      <c r="T38" s="216">
        <f>SUM(T12:T37)</f>
        <v>19038798</v>
      </c>
      <c r="U38" s="116">
        <f>SUM(U12:U37)</f>
        <v>30752149.173867863</v>
      </c>
      <c r="V38" s="48"/>
      <c r="W38" s="48"/>
      <c r="X38" s="48"/>
      <c r="Y38" s="48"/>
      <c r="Z38" s="48"/>
      <c r="AA38" s="48"/>
      <c r="AB38" s="48"/>
      <c r="AC38" s="48"/>
    </row>
    <row r="39" spans="1:29" x14ac:dyDescent="0.2">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row>
    <row r="40" spans="1:29" x14ac:dyDescent="0.2">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row>
    <row r="41" spans="1:29" x14ac:dyDescent="0.2">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row>
    <row r="42" spans="1:29" x14ac:dyDescent="0.2">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row>
    <row r="43" spans="1:29" x14ac:dyDescent="0.2">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row>
    <row r="44" spans="1:29" x14ac:dyDescent="0.2">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row>
    <row r="45" spans="1:29" x14ac:dyDescent="0.2">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row>
    <row r="46" spans="1:29" x14ac:dyDescent="0.2">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row>
    <row r="47" spans="1:29" x14ac:dyDescent="0.2">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row>
    <row r="48" spans="1:29" x14ac:dyDescent="0.2">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row>
    <row r="49" spans="1:29" x14ac:dyDescent="0.2">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row>
    <row r="50" spans="1:29" x14ac:dyDescent="0.2">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row>
    <row r="51" spans="1:29" x14ac:dyDescent="0.2">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row>
    <row r="52" spans="1:29" x14ac:dyDescent="0.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1:29" x14ac:dyDescent="0.2">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row>
    <row r="54" spans="1:29" x14ac:dyDescent="0.2">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row>
    <row r="55" spans="1:29" x14ac:dyDescent="0.2">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row>
    <row r="56" spans="1:29" x14ac:dyDescent="0.2">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row>
    <row r="57" spans="1:29" x14ac:dyDescent="0.2">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row>
    <row r="58" spans="1:29" x14ac:dyDescent="0.2">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row>
    <row r="59" spans="1:29" x14ac:dyDescent="0.2">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row>
    <row r="60" spans="1:29" x14ac:dyDescent="0.2">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row>
    <row r="61" spans="1:29" x14ac:dyDescent="0.2">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row>
    <row r="62" spans="1:29" x14ac:dyDescent="0.2">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row>
    <row r="63" spans="1:29" x14ac:dyDescent="0.2">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row>
    <row r="64" spans="1:29" x14ac:dyDescent="0.2">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row>
    <row r="65" spans="1:29" x14ac:dyDescent="0.2">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row>
    <row r="66" spans="1:29" x14ac:dyDescent="0.2">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row>
    <row r="67" spans="1:29" x14ac:dyDescent="0.2">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row>
    <row r="68" spans="1:29" x14ac:dyDescent="0.2">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row>
    <row r="69" spans="1:29" x14ac:dyDescent="0.2">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row>
    <row r="70" spans="1:29" x14ac:dyDescent="0.2">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row>
    <row r="71" spans="1:29" x14ac:dyDescent="0.2">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row>
    <row r="72" spans="1:29" x14ac:dyDescent="0.2">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row>
    <row r="73" spans="1:29" x14ac:dyDescent="0.2">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row>
    <row r="74" spans="1:29" x14ac:dyDescent="0.2">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row>
    <row r="75" spans="1:29" x14ac:dyDescent="0.2">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row>
    <row r="76" spans="1:29" x14ac:dyDescent="0.2">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row>
    <row r="77" spans="1:29" x14ac:dyDescent="0.2">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row>
    <row r="78" spans="1:29" x14ac:dyDescent="0.2">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row>
    <row r="79" spans="1:29" x14ac:dyDescent="0.2">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row>
    <row r="80" spans="1:29" x14ac:dyDescent="0.2">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row>
    <row r="81" spans="1:29" x14ac:dyDescent="0.2">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row>
    <row r="82" spans="1:29" x14ac:dyDescent="0.2">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row>
    <row r="83" spans="1:29" x14ac:dyDescent="0.2">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row>
    <row r="84" spans="1:29" x14ac:dyDescent="0.2">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row>
    <row r="85" spans="1:29" x14ac:dyDescent="0.2">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row>
    <row r="86" spans="1:29" x14ac:dyDescent="0.2">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row>
    <row r="87" spans="1:29" x14ac:dyDescent="0.2">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row>
    <row r="88" spans="1:29" x14ac:dyDescent="0.2">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row>
    <row r="89" spans="1:29" x14ac:dyDescent="0.2">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row>
    <row r="90" spans="1:29" x14ac:dyDescent="0.2">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row>
    <row r="91" spans="1:29" x14ac:dyDescent="0.2">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row>
    <row r="92" spans="1:29" s="48" customFormat="1" x14ac:dyDescent="0.2"/>
    <row r="93" spans="1:29" s="48" customFormat="1" x14ac:dyDescent="0.2"/>
    <row r="94" spans="1:29" s="48" customFormat="1" x14ac:dyDescent="0.2"/>
    <row r="95" spans="1:29" s="48" customFormat="1" x14ac:dyDescent="0.2"/>
    <row r="96" spans="1:29" s="48" customFormat="1" x14ac:dyDescent="0.2"/>
    <row r="97" s="48" customFormat="1" x14ac:dyDescent="0.2"/>
    <row r="98" s="48" customFormat="1" x14ac:dyDescent="0.2"/>
    <row r="99" s="48" customFormat="1" x14ac:dyDescent="0.2"/>
    <row r="100" s="48" customFormat="1" x14ac:dyDescent="0.2"/>
    <row r="101" s="48" customFormat="1" x14ac:dyDescent="0.2"/>
    <row r="102" s="48" customFormat="1" x14ac:dyDescent="0.2"/>
    <row r="103" s="48" customFormat="1" x14ac:dyDescent="0.2"/>
    <row r="104" s="48" customFormat="1" x14ac:dyDescent="0.2"/>
    <row r="105" s="48" customFormat="1" x14ac:dyDescent="0.2"/>
    <row r="106" s="48" customFormat="1" x14ac:dyDescent="0.2"/>
    <row r="107" s="48" customFormat="1" x14ac:dyDescent="0.2"/>
    <row r="108" s="48" customFormat="1" x14ac:dyDescent="0.2"/>
    <row r="109" s="48" customFormat="1" x14ac:dyDescent="0.2"/>
    <row r="110" s="48" customFormat="1" x14ac:dyDescent="0.2"/>
    <row r="111" s="48" customFormat="1" x14ac:dyDescent="0.2"/>
    <row r="112" s="48" customFormat="1" x14ac:dyDescent="0.2"/>
    <row r="113" s="48" customFormat="1" x14ac:dyDescent="0.2"/>
    <row r="114" s="48" customFormat="1" x14ac:dyDescent="0.2"/>
    <row r="115" s="48" customFormat="1" x14ac:dyDescent="0.2"/>
    <row r="116" s="48" customFormat="1" x14ac:dyDescent="0.2"/>
    <row r="117" s="48" customFormat="1" x14ac:dyDescent="0.2"/>
    <row r="118" s="48" customFormat="1" x14ac:dyDescent="0.2"/>
    <row r="119" s="48" customFormat="1" x14ac:dyDescent="0.2"/>
    <row r="120" s="48" customFormat="1" x14ac:dyDescent="0.2"/>
    <row r="121" s="48" customFormat="1" x14ac:dyDescent="0.2"/>
    <row r="122" s="48" customFormat="1" x14ac:dyDescent="0.2"/>
    <row r="123" s="48" customFormat="1" x14ac:dyDescent="0.2"/>
    <row r="124" s="48" customFormat="1" x14ac:dyDescent="0.2"/>
    <row r="125" s="48" customFormat="1" x14ac:dyDescent="0.2"/>
    <row r="126" s="48" customFormat="1" x14ac:dyDescent="0.2"/>
    <row r="127" s="48" customFormat="1" x14ac:dyDescent="0.2"/>
    <row r="128" s="48" customFormat="1" x14ac:dyDescent="0.2"/>
    <row r="129" s="48" customFormat="1" x14ac:dyDescent="0.2"/>
    <row r="130" s="48" customFormat="1" x14ac:dyDescent="0.2"/>
    <row r="131" s="48" customFormat="1" x14ac:dyDescent="0.2"/>
    <row r="132" s="48" customFormat="1" x14ac:dyDescent="0.2"/>
    <row r="133" s="48" customFormat="1" x14ac:dyDescent="0.2"/>
    <row r="134" s="48" customFormat="1" x14ac:dyDescent="0.2"/>
    <row r="135" s="48" customFormat="1" x14ac:dyDescent="0.2"/>
    <row r="136" s="48" customFormat="1" x14ac:dyDescent="0.2"/>
    <row r="137" s="48" customFormat="1" x14ac:dyDescent="0.2"/>
    <row r="138" s="48" customFormat="1" x14ac:dyDescent="0.2"/>
    <row r="139" s="48" customFormat="1" x14ac:dyDescent="0.2"/>
    <row r="140" s="48" customFormat="1" x14ac:dyDescent="0.2"/>
    <row r="141" s="48" customFormat="1" x14ac:dyDescent="0.2"/>
    <row r="142" s="48" customFormat="1" x14ac:dyDescent="0.2"/>
    <row r="143" s="48" customFormat="1" x14ac:dyDescent="0.2"/>
    <row r="144" s="48" customFormat="1" x14ac:dyDescent="0.2"/>
    <row r="145" s="48" customFormat="1" x14ac:dyDescent="0.2"/>
    <row r="146" s="48" customFormat="1" x14ac:dyDescent="0.2"/>
    <row r="147" s="48" customFormat="1" x14ac:dyDescent="0.2"/>
    <row r="148" s="48" customFormat="1" x14ac:dyDescent="0.2"/>
    <row r="149" s="48" customFormat="1" x14ac:dyDescent="0.2"/>
    <row r="150" s="48" customFormat="1" x14ac:dyDescent="0.2"/>
    <row r="151" s="48" customFormat="1" x14ac:dyDescent="0.2"/>
    <row r="152" s="48" customFormat="1" x14ac:dyDescent="0.2"/>
    <row r="153" s="48" customFormat="1" x14ac:dyDescent="0.2"/>
    <row r="154" s="48" customFormat="1" x14ac:dyDescent="0.2"/>
    <row r="155" s="48" customFormat="1" x14ac:dyDescent="0.2"/>
    <row r="156" s="48" customFormat="1" x14ac:dyDescent="0.2"/>
    <row r="157" s="48" customFormat="1" x14ac:dyDescent="0.2"/>
    <row r="158" s="48" customFormat="1" x14ac:dyDescent="0.2"/>
    <row r="159" s="48" customFormat="1" x14ac:dyDescent="0.2"/>
    <row r="160" s="48" customFormat="1" x14ac:dyDescent="0.2"/>
    <row r="161" s="48" customFormat="1" x14ac:dyDescent="0.2"/>
    <row r="162" s="48" customFormat="1" x14ac:dyDescent="0.2"/>
    <row r="163" s="48" customFormat="1" x14ac:dyDescent="0.2"/>
    <row r="164" s="48" customFormat="1" x14ac:dyDescent="0.2"/>
    <row r="165" s="48" customFormat="1" x14ac:dyDescent="0.2"/>
    <row r="166" s="48" customFormat="1" x14ac:dyDescent="0.2"/>
    <row r="167" s="48" customFormat="1" x14ac:dyDescent="0.2"/>
    <row r="168" s="48" customFormat="1" x14ac:dyDescent="0.2"/>
    <row r="169" s="48" customFormat="1" x14ac:dyDescent="0.2"/>
    <row r="170" s="48" customFormat="1" x14ac:dyDescent="0.2"/>
    <row r="171" s="48" customFormat="1" x14ac:dyDescent="0.2"/>
    <row r="172" s="48" customFormat="1" x14ac:dyDescent="0.2"/>
    <row r="173" s="48" customFormat="1" x14ac:dyDescent="0.2"/>
    <row r="174" s="48" customFormat="1" x14ac:dyDescent="0.2"/>
    <row r="175" s="48" customFormat="1" x14ac:dyDescent="0.2"/>
    <row r="176" s="48" customFormat="1" x14ac:dyDescent="0.2"/>
    <row r="177" s="48" customFormat="1" x14ac:dyDescent="0.2"/>
    <row r="178" s="48" customFormat="1" x14ac:dyDescent="0.2"/>
    <row r="179" s="48" customFormat="1" x14ac:dyDescent="0.2"/>
    <row r="180" s="48" customFormat="1" x14ac:dyDescent="0.2"/>
    <row r="181" s="48" customFormat="1" x14ac:dyDescent="0.2"/>
    <row r="182" s="48" customFormat="1" x14ac:dyDescent="0.2"/>
    <row r="183" s="48" customFormat="1" x14ac:dyDescent="0.2"/>
    <row r="184" s="48" customFormat="1" x14ac:dyDescent="0.2"/>
    <row r="185" s="48" customFormat="1" x14ac:dyDescent="0.2"/>
    <row r="186" s="48" customFormat="1" x14ac:dyDescent="0.2"/>
    <row r="187" s="48" customFormat="1" x14ac:dyDescent="0.2"/>
    <row r="188" s="48" customFormat="1" x14ac:dyDescent="0.2"/>
    <row r="189" s="48" customFormat="1" x14ac:dyDescent="0.2"/>
    <row r="190" s="48" customFormat="1" x14ac:dyDescent="0.2"/>
    <row r="191" s="48" customFormat="1" x14ac:dyDescent="0.2"/>
    <row r="192" s="48" customFormat="1" x14ac:dyDescent="0.2"/>
    <row r="193" s="48" customFormat="1" x14ac:dyDescent="0.2"/>
    <row r="194" s="48" customFormat="1" x14ac:dyDescent="0.2"/>
    <row r="195" s="48" customFormat="1" x14ac:dyDescent="0.2"/>
    <row r="196" s="48" customFormat="1" x14ac:dyDescent="0.2"/>
    <row r="197" s="48" customFormat="1" x14ac:dyDescent="0.2"/>
    <row r="198" s="48" customFormat="1" x14ac:dyDescent="0.2"/>
    <row r="199" s="48" customFormat="1" x14ac:dyDescent="0.2"/>
    <row r="200" s="48" customFormat="1" x14ac:dyDescent="0.2"/>
    <row r="201" s="48" customFormat="1" x14ac:dyDescent="0.2"/>
    <row r="202" s="48" customFormat="1" x14ac:dyDescent="0.2"/>
    <row r="203" s="48" customFormat="1" x14ac:dyDescent="0.2"/>
    <row r="204" s="48" customFormat="1" x14ac:dyDescent="0.2"/>
    <row r="205" s="48" customFormat="1" x14ac:dyDescent="0.2"/>
    <row r="206" s="48" customFormat="1" x14ac:dyDescent="0.2"/>
    <row r="207" s="48" customFormat="1" x14ac:dyDescent="0.2"/>
    <row r="208" s="48" customFormat="1" x14ac:dyDescent="0.2"/>
    <row r="209" s="48" customFormat="1" x14ac:dyDescent="0.2"/>
    <row r="210" s="48" customFormat="1" x14ac:dyDescent="0.2"/>
    <row r="211" s="48" customFormat="1" x14ac:dyDescent="0.2"/>
    <row r="212" s="48" customFormat="1" x14ac:dyDescent="0.2"/>
    <row r="213" s="48" customFormat="1" x14ac:dyDescent="0.2"/>
    <row r="214" s="48" customFormat="1" x14ac:dyDescent="0.2"/>
    <row r="215" s="48" customFormat="1" x14ac:dyDescent="0.2"/>
    <row r="216" s="48" customFormat="1" x14ac:dyDescent="0.2"/>
    <row r="217" s="48" customFormat="1" x14ac:dyDescent="0.2"/>
    <row r="218" s="48" customFormat="1" x14ac:dyDescent="0.2"/>
    <row r="219" s="48" customFormat="1" x14ac:dyDescent="0.2"/>
    <row r="220" s="48" customFormat="1" x14ac:dyDescent="0.2"/>
    <row r="221" s="48" customFormat="1" x14ac:dyDescent="0.2"/>
    <row r="222" s="48" customFormat="1" x14ac:dyDescent="0.2"/>
    <row r="223" s="48" customFormat="1" x14ac:dyDescent="0.2"/>
    <row r="224" s="48" customFormat="1" x14ac:dyDescent="0.2"/>
    <row r="225" s="48" customFormat="1" x14ac:dyDescent="0.2"/>
    <row r="226" s="48" customFormat="1" x14ac:dyDescent="0.2"/>
    <row r="227" s="48" customFormat="1" x14ac:dyDescent="0.2"/>
    <row r="228" s="48" customFormat="1" x14ac:dyDescent="0.2"/>
    <row r="229" s="48" customFormat="1" x14ac:dyDescent="0.2"/>
    <row r="230" s="48" customFormat="1" x14ac:dyDescent="0.2"/>
    <row r="231" s="48" customFormat="1" x14ac:dyDescent="0.2"/>
    <row r="232" s="48" customFormat="1" x14ac:dyDescent="0.2"/>
    <row r="233" s="48" customFormat="1" x14ac:dyDescent="0.2"/>
    <row r="234" s="48" customFormat="1" x14ac:dyDescent="0.2"/>
    <row r="235" s="48" customFormat="1" x14ac:dyDescent="0.2"/>
    <row r="236" s="48" customFormat="1" x14ac:dyDescent="0.2"/>
    <row r="237" s="48" customFormat="1" x14ac:dyDescent="0.2"/>
    <row r="238" s="48" customFormat="1" x14ac:dyDescent="0.2"/>
    <row r="239" s="48" customFormat="1" x14ac:dyDescent="0.2"/>
    <row r="240" s="48" customFormat="1" x14ac:dyDescent="0.2"/>
    <row r="241" s="48" customFormat="1" x14ac:dyDescent="0.2"/>
    <row r="242" s="48" customFormat="1" x14ac:dyDescent="0.2"/>
    <row r="243" s="48" customFormat="1" x14ac:dyDescent="0.2"/>
    <row r="244" s="48" customFormat="1" x14ac:dyDescent="0.2"/>
    <row r="245" s="48" customFormat="1" x14ac:dyDescent="0.2"/>
    <row r="246" s="48" customFormat="1" x14ac:dyDescent="0.2"/>
    <row r="247" s="48" customFormat="1" x14ac:dyDescent="0.2"/>
    <row r="248" s="48" customFormat="1" x14ac:dyDescent="0.2"/>
    <row r="249" s="48" customFormat="1" x14ac:dyDescent="0.2"/>
    <row r="250" s="48" customFormat="1" x14ac:dyDescent="0.2"/>
    <row r="251" s="48" customFormat="1" x14ac:dyDescent="0.2"/>
    <row r="252" s="48" customFormat="1" x14ac:dyDescent="0.2"/>
    <row r="253" s="48" customFormat="1" x14ac:dyDescent="0.2"/>
    <row r="254" s="48" customFormat="1" x14ac:dyDescent="0.2"/>
    <row r="255" s="48" customFormat="1" x14ac:dyDescent="0.2"/>
    <row r="256" s="48" customFormat="1" x14ac:dyDescent="0.2"/>
    <row r="257" s="48" customFormat="1" x14ac:dyDescent="0.2"/>
    <row r="258" s="48" customFormat="1" x14ac:dyDescent="0.2"/>
    <row r="259" s="48" customFormat="1" x14ac:dyDescent="0.2"/>
    <row r="260" s="48" customFormat="1" x14ac:dyDescent="0.2"/>
    <row r="261" s="48" customFormat="1" x14ac:dyDescent="0.2"/>
    <row r="262" s="48" customFormat="1" x14ac:dyDescent="0.2"/>
    <row r="263" s="48" customFormat="1" x14ac:dyDescent="0.2"/>
    <row r="264" s="48" customFormat="1" x14ac:dyDescent="0.2"/>
    <row r="265" s="48" customFormat="1" x14ac:dyDescent="0.2"/>
    <row r="266" s="48" customFormat="1" x14ac:dyDescent="0.2"/>
    <row r="267" s="48" customFormat="1" x14ac:dyDescent="0.2"/>
    <row r="268" s="48" customFormat="1" x14ac:dyDescent="0.2"/>
    <row r="269" s="48" customFormat="1" x14ac:dyDescent="0.2"/>
    <row r="270" s="48" customFormat="1" x14ac:dyDescent="0.2"/>
    <row r="271" s="48" customFormat="1" x14ac:dyDescent="0.2"/>
    <row r="272" s="48" customFormat="1" x14ac:dyDescent="0.2"/>
    <row r="273" s="48" customFormat="1" x14ac:dyDescent="0.2"/>
    <row r="274" s="48" customFormat="1" x14ac:dyDescent="0.2"/>
    <row r="275" s="48" customFormat="1" x14ac:dyDescent="0.2"/>
    <row r="276" s="48" customFormat="1" x14ac:dyDescent="0.2"/>
    <row r="277" s="48" customFormat="1" x14ac:dyDescent="0.2"/>
    <row r="278" s="48" customFormat="1" x14ac:dyDescent="0.2"/>
    <row r="279" s="48" customFormat="1" x14ac:dyDescent="0.2"/>
    <row r="280" s="48" customFormat="1" x14ac:dyDescent="0.2"/>
    <row r="281" s="48" customFormat="1" x14ac:dyDescent="0.2"/>
    <row r="282" s="48" customFormat="1" x14ac:dyDescent="0.2"/>
    <row r="283" s="48" customFormat="1" x14ac:dyDescent="0.2"/>
    <row r="284" s="48" customFormat="1" x14ac:dyDescent="0.2"/>
    <row r="285" s="48" customFormat="1" x14ac:dyDescent="0.2"/>
    <row r="286" s="48" customFormat="1" x14ac:dyDescent="0.2"/>
    <row r="287" s="48" customFormat="1" x14ac:dyDescent="0.2"/>
    <row r="288" s="48" customFormat="1" x14ac:dyDescent="0.2"/>
    <row r="289" s="48" customFormat="1" x14ac:dyDescent="0.2"/>
    <row r="290" s="48" customFormat="1" x14ac:dyDescent="0.2"/>
    <row r="291" s="48" customFormat="1" x14ac:dyDescent="0.2"/>
    <row r="292" s="48" customFormat="1" x14ac:dyDescent="0.2"/>
    <row r="293" s="48" customFormat="1" x14ac:dyDescent="0.2"/>
    <row r="294" s="48" customFormat="1" x14ac:dyDescent="0.2"/>
    <row r="295" s="48" customFormat="1" x14ac:dyDescent="0.2"/>
    <row r="296" s="48" customFormat="1" x14ac:dyDescent="0.2"/>
    <row r="297" s="48" customFormat="1" x14ac:dyDescent="0.2"/>
    <row r="298" s="48" customFormat="1" x14ac:dyDescent="0.2"/>
    <row r="299" s="48" customFormat="1" x14ac:dyDescent="0.2"/>
    <row r="300" s="48" customFormat="1" x14ac:dyDescent="0.2"/>
    <row r="301" s="48" customFormat="1" x14ac:dyDescent="0.2"/>
    <row r="302" s="48" customFormat="1" x14ac:dyDescent="0.2"/>
    <row r="303" s="48" customFormat="1" x14ac:dyDescent="0.2"/>
    <row r="304" s="48" customFormat="1" x14ac:dyDescent="0.2"/>
    <row r="305" s="48" customFormat="1" x14ac:dyDescent="0.2"/>
    <row r="306" s="48" customFormat="1" x14ac:dyDescent="0.2"/>
    <row r="307" s="48" customFormat="1" x14ac:dyDescent="0.2"/>
    <row r="308" s="48" customFormat="1" x14ac:dyDescent="0.2"/>
    <row r="309" s="48" customFormat="1" x14ac:dyDescent="0.2"/>
    <row r="310" s="48" customFormat="1" x14ac:dyDescent="0.2"/>
    <row r="311" s="48" customFormat="1" x14ac:dyDescent="0.2"/>
    <row r="312" s="48" customFormat="1" x14ac:dyDescent="0.2"/>
    <row r="313" s="48" customFormat="1" x14ac:dyDescent="0.2"/>
    <row r="314" s="48" customFormat="1" x14ac:dyDescent="0.2"/>
    <row r="315" s="48" customFormat="1" x14ac:dyDescent="0.2"/>
    <row r="316" s="48" customFormat="1" x14ac:dyDescent="0.2"/>
    <row r="317" s="48" customFormat="1" x14ac:dyDescent="0.2"/>
    <row r="318" s="48" customFormat="1" x14ac:dyDescent="0.2"/>
    <row r="319" s="48" customFormat="1" x14ac:dyDescent="0.2"/>
    <row r="320" s="48" customFormat="1" x14ac:dyDescent="0.2"/>
    <row r="321" s="48" customFormat="1" x14ac:dyDescent="0.2"/>
    <row r="322" s="48" customFormat="1" x14ac:dyDescent="0.2"/>
    <row r="323" s="48" customFormat="1" x14ac:dyDescent="0.2"/>
    <row r="324" s="48" customFormat="1" x14ac:dyDescent="0.2"/>
    <row r="325" s="48" customFormat="1" x14ac:dyDescent="0.2"/>
    <row r="326" s="48" customFormat="1" x14ac:dyDescent="0.2"/>
    <row r="327" s="48" customFormat="1" x14ac:dyDescent="0.2"/>
    <row r="328" s="48" customFormat="1" x14ac:dyDescent="0.2"/>
    <row r="329" s="48" customFormat="1" x14ac:dyDescent="0.2"/>
    <row r="330" s="48" customFormat="1" x14ac:dyDescent="0.2"/>
    <row r="331" s="48" customFormat="1" x14ac:dyDescent="0.2"/>
    <row r="332" s="48" customFormat="1" x14ac:dyDescent="0.2"/>
    <row r="333" s="48" customFormat="1" x14ac:dyDescent="0.2"/>
    <row r="334" s="48" customFormat="1" x14ac:dyDescent="0.2"/>
    <row r="335" s="48" customFormat="1" x14ac:dyDescent="0.2"/>
    <row r="336" s="48" customFormat="1" x14ac:dyDescent="0.2"/>
    <row r="337" s="48" customFormat="1" x14ac:dyDescent="0.2"/>
    <row r="338" s="48" customFormat="1" x14ac:dyDescent="0.2"/>
    <row r="339" s="48" customFormat="1" x14ac:dyDescent="0.2"/>
    <row r="340" s="48" customFormat="1" x14ac:dyDescent="0.2"/>
    <row r="341" s="48" customFormat="1" x14ac:dyDescent="0.2"/>
    <row r="342" s="48" customFormat="1" x14ac:dyDescent="0.2"/>
    <row r="343" s="48" customFormat="1" x14ac:dyDescent="0.2"/>
    <row r="344" s="48" customFormat="1" x14ac:dyDescent="0.2"/>
    <row r="345" s="48" customFormat="1" x14ac:dyDescent="0.2"/>
    <row r="346" s="48" customFormat="1" x14ac:dyDescent="0.2"/>
    <row r="347" s="48" customFormat="1" x14ac:dyDescent="0.2"/>
    <row r="348" s="48" customFormat="1" x14ac:dyDescent="0.2"/>
    <row r="349" s="48" customFormat="1" x14ac:dyDescent="0.2"/>
    <row r="350" s="48" customFormat="1" x14ac:dyDescent="0.2"/>
    <row r="351" s="48" customFormat="1" x14ac:dyDescent="0.2"/>
    <row r="352" s="48" customFormat="1" x14ac:dyDescent="0.2"/>
    <row r="353" s="48" customFormat="1" x14ac:dyDescent="0.2"/>
    <row r="354" s="48" customFormat="1" x14ac:dyDescent="0.2"/>
    <row r="355" s="48" customFormat="1" x14ac:dyDescent="0.2"/>
    <row r="356" s="48" customFormat="1" x14ac:dyDescent="0.2"/>
    <row r="357" s="48" customFormat="1" x14ac:dyDescent="0.2"/>
    <row r="358" s="48" customFormat="1" x14ac:dyDescent="0.2"/>
    <row r="359" s="48" customFormat="1" x14ac:dyDescent="0.2"/>
    <row r="360" s="48" customFormat="1" x14ac:dyDescent="0.2"/>
    <row r="361" s="48" customFormat="1" x14ac:dyDescent="0.2"/>
    <row r="362" s="48" customFormat="1" x14ac:dyDescent="0.2"/>
    <row r="363" s="48" customFormat="1" x14ac:dyDescent="0.2"/>
    <row r="364" s="48" customFormat="1" x14ac:dyDescent="0.2"/>
    <row r="365" s="48" customFormat="1" x14ac:dyDescent="0.2"/>
    <row r="366" s="48" customFormat="1" x14ac:dyDescent="0.2"/>
    <row r="367" s="48" customFormat="1" x14ac:dyDescent="0.2"/>
    <row r="368" s="48" customFormat="1" x14ac:dyDescent="0.2"/>
    <row r="369" s="48" customFormat="1" x14ac:dyDescent="0.2"/>
    <row r="370" s="48" customFormat="1" x14ac:dyDescent="0.2"/>
    <row r="371" s="48" customFormat="1" x14ac:dyDescent="0.2"/>
    <row r="372" s="48" customFormat="1" x14ac:dyDescent="0.2"/>
    <row r="373" s="48" customFormat="1" x14ac:dyDescent="0.2"/>
    <row r="374" s="48" customFormat="1" x14ac:dyDescent="0.2"/>
    <row r="375" s="48" customFormat="1" x14ac:dyDescent="0.2"/>
    <row r="376" s="48" customFormat="1" x14ac:dyDescent="0.2"/>
    <row r="377" s="48" customFormat="1" x14ac:dyDescent="0.2"/>
    <row r="378" s="48" customFormat="1" x14ac:dyDescent="0.2"/>
    <row r="379" s="48" customFormat="1" x14ac:dyDescent="0.2"/>
    <row r="380" s="48" customFormat="1" x14ac:dyDescent="0.2"/>
    <row r="381" s="48" customFormat="1" x14ac:dyDescent="0.2"/>
    <row r="382" s="48" customFormat="1" x14ac:dyDescent="0.2"/>
    <row r="383" s="48" customFormat="1" x14ac:dyDescent="0.2"/>
    <row r="384" s="48" customFormat="1" x14ac:dyDescent="0.2"/>
    <row r="385" s="48" customFormat="1" x14ac:dyDescent="0.2"/>
    <row r="386" s="48" customFormat="1" x14ac:dyDescent="0.2"/>
    <row r="387" s="48" customFormat="1" x14ac:dyDescent="0.2"/>
    <row r="388" s="48" customFormat="1" x14ac:dyDescent="0.2"/>
    <row r="389" s="48" customFormat="1" x14ac:dyDescent="0.2"/>
    <row r="390" s="48" customFormat="1" x14ac:dyDescent="0.2"/>
    <row r="391" s="48" customFormat="1" x14ac:dyDescent="0.2"/>
    <row r="392" s="48" customFormat="1" x14ac:dyDescent="0.2"/>
    <row r="393" s="48" customFormat="1" x14ac:dyDescent="0.2"/>
    <row r="394" s="48" customFormat="1" x14ac:dyDescent="0.2"/>
    <row r="395" s="48" customFormat="1" x14ac:dyDescent="0.2"/>
    <row r="396" s="48" customFormat="1" x14ac:dyDescent="0.2"/>
    <row r="397" s="48" customFormat="1" x14ac:dyDescent="0.2"/>
    <row r="398" s="48" customFormat="1" x14ac:dyDescent="0.2"/>
    <row r="399" s="48" customFormat="1" x14ac:dyDescent="0.2"/>
    <row r="400" s="48" customFormat="1" x14ac:dyDescent="0.2"/>
    <row r="401" s="48" customFormat="1" x14ac:dyDescent="0.2"/>
    <row r="402" s="48" customFormat="1" x14ac:dyDescent="0.2"/>
    <row r="403" s="48" customFormat="1" x14ac:dyDescent="0.2"/>
    <row r="404" s="48" customFormat="1" x14ac:dyDescent="0.2"/>
    <row r="405" s="48" customFormat="1" x14ac:dyDescent="0.2"/>
    <row r="406" s="48" customFormat="1" x14ac:dyDescent="0.2"/>
    <row r="407" s="48" customFormat="1" x14ac:dyDescent="0.2"/>
    <row r="408" s="48" customFormat="1" x14ac:dyDescent="0.2"/>
    <row r="409" s="48" customFormat="1" x14ac:dyDescent="0.2"/>
    <row r="410" s="48" customFormat="1" x14ac:dyDescent="0.2"/>
    <row r="411" s="48" customFormat="1" x14ac:dyDescent="0.2"/>
    <row r="412" s="48" customFormat="1" x14ac:dyDescent="0.2"/>
    <row r="413" s="48" customFormat="1" x14ac:dyDescent="0.2"/>
    <row r="414" s="48" customFormat="1" x14ac:dyDescent="0.2"/>
    <row r="415" s="48" customFormat="1" x14ac:dyDescent="0.2"/>
    <row r="416" s="48" customFormat="1" x14ac:dyDescent="0.2"/>
    <row r="417" s="48" customFormat="1" x14ac:dyDescent="0.2"/>
    <row r="418" s="48" customFormat="1" x14ac:dyDescent="0.2"/>
    <row r="419" s="48" customFormat="1" x14ac:dyDescent="0.2"/>
    <row r="420" s="48" customFormat="1" x14ac:dyDescent="0.2"/>
    <row r="421" s="48" customFormat="1" x14ac:dyDescent="0.2"/>
    <row r="422" s="48" customFormat="1" x14ac:dyDescent="0.2"/>
    <row r="423" s="48" customFormat="1" x14ac:dyDescent="0.2"/>
    <row r="424" s="48" customFormat="1" x14ac:dyDescent="0.2"/>
    <row r="425" s="48" customFormat="1" x14ac:dyDescent="0.2"/>
    <row r="426" s="48" customFormat="1" x14ac:dyDescent="0.2"/>
    <row r="427" s="48" customFormat="1" x14ac:dyDescent="0.2"/>
    <row r="428" s="48" customFormat="1" x14ac:dyDescent="0.2"/>
    <row r="429" s="48" customFormat="1" x14ac:dyDescent="0.2"/>
    <row r="430" s="48" customFormat="1" x14ac:dyDescent="0.2"/>
    <row r="431" s="48" customFormat="1" x14ac:dyDescent="0.2"/>
    <row r="432" s="48" customFormat="1" x14ac:dyDescent="0.2"/>
    <row r="433" s="48" customFormat="1" x14ac:dyDescent="0.2"/>
    <row r="434" s="48" customFormat="1" x14ac:dyDescent="0.2"/>
    <row r="435" s="48" customFormat="1" x14ac:dyDescent="0.2"/>
    <row r="436" s="48" customFormat="1" x14ac:dyDescent="0.2"/>
    <row r="437" s="48" customFormat="1" x14ac:dyDescent="0.2"/>
    <row r="438" s="48" customFormat="1" x14ac:dyDescent="0.2"/>
    <row r="439" s="48" customFormat="1" x14ac:dyDescent="0.2"/>
    <row r="440" s="48" customFormat="1" x14ac:dyDescent="0.2"/>
    <row r="441" s="48" customFormat="1" x14ac:dyDescent="0.2"/>
    <row r="442" s="48" customFormat="1" x14ac:dyDescent="0.2"/>
    <row r="443" s="48" customFormat="1" x14ac:dyDescent="0.2"/>
    <row r="444" s="48" customFormat="1" x14ac:dyDescent="0.2"/>
    <row r="445" s="48" customFormat="1" x14ac:dyDescent="0.2"/>
    <row r="446" s="48" customFormat="1" x14ac:dyDescent="0.2"/>
    <row r="447" s="48" customFormat="1" x14ac:dyDescent="0.2"/>
    <row r="448" s="48" customFormat="1" x14ac:dyDescent="0.2"/>
    <row r="449" s="48" customFormat="1" x14ac:dyDescent="0.2"/>
    <row r="450" s="48" customFormat="1" x14ac:dyDescent="0.2"/>
    <row r="451" s="48" customFormat="1" x14ac:dyDescent="0.2"/>
    <row r="452" s="48" customFormat="1" x14ac:dyDescent="0.2"/>
    <row r="453" s="48" customFormat="1" x14ac:dyDescent="0.2"/>
    <row r="454" s="48" customFormat="1" x14ac:dyDescent="0.2"/>
    <row r="455" s="48" customFormat="1" x14ac:dyDescent="0.2"/>
    <row r="456" s="48" customFormat="1" x14ac:dyDescent="0.2"/>
    <row r="457" s="48" customFormat="1" x14ac:dyDescent="0.2"/>
    <row r="458" s="48" customFormat="1" x14ac:dyDescent="0.2"/>
    <row r="459" s="48" customFormat="1" x14ac:dyDescent="0.2"/>
    <row r="460" s="48" customFormat="1" x14ac:dyDescent="0.2"/>
    <row r="461" s="48" customFormat="1" x14ac:dyDescent="0.2"/>
    <row r="462" s="48" customFormat="1" x14ac:dyDescent="0.2"/>
    <row r="463" s="48" customFormat="1" x14ac:dyDescent="0.2"/>
    <row r="464" s="48" customFormat="1" x14ac:dyDescent="0.2"/>
    <row r="465" s="48" customFormat="1" x14ac:dyDescent="0.2"/>
    <row r="466" s="48" customFormat="1" x14ac:dyDescent="0.2"/>
    <row r="467" s="48" customFormat="1" x14ac:dyDescent="0.2"/>
    <row r="468" s="48" customFormat="1" x14ac:dyDescent="0.2"/>
    <row r="469" s="48" customFormat="1" x14ac:dyDescent="0.2"/>
    <row r="470" s="48" customFormat="1" x14ac:dyDescent="0.2"/>
    <row r="471" s="48" customFormat="1" x14ac:dyDescent="0.2"/>
    <row r="472" s="48" customFormat="1" x14ac:dyDescent="0.2"/>
    <row r="473" s="48" customFormat="1" x14ac:dyDescent="0.2"/>
    <row r="474" s="48" customFormat="1" x14ac:dyDescent="0.2"/>
    <row r="475" s="48" customFormat="1" x14ac:dyDescent="0.2"/>
    <row r="476" s="48" customFormat="1" x14ac:dyDescent="0.2"/>
    <row r="477" s="48" customFormat="1" x14ac:dyDescent="0.2"/>
    <row r="478" s="48" customFormat="1" x14ac:dyDescent="0.2"/>
    <row r="479" s="48" customFormat="1" x14ac:dyDescent="0.2"/>
    <row r="480" s="48" customFormat="1" x14ac:dyDescent="0.2"/>
  </sheetData>
  <mergeCells count="16">
    <mergeCell ref="S9:U10"/>
    <mergeCell ref="A3:C3"/>
    <mergeCell ref="A4:B4"/>
    <mergeCell ref="A5:B5"/>
    <mergeCell ref="A7:B7"/>
    <mergeCell ref="A6:B6"/>
    <mergeCell ref="O10:O11"/>
    <mergeCell ref="A9:E10"/>
    <mergeCell ref="N10:N11"/>
    <mergeCell ref="G10:G11"/>
    <mergeCell ref="I10:J10"/>
    <mergeCell ref="K10:L10"/>
    <mergeCell ref="P10:P11"/>
    <mergeCell ref="Q10:Q11"/>
    <mergeCell ref="G9:Q9"/>
    <mergeCell ref="H10:H11"/>
  </mergeCells>
  <pageMargins left="0.25" right="0.25" top="0.75" bottom="0.75" header="0.3" footer="0.3"/>
  <pageSetup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M500"/>
  <sheetViews>
    <sheetView workbookViewId="0"/>
  </sheetViews>
  <sheetFormatPr defaultRowHeight="12.75" x14ac:dyDescent="0.2"/>
  <cols>
    <col min="4" max="4" width="10.7109375" bestFit="1" customWidth="1"/>
    <col min="6" max="6" width="10.7109375" customWidth="1"/>
    <col min="7" max="7" width="14.5703125" customWidth="1"/>
    <col min="19" max="91" width="8.85546875" style="48"/>
  </cols>
  <sheetData>
    <row r="1" spans="1:18" x14ac:dyDescent="0.2">
      <c r="A1" s="48"/>
      <c r="B1" s="48"/>
      <c r="C1" s="48"/>
      <c r="D1" s="48"/>
      <c r="E1" s="48"/>
      <c r="F1" s="48"/>
      <c r="G1" s="48"/>
      <c r="H1" s="48"/>
      <c r="I1" s="48"/>
      <c r="J1" s="48"/>
      <c r="K1" s="48"/>
      <c r="L1" s="48"/>
      <c r="M1" s="48"/>
      <c r="N1" s="48"/>
      <c r="O1" s="48"/>
      <c r="P1" s="48"/>
      <c r="Q1" s="48"/>
      <c r="R1" s="48"/>
    </row>
    <row r="2" spans="1:18" ht="13.5" thickBot="1" x14ac:dyDescent="0.25">
      <c r="A2" s="353" t="s">
        <v>29</v>
      </c>
      <c r="B2" s="354"/>
      <c r="C2" s="354"/>
      <c r="D2" s="355"/>
      <c r="E2" s="48"/>
      <c r="F2" s="349" t="s">
        <v>30</v>
      </c>
      <c r="G2" s="350"/>
      <c r="H2" s="48"/>
      <c r="I2" s="48"/>
      <c r="J2" s="48"/>
      <c r="K2" s="48"/>
      <c r="L2" s="48"/>
      <c r="M2" s="48"/>
      <c r="N2" s="48"/>
      <c r="O2" s="48"/>
      <c r="P2" s="48"/>
      <c r="Q2" s="48"/>
      <c r="R2" s="48"/>
    </row>
    <row r="3" spans="1:18" ht="14.25" thickTop="1" thickBot="1" x14ac:dyDescent="0.25">
      <c r="A3" s="142">
        <v>0</v>
      </c>
      <c r="B3" s="142">
        <v>2020</v>
      </c>
      <c r="C3" s="28">
        <v>1</v>
      </c>
      <c r="D3" s="41">
        <f>1/(1+$D$43)^A3</f>
        <v>1</v>
      </c>
      <c r="E3" s="48"/>
      <c r="F3" s="174" t="s">
        <v>31</v>
      </c>
      <c r="G3" s="192" t="s">
        <v>32</v>
      </c>
      <c r="H3" s="48"/>
      <c r="I3" s="63"/>
      <c r="J3" s="48"/>
      <c r="K3" s="48"/>
      <c r="L3" s="48"/>
      <c r="M3" s="48"/>
      <c r="N3" s="48"/>
      <c r="O3" s="48"/>
      <c r="P3" s="48"/>
      <c r="Q3" s="48"/>
      <c r="R3" s="48"/>
    </row>
    <row r="4" spans="1:18" ht="13.5" thickTop="1" x14ac:dyDescent="0.2">
      <c r="A4" s="142">
        <f t="shared" ref="A4:A42" si="0">A3+1</f>
        <v>1</v>
      </c>
      <c r="B4" s="142">
        <f t="shared" ref="B4:B42" si="1">B3+1</f>
        <v>2021</v>
      </c>
      <c r="C4" s="28">
        <f>1/(1+$C$43)^A4</f>
        <v>0.93457943925233644</v>
      </c>
      <c r="D4" s="41">
        <f>1/(1+$D$43)^A4</f>
        <v>0.970873786407767</v>
      </c>
      <c r="E4" s="48"/>
      <c r="F4" s="142">
        <v>2003</v>
      </c>
      <c r="G4" s="188">
        <v>1.38</v>
      </c>
      <c r="H4" s="48"/>
      <c r="I4" s="48"/>
      <c r="J4" s="48"/>
      <c r="K4" s="48"/>
      <c r="L4" s="48"/>
      <c r="M4" s="48"/>
      <c r="N4" s="48"/>
      <c r="O4" s="48"/>
      <c r="P4" s="48"/>
      <c r="Q4" s="48"/>
      <c r="R4" s="48"/>
    </row>
    <row r="5" spans="1:18" x14ac:dyDescent="0.2">
      <c r="A5" s="142">
        <f t="shared" si="0"/>
        <v>2</v>
      </c>
      <c r="B5" s="142">
        <f t="shared" si="1"/>
        <v>2022</v>
      </c>
      <c r="C5" s="28">
        <f t="shared" ref="C5:C24" si="2">1/(1+$C$43)^A5</f>
        <v>0.87343872827321156</v>
      </c>
      <c r="D5" s="41">
        <f t="shared" ref="D5:D42" si="3">1/(1+$D$43)^A5</f>
        <v>0.94259590913375435</v>
      </c>
      <c r="E5" s="48"/>
      <c r="F5" s="142">
        <f t="shared" ref="F5:F21" si="4">F4+1</f>
        <v>2004</v>
      </c>
      <c r="G5" s="188">
        <v>1.34</v>
      </c>
      <c r="H5" s="48"/>
      <c r="I5" s="48"/>
      <c r="J5" s="48"/>
      <c r="K5" s="48"/>
      <c r="L5" s="48"/>
      <c r="M5" s="48"/>
      <c r="N5" s="48"/>
      <c r="O5" s="48"/>
      <c r="P5" s="48"/>
      <c r="Q5" s="48"/>
      <c r="R5" s="48"/>
    </row>
    <row r="6" spans="1:18" x14ac:dyDescent="0.2">
      <c r="A6" s="142">
        <f t="shared" si="0"/>
        <v>3</v>
      </c>
      <c r="B6" s="142">
        <f t="shared" si="1"/>
        <v>2023</v>
      </c>
      <c r="C6" s="28">
        <f t="shared" si="2"/>
        <v>0.81629787689085187</v>
      </c>
      <c r="D6" s="41">
        <f t="shared" si="3"/>
        <v>0.91514165935315961</v>
      </c>
      <c r="E6" s="48"/>
      <c r="F6" s="142">
        <f t="shared" si="4"/>
        <v>2005</v>
      </c>
      <c r="G6" s="188">
        <v>1.3</v>
      </c>
      <c r="H6" s="48"/>
      <c r="I6" s="48"/>
      <c r="J6" s="48"/>
      <c r="K6" s="48"/>
      <c r="L6" s="48"/>
      <c r="M6" s="48"/>
      <c r="N6" s="48"/>
      <c r="O6" s="48"/>
      <c r="P6" s="48"/>
      <c r="Q6" s="48"/>
      <c r="R6" s="48"/>
    </row>
    <row r="7" spans="1:18" x14ac:dyDescent="0.2">
      <c r="A7" s="142">
        <f t="shared" si="0"/>
        <v>4</v>
      </c>
      <c r="B7" s="142">
        <f t="shared" si="1"/>
        <v>2024</v>
      </c>
      <c r="C7" s="28">
        <f>1/(1+$C$43)^A7</f>
        <v>0.7628952120475252</v>
      </c>
      <c r="D7" s="41">
        <f t="shared" si="3"/>
        <v>0.888487047915689</v>
      </c>
      <c r="E7" s="48"/>
      <c r="F7" s="142">
        <f t="shared" si="4"/>
        <v>2006</v>
      </c>
      <c r="G7" s="188">
        <v>1.26</v>
      </c>
      <c r="H7" s="48"/>
      <c r="I7" s="48"/>
      <c r="J7" s="48"/>
      <c r="K7" s="48"/>
      <c r="L7" s="48"/>
      <c r="M7" s="48"/>
      <c r="N7" s="48"/>
      <c r="O7" s="48"/>
      <c r="P7" s="48"/>
      <c r="Q7" s="48"/>
      <c r="R7" s="48"/>
    </row>
    <row r="8" spans="1:18" x14ac:dyDescent="0.2">
      <c r="A8" s="142">
        <f t="shared" si="0"/>
        <v>5</v>
      </c>
      <c r="B8" s="142">
        <f t="shared" si="1"/>
        <v>2025</v>
      </c>
      <c r="C8" s="28">
        <f t="shared" si="2"/>
        <v>0.71298617948366838</v>
      </c>
      <c r="D8" s="41">
        <f t="shared" si="3"/>
        <v>0.86260878438416411</v>
      </c>
      <c r="E8" s="48"/>
      <c r="F8" s="142">
        <f t="shared" si="4"/>
        <v>2007</v>
      </c>
      <c r="G8" s="188">
        <v>1.23</v>
      </c>
      <c r="H8" s="48"/>
      <c r="I8" s="48"/>
      <c r="J8" s="48"/>
      <c r="K8" s="48"/>
      <c r="L8" s="48"/>
      <c r="M8" s="48"/>
      <c r="N8" s="48"/>
      <c r="O8" s="48"/>
      <c r="P8" s="48"/>
      <c r="Q8" s="48"/>
      <c r="R8" s="48"/>
    </row>
    <row r="9" spans="1:18" x14ac:dyDescent="0.2">
      <c r="A9" s="142">
        <f t="shared" si="0"/>
        <v>6</v>
      </c>
      <c r="B9" s="142">
        <f t="shared" si="1"/>
        <v>2026</v>
      </c>
      <c r="C9" s="28">
        <f t="shared" si="2"/>
        <v>0.66634222381651254</v>
      </c>
      <c r="D9" s="41">
        <f t="shared" si="3"/>
        <v>0.83748425668365445</v>
      </c>
      <c r="E9" s="48"/>
      <c r="F9" s="142">
        <f t="shared" si="4"/>
        <v>2008</v>
      </c>
      <c r="G9" s="188">
        <v>1.2</v>
      </c>
      <c r="H9" s="48"/>
      <c r="I9" s="48"/>
      <c r="J9" s="48"/>
      <c r="K9" s="48"/>
      <c r="L9" s="48"/>
      <c r="M9" s="48"/>
      <c r="N9" s="48"/>
      <c r="O9" s="48"/>
      <c r="P9" s="48"/>
      <c r="Q9" s="48"/>
      <c r="R9" s="48"/>
    </row>
    <row r="10" spans="1:18" x14ac:dyDescent="0.2">
      <c r="A10" s="142">
        <f t="shared" si="0"/>
        <v>7</v>
      </c>
      <c r="B10" s="142">
        <f t="shared" si="1"/>
        <v>2027</v>
      </c>
      <c r="C10" s="28">
        <f>1/(1+$C$43)^A10</f>
        <v>0.62274974188459109</v>
      </c>
      <c r="D10" s="41">
        <f t="shared" si="3"/>
        <v>0.81309151134335378</v>
      </c>
      <c r="E10" s="48"/>
      <c r="F10" s="142">
        <f t="shared" si="4"/>
        <v>2009</v>
      </c>
      <c r="G10" s="188">
        <v>1.2</v>
      </c>
      <c r="H10" s="48"/>
      <c r="I10" s="48"/>
      <c r="J10" s="48"/>
      <c r="K10" s="48"/>
      <c r="L10" s="48"/>
      <c r="M10" s="48"/>
      <c r="N10" s="48"/>
      <c r="O10" s="48"/>
      <c r="P10" s="48"/>
      <c r="Q10" s="48"/>
      <c r="R10" s="48"/>
    </row>
    <row r="11" spans="1:18" x14ac:dyDescent="0.2">
      <c r="A11" s="142">
        <f t="shared" si="0"/>
        <v>8</v>
      </c>
      <c r="B11" s="142">
        <f t="shared" si="1"/>
        <v>2028</v>
      </c>
      <c r="C11" s="28">
        <f t="shared" si="2"/>
        <v>0.5820091045650384</v>
      </c>
      <c r="D11" s="41">
        <f t="shared" si="3"/>
        <v>0.78940923431393573</v>
      </c>
      <c r="E11" s="48"/>
      <c r="F11" s="142">
        <f t="shared" si="4"/>
        <v>2010</v>
      </c>
      <c r="G11" s="188">
        <v>1.18</v>
      </c>
      <c r="H11" s="48"/>
      <c r="I11" s="48"/>
      <c r="J11" s="48"/>
      <c r="K11" s="48"/>
      <c r="L11" s="48"/>
      <c r="M11" s="48"/>
      <c r="N11" s="48"/>
      <c r="O11" s="48"/>
      <c r="P11" s="48"/>
      <c r="Q11" s="48"/>
      <c r="R11" s="48"/>
    </row>
    <row r="12" spans="1:18" x14ac:dyDescent="0.2">
      <c r="A12" s="142">
        <f t="shared" si="0"/>
        <v>9</v>
      </c>
      <c r="B12" s="142">
        <f t="shared" si="1"/>
        <v>2029</v>
      </c>
      <c r="C12" s="28">
        <f t="shared" si="2"/>
        <v>0.54393374258414806</v>
      </c>
      <c r="D12" s="41">
        <f t="shared" si="3"/>
        <v>0.76641673234362695</v>
      </c>
      <c r="E12" s="48"/>
      <c r="F12" s="142">
        <f t="shared" si="4"/>
        <v>2011</v>
      </c>
      <c r="G12" s="188">
        <v>1.1599999999999999</v>
      </c>
      <c r="H12" s="48"/>
      <c r="I12" s="48"/>
      <c r="J12" s="48"/>
      <c r="K12" s="48"/>
      <c r="L12" s="48"/>
      <c r="M12" s="48"/>
      <c r="N12" s="48"/>
      <c r="O12" s="48"/>
      <c r="P12" s="48"/>
      <c r="Q12" s="48"/>
      <c r="R12" s="48"/>
    </row>
    <row r="13" spans="1:18" x14ac:dyDescent="0.2">
      <c r="A13" s="142">
        <f t="shared" si="0"/>
        <v>10</v>
      </c>
      <c r="B13" s="142">
        <f t="shared" si="1"/>
        <v>2030</v>
      </c>
      <c r="C13" s="28">
        <f t="shared" si="2"/>
        <v>0.5083492921347178</v>
      </c>
      <c r="D13" s="41">
        <f t="shared" si="3"/>
        <v>0.74409391489672516</v>
      </c>
      <c r="E13" s="48"/>
      <c r="F13" s="142">
        <f t="shared" si="4"/>
        <v>2012</v>
      </c>
      <c r="G13" s="188">
        <v>1.1399999999999999</v>
      </c>
      <c r="H13" s="48"/>
      <c r="I13" s="48"/>
      <c r="J13" s="48"/>
      <c r="K13" s="48"/>
      <c r="L13" s="48"/>
      <c r="M13" s="48"/>
      <c r="N13" s="48"/>
      <c r="O13" s="48"/>
      <c r="P13" s="48"/>
      <c r="Q13" s="48"/>
      <c r="R13" s="48"/>
    </row>
    <row r="14" spans="1:18" x14ac:dyDescent="0.2">
      <c r="A14" s="142">
        <f t="shared" si="0"/>
        <v>11</v>
      </c>
      <c r="B14" s="142">
        <f t="shared" si="1"/>
        <v>2031</v>
      </c>
      <c r="C14" s="28">
        <f t="shared" si="2"/>
        <v>0.47509279638758667</v>
      </c>
      <c r="D14" s="41">
        <f t="shared" si="3"/>
        <v>0.72242127659876232</v>
      </c>
      <c r="E14" s="48"/>
      <c r="F14" s="142">
        <f t="shared" si="4"/>
        <v>2013</v>
      </c>
      <c r="G14" s="188">
        <v>1.1200000000000001</v>
      </c>
      <c r="H14" s="48"/>
      <c r="I14" s="48"/>
      <c r="J14" s="48"/>
      <c r="K14" s="48"/>
      <c r="L14" s="48"/>
      <c r="M14" s="48"/>
      <c r="N14" s="48"/>
      <c r="O14" s="48"/>
      <c r="P14" s="48"/>
      <c r="Q14" s="48"/>
      <c r="R14" s="48"/>
    </row>
    <row r="15" spans="1:18" x14ac:dyDescent="0.2">
      <c r="A15" s="142">
        <f t="shared" si="0"/>
        <v>12</v>
      </c>
      <c r="B15" s="142">
        <f t="shared" si="1"/>
        <v>2032</v>
      </c>
      <c r="C15" s="28">
        <f t="shared" si="2"/>
        <v>0.44401195924073528</v>
      </c>
      <c r="D15" s="41">
        <f t="shared" si="3"/>
        <v>0.70137988019297326</v>
      </c>
      <c r="E15" s="48"/>
      <c r="F15" s="142">
        <f t="shared" si="4"/>
        <v>2014</v>
      </c>
      <c r="G15" s="188">
        <v>1.1000000000000001</v>
      </c>
      <c r="H15" s="48"/>
      <c r="I15" s="48"/>
      <c r="J15" s="48"/>
      <c r="K15" s="48"/>
      <c r="L15" s="48"/>
      <c r="M15" s="48"/>
      <c r="N15" s="48"/>
      <c r="O15" s="48"/>
      <c r="P15" s="48"/>
      <c r="Q15" s="48"/>
      <c r="R15" s="48"/>
    </row>
    <row r="16" spans="1:18" x14ac:dyDescent="0.2">
      <c r="A16" s="142">
        <f t="shared" si="0"/>
        <v>13</v>
      </c>
      <c r="B16" s="142">
        <f t="shared" si="1"/>
        <v>2033</v>
      </c>
      <c r="C16" s="28">
        <f t="shared" si="2"/>
        <v>0.41496444788853759</v>
      </c>
      <c r="D16" s="41">
        <f t="shared" si="3"/>
        <v>0.68095133999317792</v>
      </c>
      <c r="E16" s="48"/>
      <c r="F16" s="142">
        <f t="shared" si="4"/>
        <v>2015</v>
      </c>
      <c r="G16" s="188">
        <v>1.0900000000000001</v>
      </c>
      <c r="H16" s="48"/>
      <c r="I16" s="48"/>
      <c r="J16" s="48"/>
      <c r="K16" s="48"/>
      <c r="L16" s="48"/>
      <c r="M16" s="48"/>
      <c r="N16" s="48"/>
      <c r="O16" s="48"/>
      <c r="P16" s="48"/>
      <c r="Q16" s="48"/>
      <c r="R16" s="48"/>
    </row>
    <row r="17" spans="1:18" x14ac:dyDescent="0.2">
      <c r="A17" s="142">
        <f t="shared" si="0"/>
        <v>14</v>
      </c>
      <c r="B17" s="142">
        <f t="shared" si="1"/>
        <v>2034</v>
      </c>
      <c r="C17" s="28">
        <f t="shared" si="2"/>
        <v>0.3878172410173249</v>
      </c>
      <c r="D17" s="41">
        <f t="shared" si="3"/>
        <v>0.66111780581861923</v>
      </c>
      <c r="E17" s="48"/>
      <c r="F17" s="142">
        <f t="shared" si="4"/>
        <v>2016</v>
      </c>
      <c r="G17" s="188">
        <v>1.07</v>
      </c>
      <c r="H17" s="48"/>
      <c r="I17" s="48"/>
      <c r="J17" s="48"/>
      <c r="K17" s="48"/>
      <c r="L17" s="48"/>
      <c r="M17" s="48"/>
      <c r="N17" s="48"/>
      <c r="O17" s="48"/>
      <c r="P17" s="48"/>
      <c r="Q17" s="48"/>
      <c r="R17" s="48"/>
    </row>
    <row r="18" spans="1:18" x14ac:dyDescent="0.2">
      <c r="A18" s="142">
        <f t="shared" si="0"/>
        <v>15</v>
      </c>
      <c r="B18" s="142">
        <f t="shared" si="1"/>
        <v>2035</v>
      </c>
      <c r="C18" s="28">
        <f t="shared" si="2"/>
        <v>0.36244601964235967</v>
      </c>
      <c r="D18" s="41">
        <f t="shared" si="3"/>
        <v>0.64186194739671765</v>
      </c>
      <c r="E18" s="48"/>
      <c r="F18" s="142">
        <f t="shared" si="4"/>
        <v>2017</v>
      </c>
      <c r="G18" s="188">
        <v>1.05</v>
      </c>
      <c r="H18" s="48"/>
      <c r="I18" s="48"/>
      <c r="J18" s="48"/>
      <c r="K18" s="48"/>
      <c r="L18" s="48"/>
      <c r="M18" s="48"/>
      <c r="N18" s="48"/>
      <c r="O18" s="48"/>
      <c r="P18" s="48"/>
      <c r="Q18" s="48"/>
      <c r="R18" s="48"/>
    </row>
    <row r="19" spans="1:18" x14ac:dyDescent="0.2">
      <c r="A19" s="142">
        <f t="shared" si="0"/>
        <v>16</v>
      </c>
      <c r="B19" s="142">
        <f t="shared" si="1"/>
        <v>2036</v>
      </c>
      <c r="C19" s="28">
        <f t="shared" si="2"/>
        <v>0.33873459779659787</v>
      </c>
      <c r="D19" s="41">
        <f t="shared" si="3"/>
        <v>0.62316693922011435</v>
      </c>
      <c r="E19" s="48"/>
      <c r="F19" s="142">
        <f t="shared" si="4"/>
        <v>2018</v>
      </c>
      <c r="G19" s="188">
        <v>1.03</v>
      </c>
      <c r="H19" s="48"/>
      <c r="I19" s="48"/>
      <c r="J19" s="48"/>
      <c r="K19" s="48"/>
      <c r="L19" s="48"/>
      <c r="M19" s="48"/>
      <c r="N19" s="48"/>
      <c r="O19" s="48"/>
      <c r="P19" s="48"/>
      <c r="Q19" s="48"/>
      <c r="R19" s="48"/>
    </row>
    <row r="20" spans="1:18" x14ac:dyDescent="0.2">
      <c r="A20" s="142">
        <f t="shared" si="0"/>
        <v>17</v>
      </c>
      <c r="B20" s="142">
        <f t="shared" si="1"/>
        <v>2037</v>
      </c>
      <c r="C20" s="28">
        <f t="shared" si="2"/>
        <v>0.31657439046411018</v>
      </c>
      <c r="D20" s="41">
        <f t="shared" si="3"/>
        <v>0.60501644584477121</v>
      </c>
      <c r="E20" s="48"/>
      <c r="F20" s="142">
        <f t="shared" si="4"/>
        <v>2019</v>
      </c>
      <c r="G20" s="188">
        <v>1.01</v>
      </c>
      <c r="H20" s="48"/>
      <c r="I20" s="48"/>
      <c r="J20" s="48"/>
      <c r="K20" s="48"/>
      <c r="L20" s="48"/>
      <c r="M20" s="48"/>
      <c r="N20" s="48"/>
      <c r="O20" s="48"/>
      <c r="P20" s="48"/>
      <c r="Q20" s="48"/>
      <c r="R20" s="48"/>
    </row>
    <row r="21" spans="1:18" x14ac:dyDescent="0.2">
      <c r="A21" s="142">
        <f t="shared" si="0"/>
        <v>18</v>
      </c>
      <c r="B21" s="142">
        <f t="shared" si="1"/>
        <v>2038</v>
      </c>
      <c r="C21" s="28">
        <f t="shared" si="2"/>
        <v>0.29586391632159825</v>
      </c>
      <c r="D21" s="41">
        <f t="shared" si="3"/>
        <v>0.5873946076162827</v>
      </c>
      <c r="E21" s="48"/>
      <c r="F21" s="142">
        <f t="shared" si="4"/>
        <v>2020</v>
      </c>
      <c r="G21" s="188">
        <v>1</v>
      </c>
      <c r="H21" s="48"/>
      <c r="I21" s="48"/>
      <c r="J21" s="48"/>
      <c r="K21" s="48"/>
      <c r="L21" s="48"/>
      <c r="M21" s="48"/>
      <c r="N21" s="48"/>
      <c r="O21" s="48"/>
      <c r="P21" s="48"/>
      <c r="Q21" s="48"/>
      <c r="R21" s="48"/>
    </row>
    <row r="22" spans="1:18" x14ac:dyDescent="0.2">
      <c r="A22" s="142">
        <f t="shared" si="0"/>
        <v>19</v>
      </c>
      <c r="B22" s="142">
        <f t="shared" si="1"/>
        <v>2039</v>
      </c>
      <c r="C22" s="28">
        <f t="shared" si="2"/>
        <v>0.27650833301083949</v>
      </c>
      <c r="D22" s="41">
        <f t="shared" si="3"/>
        <v>0.57028602681192497</v>
      </c>
      <c r="E22" s="48"/>
      <c r="F22" s="351" t="s">
        <v>33</v>
      </c>
      <c r="G22" s="352"/>
      <c r="H22" s="48"/>
      <c r="I22" s="48"/>
      <c r="J22" s="48"/>
      <c r="K22" s="48"/>
      <c r="L22" s="48"/>
      <c r="M22" s="48"/>
      <c r="N22" s="48"/>
      <c r="O22" s="48"/>
      <c r="P22" s="48"/>
      <c r="Q22" s="48"/>
      <c r="R22" s="48"/>
    </row>
    <row r="23" spans="1:18" x14ac:dyDescent="0.2">
      <c r="A23" s="142">
        <f t="shared" si="0"/>
        <v>20</v>
      </c>
      <c r="B23" s="142">
        <f t="shared" si="1"/>
        <v>2040</v>
      </c>
      <c r="C23" s="28">
        <f t="shared" si="2"/>
        <v>0.2584190028138687</v>
      </c>
      <c r="D23" s="41">
        <f t="shared" si="3"/>
        <v>0.55367575418633497</v>
      </c>
      <c r="E23" s="48"/>
      <c r="F23" s="48"/>
      <c r="G23" s="48"/>
      <c r="H23" s="48"/>
      <c r="I23" s="48"/>
      <c r="J23" s="48"/>
      <c r="K23" s="48"/>
      <c r="L23" s="48"/>
      <c r="M23" s="48"/>
      <c r="N23" s="48"/>
      <c r="O23" s="48"/>
      <c r="P23" s="48"/>
      <c r="Q23" s="48"/>
      <c r="R23" s="48"/>
    </row>
    <row r="24" spans="1:18" x14ac:dyDescent="0.2">
      <c r="A24" s="142">
        <f t="shared" si="0"/>
        <v>21</v>
      </c>
      <c r="B24" s="142">
        <f t="shared" si="1"/>
        <v>2041</v>
      </c>
      <c r="C24" s="28">
        <f t="shared" si="2"/>
        <v>0.24151308674193336</v>
      </c>
      <c r="D24" s="41">
        <f t="shared" si="3"/>
        <v>0.5375492759090631</v>
      </c>
      <c r="E24" s="48"/>
      <c r="F24" s="48"/>
      <c r="G24" s="48"/>
      <c r="H24" s="48"/>
      <c r="I24" s="48"/>
      <c r="J24" s="48"/>
      <c r="K24" s="48"/>
      <c r="L24" s="48"/>
      <c r="M24" s="48"/>
      <c r="N24" s="48"/>
      <c r="O24" s="48"/>
      <c r="P24" s="48"/>
      <c r="Q24" s="48"/>
      <c r="R24" s="48"/>
    </row>
    <row r="25" spans="1:18" x14ac:dyDescent="0.2">
      <c r="A25" s="142">
        <f t="shared" si="0"/>
        <v>22</v>
      </c>
      <c r="B25" s="142">
        <f t="shared" si="1"/>
        <v>2042</v>
      </c>
      <c r="C25" s="28">
        <f t="shared" ref="C25:C35" si="5">1/(1+$C$43)^A25</f>
        <v>0.22571316517937698</v>
      </c>
      <c r="D25" s="41">
        <f t="shared" si="3"/>
        <v>0.52189250088258554</v>
      </c>
      <c r="E25" s="48"/>
      <c r="F25" s="48"/>
      <c r="G25" s="48"/>
      <c r="H25" s="48"/>
      <c r="I25" s="48"/>
      <c r="J25" s="48"/>
      <c r="K25" s="48"/>
      <c r="L25" s="48"/>
      <c r="M25" s="48"/>
      <c r="N25" s="48"/>
      <c r="O25" s="48"/>
      <c r="P25" s="48"/>
      <c r="Q25" s="48"/>
      <c r="R25" s="48"/>
    </row>
    <row r="26" spans="1:18" x14ac:dyDescent="0.2">
      <c r="A26" s="142">
        <f t="shared" si="0"/>
        <v>23</v>
      </c>
      <c r="B26" s="142">
        <f t="shared" si="1"/>
        <v>2043</v>
      </c>
      <c r="C26" s="28">
        <f t="shared" si="5"/>
        <v>0.21094688334521211</v>
      </c>
      <c r="D26" s="41">
        <f t="shared" si="3"/>
        <v>0.50669174842969467</v>
      </c>
      <c r="E26" s="48"/>
      <c r="F26" s="48"/>
      <c r="G26" s="48"/>
      <c r="H26" s="48"/>
      <c r="I26" s="48"/>
      <c r="J26" s="48"/>
      <c r="K26" s="48"/>
      <c r="L26" s="48"/>
      <c r="M26" s="48"/>
      <c r="N26" s="48"/>
      <c r="O26" s="48"/>
      <c r="P26" s="48"/>
      <c r="Q26" s="48"/>
      <c r="R26" s="48"/>
    </row>
    <row r="27" spans="1:18" x14ac:dyDescent="0.2">
      <c r="A27" s="142">
        <f t="shared" si="0"/>
        <v>24</v>
      </c>
      <c r="B27" s="142">
        <f t="shared" si="1"/>
        <v>2044</v>
      </c>
      <c r="C27" s="28">
        <f t="shared" si="5"/>
        <v>0.19714661994879637</v>
      </c>
      <c r="D27" s="41">
        <f t="shared" si="3"/>
        <v>0.49193373633950943</v>
      </c>
      <c r="E27" s="48"/>
      <c r="F27" s="48"/>
      <c r="G27" s="48"/>
      <c r="H27" s="48"/>
      <c r="I27" s="48"/>
      <c r="J27" s="48"/>
      <c r="K27" s="48"/>
      <c r="L27" s="48"/>
      <c r="M27" s="48"/>
      <c r="N27" s="48"/>
      <c r="O27" s="48"/>
      <c r="P27" s="48"/>
      <c r="Q27" s="48"/>
      <c r="R27" s="48"/>
    </row>
    <row r="28" spans="1:18" x14ac:dyDescent="0.2">
      <c r="A28" s="142">
        <f t="shared" si="0"/>
        <v>25</v>
      </c>
      <c r="B28" s="142">
        <f t="shared" si="1"/>
        <v>2045</v>
      </c>
      <c r="C28" s="28">
        <f t="shared" si="5"/>
        <v>0.18424917752223957</v>
      </c>
      <c r="D28" s="41">
        <f t="shared" si="3"/>
        <v>0.47760556926165965</v>
      </c>
      <c r="E28" s="48"/>
      <c r="F28" s="48"/>
      <c r="G28" s="48"/>
      <c r="H28" s="48"/>
      <c r="I28" s="48"/>
      <c r="J28" s="48"/>
      <c r="K28" s="48"/>
      <c r="L28" s="48"/>
      <c r="M28" s="48"/>
      <c r="N28" s="48"/>
      <c r="O28" s="48"/>
      <c r="P28" s="48"/>
      <c r="Q28" s="48"/>
      <c r="R28" s="48"/>
    </row>
    <row r="29" spans="1:18" x14ac:dyDescent="0.2">
      <c r="A29" s="142">
        <f t="shared" si="0"/>
        <v>26</v>
      </c>
      <c r="B29" s="142">
        <f t="shared" si="1"/>
        <v>2046</v>
      </c>
      <c r="C29" s="28">
        <f t="shared" si="5"/>
        <v>0.17219549301143888</v>
      </c>
      <c r="D29" s="41">
        <f t="shared" si="3"/>
        <v>0.46369472743850448</v>
      </c>
      <c r="E29" s="48"/>
      <c r="F29" s="48"/>
      <c r="G29" s="48"/>
      <c r="H29" s="48"/>
      <c r="I29" s="48"/>
      <c r="J29" s="48"/>
      <c r="K29" s="48"/>
      <c r="L29" s="48"/>
      <c r="M29" s="48"/>
      <c r="N29" s="48"/>
      <c r="O29" s="48"/>
      <c r="P29" s="48"/>
      <c r="Q29" s="48"/>
      <c r="R29" s="48"/>
    </row>
    <row r="30" spans="1:18" x14ac:dyDescent="0.2">
      <c r="A30" s="142">
        <f t="shared" si="0"/>
        <v>27</v>
      </c>
      <c r="B30" s="142">
        <f t="shared" si="1"/>
        <v>2047</v>
      </c>
      <c r="C30" s="28">
        <f t="shared" si="5"/>
        <v>0.16093036730041013</v>
      </c>
      <c r="D30" s="41">
        <f t="shared" si="3"/>
        <v>0.45018905576553836</v>
      </c>
      <c r="E30" s="48"/>
      <c r="F30" s="48"/>
      <c r="G30" s="48"/>
      <c r="H30" s="48"/>
      <c r="I30" s="48"/>
      <c r="J30" s="48"/>
      <c r="K30" s="48"/>
      <c r="L30" s="48"/>
      <c r="M30" s="48"/>
      <c r="N30" s="48"/>
      <c r="O30" s="48"/>
      <c r="P30" s="48"/>
      <c r="Q30" s="48"/>
      <c r="R30" s="48"/>
    </row>
    <row r="31" spans="1:18" x14ac:dyDescent="0.2">
      <c r="A31" s="142">
        <f t="shared" si="0"/>
        <v>28</v>
      </c>
      <c r="B31" s="142">
        <f t="shared" si="1"/>
        <v>2048</v>
      </c>
      <c r="C31" s="28">
        <f t="shared" si="5"/>
        <v>0.15040221243028987</v>
      </c>
      <c r="D31" s="41">
        <f t="shared" si="3"/>
        <v>0.4370767531704256</v>
      </c>
      <c r="E31" s="48"/>
      <c r="F31" s="48"/>
      <c r="G31" s="48"/>
      <c r="H31" s="48"/>
      <c r="I31" s="48"/>
      <c r="J31" s="48"/>
      <c r="K31" s="48"/>
      <c r="L31" s="48"/>
      <c r="M31" s="48"/>
      <c r="N31" s="48"/>
      <c r="O31" s="48"/>
      <c r="P31" s="48"/>
      <c r="Q31" s="48"/>
      <c r="R31" s="48"/>
    </row>
    <row r="32" spans="1:18" x14ac:dyDescent="0.2">
      <c r="A32" s="142">
        <f t="shared" si="0"/>
        <v>29</v>
      </c>
      <c r="B32" s="142">
        <f t="shared" si="1"/>
        <v>2049</v>
      </c>
      <c r="C32" s="28">
        <f t="shared" si="5"/>
        <v>0.1405628153554111</v>
      </c>
      <c r="D32" s="41">
        <f t="shared" si="3"/>
        <v>0.42434636230138412</v>
      </c>
      <c r="E32" s="48"/>
      <c r="F32" s="48"/>
      <c r="G32" s="48"/>
      <c r="H32" s="48"/>
      <c r="I32" s="48"/>
      <c r="J32" s="48"/>
      <c r="K32" s="48"/>
      <c r="L32" s="48"/>
      <c r="M32" s="48"/>
      <c r="N32" s="48"/>
      <c r="O32" s="48"/>
      <c r="P32" s="48"/>
      <c r="Q32" s="48"/>
      <c r="R32" s="48"/>
    </row>
    <row r="33" spans="1:18" x14ac:dyDescent="0.2">
      <c r="A33" s="142">
        <f t="shared" si="0"/>
        <v>30</v>
      </c>
      <c r="B33" s="142">
        <f t="shared" si="1"/>
        <v>2050</v>
      </c>
      <c r="C33" s="28">
        <f t="shared" si="5"/>
        <v>0.13136711715458982</v>
      </c>
      <c r="D33" s="41">
        <f t="shared" si="3"/>
        <v>0.41198675951590691</v>
      </c>
      <c r="E33" s="48"/>
      <c r="F33" s="48"/>
      <c r="G33" s="48"/>
      <c r="H33" s="48"/>
      <c r="I33" s="48"/>
      <c r="J33" s="48"/>
      <c r="K33" s="48"/>
      <c r="L33" s="48"/>
      <c r="M33" s="48"/>
      <c r="N33" s="48"/>
      <c r="O33" s="48"/>
      <c r="P33" s="48"/>
      <c r="Q33" s="48"/>
      <c r="R33" s="48"/>
    </row>
    <row r="34" spans="1:18" x14ac:dyDescent="0.2">
      <c r="A34" s="142">
        <f t="shared" si="0"/>
        <v>31</v>
      </c>
      <c r="B34" s="142">
        <f t="shared" si="1"/>
        <v>2051</v>
      </c>
      <c r="C34" s="28">
        <f t="shared" si="5"/>
        <v>0.1227730066865325</v>
      </c>
      <c r="D34" s="41">
        <f t="shared" si="3"/>
        <v>0.39998714516107459</v>
      </c>
      <c r="E34" s="48"/>
      <c r="F34" s="48"/>
      <c r="G34" s="48"/>
      <c r="H34" s="48"/>
      <c r="I34" s="48"/>
      <c r="J34" s="48"/>
      <c r="K34" s="48"/>
      <c r="L34" s="48"/>
      <c r="M34" s="48"/>
      <c r="N34" s="48"/>
      <c r="O34" s="48"/>
      <c r="P34" s="48"/>
      <c r="Q34" s="48"/>
      <c r="R34" s="48"/>
    </row>
    <row r="35" spans="1:18" x14ac:dyDescent="0.2">
      <c r="A35" s="142">
        <f t="shared" si="0"/>
        <v>32</v>
      </c>
      <c r="B35" s="142">
        <f t="shared" si="1"/>
        <v>2052</v>
      </c>
      <c r="C35" s="28">
        <f t="shared" si="5"/>
        <v>0.11474112774442291</v>
      </c>
      <c r="D35" s="41">
        <f t="shared" si="3"/>
        <v>0.38833703413696569</v>
      </c>
      <c r="E35" s="48"/>
      <c r="F35" s="48"/>
      <c r="G35" s="48"/>
      <c r="H35" s="48"/>
      <c r="I35" s="48"/>
      <c r="J35" s="48"/>
      <c r="K35" s="48"/>
      <c r="L35" s="48"/>
      <c r="M35" s="48"/>
      <c r="N35" s="48"/>
      <c r="O35" s="48"/>
      <c r="P35" s="48"/>
      <c r="Q35" s="48"/>
      <c r="R35" s="48"/>
    </row>
    <row r="36" spans="1:18" x14ac:dyDescent="0.2">
      <c r="A36" s="142">
        <f t="shared" si="0"/>
        <v>33</v>
      </c>
      <c r="B36" s="142">
        <f t="shared" si="1"/>
        <v>2053</v>
      </c>
      <c r="C36" s="28">
        <f t="shared" ref="C36:C42" si="6">1/(1+$C$43)^A36</f>
        <v>0.10723469882656347</v>
      </c>
      <c r="D36" s="41">
        <f t="shared" si="3"/>
        <v>0.37702624673491814</v>
      </c>
      <c r="E36" s="48"/>
      <c r="F36" s="48"/>
      <c r="G36" s="48"/>
      <c r="H36" s="48"/>
      <c r="I36" s="48"/>
      <c r="J36" s="48"/>
      <c r="K36" s="48"/>
      <c r="L36" s="48"/>
      <c r="M36" s="48"/>
      <c r="N36" s="48"/>
      <c r="O36" s="48"/>
      <c r="P36" s="48"/>
      <c r="Q36" s="48"/>
      <c r="R36" s="48"/>
    </row>
    <row r="37" spans="1:18" x14ac:dyDescent="0.2">
      <c r="A37" s="142">
        <f t="shared" si="0"/>
        <v>34</v>
      </c>
      <c r="B37" s="142">
        <f t="shared" si="1"/>
        <v>2054</v>
      </c>
      <c r="C37" s="28">
        <f t="shared" si="6"/>
        <v>0.10021934469772288</v>
      </c>
      <c r="D37" s="41">
        <f t="shared" si="3"/>
        <v>0.36604489974263904</v>
      </c>
      <c r="E37" s="48"/>
      <c r="F37" s="48"/>
      <c r="G37" s="48"/>
      <c r="H37" s="48"/>
      <c r="I37" s="48"/>
      <c r="J37" s="48"/>
      <c r="K37" s="48"/>
      <c r="L37" s="48"/>
      <c r="M37" s="48"/>
      <c r="N37" s="48"/>
      <c r="O37" s="48"/>
      <c r="P37" s="48"/>
      <c r="Q37" s="48"/>
      <c r="R37" s="48"/>
    </row>
    <row r="38" spans="1:18" x14ac:dyDescent="0.2">
      <c r="A38" s="142">
        <f t="shared" si="0"/>
        <v>35</v>
      </c>
      <c r="B38" s="142">
        <f t="shared" si="1"/>
        <v>2055</v>
      </c>
      <c r="C38" s="28">
        <f t="shared" si="6"/>
        <v>9.366293896983445E-2</v>
      </c>
      <c r="D38" s="41">
        <f t="shared" si="3"/>
        <v>0.35538339780838735</v>
      </c>
      <c r="E38" s="48"/>
      <c r="F38" s="48"/>
      <c r="G38" s="48"/>
      <c r="H38" s="48"/>
      <c r="I38" s="48"/>
      <c r="J38" s="48"/>
      <c r="K38" s="48"/>
      <c r="L38" s="48"/>
      <c r="M38" s="48"/>
      <c r="N38" s="48"/>
      <c r="O38" s="48"/>
      <c r="P38" s="48"/>
      <c r="Q38" s="48"/>
      <c r="R38" s="48"/>
    </row>
    <row r="39" spans="1:18" x14ac:dyDescent="0.2">
      <c r="A39" s="142">
        <f t="shared" si="0"/>
        <v>36</v>
      </c>
      <c r="B39" s="142">
        <f t="shared" si="1"/>
        <v>2056</v>
      </c>
      <c r="C39" s="28">
        <f t="shared" si="6"/>
        <v>8.7535456981153698E-2</v>
      </c>
      <c r="D39" s="41">
        <f t="shared" si="3"/>
        <v>0.34503242505668674</v>
      </c>
      <c r="E39" s="48"/>
      <c r="F39" s="48"/>
      <c r="G39" s="48"/>
      <c r="H39" s="48"/>
      <c r="I39" s="48"/>
      <c r="J39" s="48"/>
      <c r="K39" s="48"/>
      <c r="L39" s="48"/>
      <c r="M39" s="48"/>
      <c r="N39" s="48"/>
      <c r="O39" s="48"/>
      <c r="P39" s="48"/>
      <c r="Q39" s="48"/>
      <c r="R39" s="48"/>
    </row>
    <row r="40" spans="1:18" x14ac:dyDescent="0.2">
      <c r="A40" s="142">
        <f t="shared" si="0"/>
        <v>37</v>
      </c>
      <c r="B40" s="142">
        <f t="shared" si="1"/>
        <v>2057</v>
      </c>
      <c r="C40" s="28">
        <f t="shared" si="6"/>
        <v>8.1808838300143641E-2</v>
      </c>
      <c r="D40" s="41">
        <f t="shared" si="3"/>
        <v>0.33498293694823961</v>
      </c>
      <c r="E40" s="48"/>
      <c r="F40" s="48"/>
      <c r="G40" s="48"/>
      <c r="H40" s="48"/>
      <c r="I40" s="48"/>
      <c r="J40" s="48"/>
      <c r="K40" s="48"/>
      <c r="L40" s="48"/>
      <c r="M40" s="48"/>
      <c r="N40" s="48"/>
      <c r="O40" s="48"/>
      <c r="P40" s="48"/>
      <c r="Q40" s="48"/>
      <c r="R40" s="48"/>
    </row>
    <row r="41" spans="1:18" x14ac:dyDescent="0.2">
      <c r="A41" s="142">
        <f t="shared" si="0"/>
        <v>38</v>
      </c>
      <c r="B41" s="142">
        <f t="shared" si="1"/>
        <v>2058</v>
      </c>
      <c r="C41" s="28">
        <f t="shared" si="6"/>
        <v>7.6456858224433308E-2</v>
      </c>
      <c r="D41" s="41">
        <f t="shared" si="3"/>
        <v>0.3252261523769317</v>
      </c>
      <c r="E41" s="48"/>
      <c r="F41" s="48"/>
      <c r="G41" s="48"/>
      <c r="H41" s="48"/>
      <c r="I41" s="48"/>
      <c r="J41" s="48"/>
      <c r="K41" s="48"/>
      <c r="L41" s="48"/>
      <c r="M41" s="48"/>
      <c r="N41" s="48"/>
      <c r="O41" s="48"/>
      <c r="P41" s="48"/>
      <c r="Q41" s="48"/>
      <c r="R41" s="48"/>
    </row>
    <row r="42" spans="1:18" x14ac:dyDescent="0.2">
      <c r="A42" s="142">
        <f t="shared" si="0"/>
        <v>39</v>
      </c>
      <c r="B42" s="142">
        <f t="shared" si="1"/>
        <v>2059</v>
      </c>
      <c r="C42" s="28">
        <f t="shared" si="6"/>
        <v>7.1455007686386268E-2</v>
      </c>
      <c r="D42" s="41">
        <f t="shared" si="3"/>
        <v>0.31575354599702099</v>
      </c>
      <c r="E42" s="48"/>
      <c r="F42" s="48"/>
      <c r="G42" s="48"/>
      <c r="H42" s="48"/>
      <c r="I42" s="48"/>
      <c r="J42" s="48"/>
      <c r="K42" s="48"/>
      <c r="L42" s="48"/>
      <c r="M42" s="48"/>
      <c r="N42" s="48"/>
      <c r="O42" s="48"/>
      <c r="P42" s="48"/>
      <c r="Q42" s="48"/>
      <c r="R42" s="48"/>
    </row>
    <row r="43" spans="1:18" x14ac:dyDescent="0.2">
      <c r="A43" s="347" t="s">
        <v>10</v>
      </c>
      <c r="B43" s="348"/>
      <c r="C43" s="29">
        <f>0.07</f>
        <v>7.0000000000000007E-2</v>
      </c>
      <c r="D43" s="29">
        <f>0.03</f>
        <v>0.03</v>
      </c>
      <c r="E43" s="48"/>
      <c r="F43" s="48"/>
      <c r="G43" s="48"/>
      <c r="H43" s="48"/>
      <c r="I43" s="48"/>
      <c r="J43" s="48"/>
      <c r="K43" s="48"/>
      <c r="L43" s="48"/>
      <c r="M43" s="48"/>
      <c r="N43" s="48"/>
      <c r="O43" s="48"/>
      <c r="P43" s="48"/>
      <c r="Q43" s="48"/>
      <c r="R43" s="48"/>
    </row>
    <row r="44" spans="1:18" ht="13.15" customHeight="1" x14ac:dyDescent="0.2">
      <c r="A44" s="48"/>
      <c r="B44" s="48"/>
      <c r="C44" s="48"/>
      <c r="D44" s="48"/>
      <c r="E44" s="48"/>
      <c r="F44" s="48"/>
      <c r="G44" s="48"/>
      <c r="H44" s="48"/>
      <c r="I44" s="48"/>
      <c r="J44" s="48"/>
      <c r="K44" s="48"/>
      <c r="L44" s="48"/>
      <c r="M44" s="48"/>
      <c r="N44" s="48"/>
      <c r="O44" s="48"/>
      <c r="P44" s="48"/>
      <c r="Q44" s="48"/>
      <c r="R44" s="48"/>
    </row>
    <row r="45" spans="1:18" x14ac:dyDescent="0.2">
      <c r="A45" s="48"/>
      <c r="B45" s="48"/>
      <c r="C45" s="48"/>
      <c r="D45" s="48"/>
      <c r="E45" s="48"/>
      <c r="F45" s="48"/>
      <c r="G45" s="48"/>
      <c r="H45" s="48"/>
      <c r="I45" s="48"/>
      <c r="J45" s="48"/>
      <c r="K45" s="48"/>
      <c r="L45" s="48"/>
      <c r="M45" s="48"/>
      <c r="N45" s="48"/>
      <c r="O45" s="48"/>
      <c r="P45" s="48"/>
      <c r="Q45" s="48"/>
      <c r="R45" s="48"/>
    </row>
    <row r="46" spans="1:18" x14ac:dyDescent="0.2">
      <c r="A46" s="48"/>
      <c r="B46" s="48"/>
      <c r="C46" s="48"/>
      <c r="D46" s="48"/>
      <c r="E46" s="48"/>
      <c r="F46" s="48"/>
      <c r="G46" s="48"/>
      <c r="H46" s="48"/>
      <c r="I46" s="48"/>
      <c r="J46" s="48"/>
      <c r="K46" s="48"/>
      <c r="L46" s="48"/>
      <c r="M46" s="48"/>
      <c r="N46" s="48"/>
      <c r="O46" s="48"/>
      <c r="P46" s="48"/>
      <c r="Q46" s="48"/>
      <c r="R46" s="48"/>
    </row>
    <row r="47" spans="1:18" x14ac:dyDescent="0.2">
      <c r="A47" s="48"/>
      <c r="B47" s="48"/>
      <c r="C47" s="48"/>
      <c r="D47" s="48"/>
      <c r="E47" s="48"/>
      <c r="F47" s="48"/>
      <c r="G47" s="48"/>
      <c r="H47" s="48"/>
      <c r="I47" s="48"/>
      <c r="J47" s="48"/>
      <c r="K47" s="48"/>
      <c r="L47" s="48"/>
      <c r="M47" s="48"/>
      <c r="N47" s="48"/>
      <c r="O47" s="48"/>
      <c r="P47" s="48"/>
      <c r="Q47" s="48"/>
      <c r="R47" s="48"/>
    </row>
    <row r="48" spans="1:18" x14ac:dyDescent="0.2">
      <c r="A48" s="48"/>
      <c r="B48" s="48"/>
      <c r="C48" s="48"/>
      <c r="D48" s="48"/>
      <c r="E48" s="48"/>
      <c r="F48" s="48"/>
      <c r="G48" s="48"/>
      <c r="H48" s="48"/>
      <c r="I48" s="48"/>
      <c r="J48" s="48"/>
      <c r="K48" s="48"/>
      <c r="L48" s="48"/>
      <c r="M48" s="48"/>
      <c r="N48" s="48"/>
      <c r="O48" s="48"/>
      <c r="P48" s="48"/>
      <c r="Q48" s="48"/>
      <c r="R48" s="48"/>
    </row>
    <row r="49" s="48" customFormat="1" x14ac:dyDescent="0.2"/>
    <row r="50" s="48" customFormat="1" x14ac:dyDescent="0.2"/>
    <row r="51" s="48" customFormat="1" x14ac:dyDescent="0.2"/>
    <row r="52" s="48" customFormat="1" x14ac:dyDescent="0.2"/>
    <row r="53" s="48" customFormat="1" x14ac:dyDescent="0.2"/>
    <row r="54" s="48" customFormat="1" x14ac:dyDescent="0.2"/>
    <row r="55" s="48" customFormat="1" x14ac:dyDescent="0.2"/>
    <row r="56" s="48" customFormat="1" x14ac:dyDescent="0.2"/>
    <row r="57" s="48" customFormat="1" x14ac:dyDescent="0.2"/>
    <row r="58" s="48" customFormat="1" x14ac:dyDescent="0.2"/>
    <row r="59" s="48" customFormat="1" x14ac:dyDescent="0.2"/>
    <row r="60" s="48" customFormat="1" x14ac:dyDescent="0.2"/>
    <row r="61" s="48" customFormat="1" x14ac:dyDescent="0.2"/>
    <row r="62" s="48" customFormat="1" x14ac:dyDescent="0.2"/>
    <row r="63" s="48" customFormat="1" x14ac:dyDescent="0.2"/>
    <row r="64" s="48" customFormat="1" x14ac:dyDescent="0.2"/>
    <row r="65" s="48" customFormat="1" x14ac:dyDescent="0.2"/>
    <row r="66" s="48" customFormat="1" x14ac:dyDescent="0.2"/>
    <row r="67" s="48" customFormat="1" x14ac:dyDescent="0.2"/>
    <row r="68" s="48" customFormat="1" x14ac:dyDescent="0.2"/>
    <row r="69" s="48" customFormat="1" x14ac:dyDescent="0.2"/>
    <row r="70" s="48" customFormat="1" x14ac:dyDescent="0.2"/>
    <row r="71" s="48" customFormat="1" x14ac:dyDescent="0.2"/>
    <row r="72" s="48" customFormat="1" x14ac:dyDescent="0.2"/>
    <row r="73" s="48" customFormat="1" x14ac:dyDescent="0.2"/>
    <row r="74" s="48" customFormat="1" x14ac:dyDescent="0.2"/>
    <row r="75" s="48" customFormat="1" x14ac:dyDescent="0.2"/>
    <row r="76" s="48" customFormat="1" x14ac:dyDescent="0.2"/>
    <row r="77" s="48" customFormat="1" x14ac:dyDescent="0.2"/>
    <row r="78" s="48" customFormat="1" x14ac:dyDescent="0.2"/>
    <row r="79" s="48" customFormat="1" x14ac:dyDescent="0.2"/>
    <row r="80" s="48" customFormat="1" x14ac:dyDescent="0.2"/>
    <row r="81" s="48" customFormat="1" x14ac:dyDescent="0.2"/>
    <row r="82" s="48" customFormat="1" x14ac:dyDescent="0.2"/>
    <row r="83" s="48" customFormat="1" x14ac:dyDescent="0.2"/>
    <row r="84" s="48" customFormat="1" x14ac:dyDescent="0.2"/>
    <row r="85" s="48" customFormat="1" x14ac:dyDescent="0.2"/>
    <row r="86" s="48" customFormat="1" x14ac:dyDescent="0.2"/>
    <row r="87" s="48" customFormat="1" x14ac:dyDescent="0.2"/>
    <row r="88" s="48" customFormat="1" x14ac:dyDescent="0.2"/>
    <row r="89" s="48" customFormat="1" x14ac:dyDescent="0.2"/>
    <row r="90" s="48" customFormat="1" x14ac:dyDescent="0.2"/>
    <row r="91" s="48" customFormat="1" x14ac:dyDescent="0.2"/>
    <row r="92" s="48" customFormat="1" x14ac:dyDescent="0.2"/>
    <row r="93" s="48" customFormat="1" x14ac:dyDescent="0.2"/>
    <row r="94" s="48" customFormat="1" x14ac:dyDescent="0.2"/>
    <row r="95" s="48" customFormat="1" x14ac:dyDescent="0.2"/>
    <row r="96" s="48" customFormat="1" x14ac:dyDescent="0.2"/>
    <row r="97" s="48" customFormat="1" x14ac:dyDescent="0.2"/>
    <row r="98" s="48" customFormat="1" x14ac:dyDescent="0.2"/>
    <row r="99" s="48" customFormat="1" x14ac:dyDescent="0.2"/>
    <row r="100" s="48" customFormat="1" x14ac:dyDescent="0.2"/>
    <row r="101" s="48" customFormat="1" x14ac:dyDescent="0.2"/>
    <row r="102" s="48" customFormat="1" x14ac:dyDescent="0.2"/>
    <row r="103" s="48" customFormat="1" x14ac:dyDescent="0.2"/>
    <row r="104" s="48" customFormat="1" x14ac:dyDescent="0.2"/>
    <row r="105" s="48" customFormat="1" x14ac:dyDescent="0.2"/>
    <row r="106" s="48" customFormat="1" x14ac:dyDescent="0.2"/>
    <row r="107" s="48" customFormat="1" x14ac:dyDescent="0.2"/>
    <row r="108" s="48" customFormat="1" x14ac:dyDescent="0.2"/>
    <row r="109" s="48" customFormat="1" x14ac:dyDescent="0.2"/>
    <row r="110" s="48" customFormat="1" x14ac:dyDescent="0.2"/>
    <row r="111" s="48" customFormat="1" x14ac:dyDescent="0.2"/>
    <row r="112" s="48" customFormat="1" x14ac:dyDescent="0.2"/>
    <row r="113" s="48" customFormat="1" x14ac:dyDescent="0.2"/>
    <row r="114" s="48" customFormat="1" x14ac:dyDescent="0.2"/>
    <row r="115" s="48" customFormat="1" x14ac:dyDescent="0.2"/>
    <row r="116" s="48" customFormat="1" x14ac:dyDescent="0.2"/>
    <row r="117" s="48" customFormat="1" x14ac:dyDescent="0.2"/>
    <row r="118" s="48" customFormat="1" x14ac:dyDescent="0.2"/>
    <row r="119" s="48" customFormat="1" x14ac:dyDescent="0.2"/>
    <row r="120" s="48" customFormat="1" x14ac:dyDescent="0.2"/>
    <row r="121" s="48" customFormat="1" x14ac:dyDescent="0.2"/>
    <row r="122" s="48" customFormat="1" x14ac:dyDescent="0.2"/>
    <row r="123" s="48" customFormat="1" x14ac:dyDescent="0.2"/>
    <row r="124" s="48" customFormat="1" x14ac:dyDescent="0.2"/>
    <row r="125" s="48" customFormat="1" x14ac:dyDescent="0.2"/>
    <row r="126" s="48" customFormat="1" x14ac:dyDescent="0.2"/>
    <row r="127" s="48" customFormat="1" x14ac:dyDescent="0.2"/>
    <row r="128" s="48" customFormat="1" x14ac:dyDescent="0.2"/>
    <row r="129" s="48" customFormat="1" x14ac:dyDescent="0.2"/>
    <row r="130" s="48" customFormat="1" x14ac:dyDescent="0.2"/>
    <row r="131" s="48" customFormat="1" x14ac:dyDescent="0.2"/>
    <row r="132" s="48" customFormat="1" x14ac:dyDescent="0.2"/>
    <row r="133" s="48" customFormat="1" x14ac:dyDescent="0.2"/>
    <row r="134" s="48" customFormat="1" x14ac:dyDescent="0.2"/>
    <row r="135" s="48" customFormat="1" x14ac:dyDescent="0.2"/>
    <row r="136" s="48" customFormat="1" x14ac:dyDescent="0.2"/>
    <row r="137" s="48" customFormat="1" x14ac:dyDescent="0.2"/>
    <row r="138" s="48" customFormat="1" x14ac:dyDescent="0.2"/>
    <row r="139" s="48" customFormat="1" x14ac:dyDescent="0.2"/>
    <row r="140" s="48" customFormat="1" x14ac:dyDescent="0.2"/>
    <row r="141" s="48" customFormat="1" x14ac:dyDescent="0.2"/>
    <row r="142" s="48" customFormat="1" x14ac:dyDescent="0.2"/>
    <row r="143" s="48" customFormat="1" x14ac:dyDescent="0.2"/>
    <row r="144" s="48" customFormat="1" x14ac:dyDescent="0.2"/>
    <row r="145" s="48" customFormat="1" x14ac:dyDescent="0.2"/>
    <row r="146" s="48" customFormat="1" x14ac:dyDescent="0.2"/>
    <row r="147" s="48" customFormat="1" x14ac:dyDescent="0.2"/>
    <row r="148" s="48" customFormat="1" x14ac:dyDescent="0.2"/>
    <row r="149" s="48" customFormat="1" x14ac:dyDescent="0.2"/>
    <row r="150" s="48" customFormat="1" x14ac:dyDescent="0.2"/>
    <row r="151" s="48" customFormat="1" x14ac:dyDescent="0.2"/>
    <row r="152" s="48" customFormat="1" x14ac:dyDescent="0.2"/>
    <row r="153" s="48" customFormat="1" x14ac:dyDescent="0.2"/>
    <row r="154" s="48" customFormat="1" x14ac:dyDescent="0.2"/>
    <row r="155" s="48" customFormat="1" x14ac:dyDescent="0.2"/>
    <row r="156" s="48" customFormat="1" x14ac:dyDescent="0.2"/>
    <row r="157" s="48" customFormat="1" x14ac:dyDescent="0.2"/>
    <row r="158" s="48" customFormat="1" x14ac:dyDescent="0.2"/>
    <row r="159" s="48" customFormat="1" x14ac:dyDescent="0.2"/>
    <row r="160" s="48" customFormat="1" x14ac:dyDescent="0.2"/>
    <row r="161" s="48" customFormat="1" x14ac:dyDescent="0.2"/>
    <row r="162" s="48" customFormat="1" x14ac:dyDescent="0.2"/>
    <row r="163" s="48" customFormat="1" x14ac:dyDescent="0.2"/>
    <row r="164" s="48" customFormat="1" x14ac:dyDescent="0.2"/>
    <row r="165" s="48" customFormat="1" x14ac:dyDescent="0.2"/>
    <row r="166" s="48" customFormat="1" x14ac:dyDescent="0.2"/>
    <row r="167" s="48" customFormat="1" x14ac:dyDescent="0.2"/>
    <row r="168" s="48" customFormat="1" x14ac:dyDescent="0.2"/>
    <row r="169" s="48" customFormat="1" x14ac:dyDescent="0.2"/>
    <row r="170" s="48" customFormat="1" x14ac:dyDescent="0.2"/>
    <row r="171" s="48" customFormat="1" x14ac:dyDescent="0.2"/>
    <row r="172" s="48" customFormat="1" x14ac:dyDescent="0.2"/>
    <row r="173" s="48" customFormat="1" x14ac:dyDescent="0.2"/>
    <row r="174" s="48" customFormat="1" x14ac:dyDescent="0.2"/>
    <row r="175" s="48" customFormat="1" x14ac:dyDescent="0.2"/>
    <row r="176" s="48" customFormat="1" x14ac:dyDescent="0.2"/>
    <row r="177" s="48" customFormat="1" x14ac:dyDescent="0.2"/>
    <row r="178" s="48" customFormat="1" x14ac:dyDescent="0.2"/>
    <row r="179" s="48" customFormat="1" x14ac:dyDescent="0.2"/>
    <row r="180" s="48" customFormat="1" x14ac:dyDescent="0.2"/>
    <row r="181" s="48" customFormat="1" x14ac:dyDescent="0.2"/>
    <row r="182" s="48" customFormat="1" x14ac:dyDescent="0.2"/>
    <row r="183" s="48" customFormat="1" x14ac:dyDescent="0.2"/>
    <row r="184" s="48" customFormat="1" x14ac:dyDescent="0.2"/>
    <row r="185" s="48" customFormat="1" x14ac:dyDescent="0.2"/>
    <row r="186" s="48" customFormat="1" x14ac:dyDescent="0.2"/>
    <row r="187" s="48" customFormat="1" x14ac:dyDescent="0.2"/>
    <row r="188" s="48" customFormat="1" x14ac:dyDescent="0.2"/>
    <row r="189" s="48" customFormat="1" x14ac:dyDescent="0.2"/>
    <row r="190" s="48" customFormat="1" x14ac:dyDescent="0.2"/>
    <row r="191" s="48" customFormat="1" x14ac:dyDescent="0.2"/>
    <row r="192" s="48" customFormat="1" x14ac:dyDescent="0.2"/>
    <row r="193" s="48" customFormat="1" x14ac:dyDescent="0.2"/>
    <row r="194" s="48" customFormat="1" x14ac:dyDescent="0.2"/>
    <row r="195" s="48" customFormat="1" x14ac:dyDescent="0.2"/>
    <row r="196" s="48" customFormat="1" x14ac:dyDescent="0.2"/>
    <row r="197" s="48" customFormat="1" x14ac:dyDescent="0.2"/>
    <row r="198" s="48" customFormat="1" x14ac:dyDescent="0.2"/>
    <row r="199" s="48" customFormat="1" x14ac:dyDescent="0.2"/>
    <row r="200" s="48" customFormat="1" x14ac:dyDescent="0.2"/>
    <row r="201" s="48" customFormat="1" x14ac:dyDescent="0.2"/>
    <row r="202" s="48" customFormat="1" x14ac:dyDescent="0.2"/>
    <row r="203" s="48" customFormat="1" x14ac:dyDescent="0.2"/>
    <row r="204" s="48" customFormat="1" x14ac:dyDescent="0.2"/>
    <row r="205" s="48" customFormat="1" x14ac:dyDescent="0.2"/>
    <row r="206" s="48" customFormat="1" x14ac:dyDescent="0.2"/>
    <row r="207" s="48" customFormat="1" x14ac:dyDescent="0.2"/>
    <row r="208" s="48" customFormat="1" x14ac:dyDescent="0.2"/>
    <row r="209" s="48" customFormat="1" x14ac:dyDescent="0.2"/>
    <row r="210" s="48" customFormat="1" x14ac:dyDescent="0.2"/>
    <row r="211" s="48" customFormat="1" x14ac:dyDescent="0.2"/>
    <row r="212" s="48" customFormat="1" x14ac:dyDescent="0.2"/>
    <row r="213" s="48" customFormat="1" x14ac:dyDescent="0.2"/>
    <row r="214" s="48" customFormat="1" x14ac:dyDescent="0.2"/>
    <row r="215" s="48" customFormat="1" x14ac:dyDescent="0.2"/>
    <row r="216" s="48" customFormat="1" x14ac:dyDescent="0.2"/>
    <row r="217" s="48" customFormat="1" x14ac:dyDescent="0.2"/>
    <row r="218" s="48" customFormat="1" x14ac:dyDescent="0.2"/>
    <row r="219" s="48" customFormat="1" x14ac:dyDescent="0.2"/>
    <row r="220" s="48" customFormat="1" x14ac:dyDescent="0.2"/>
    <row r="221" s="48" customFormat="1" x14ac:dyDescent="0.2"/>
    <row r="222" s="48" customFormat="1" x14ac:dyDescent="0.2"/>
    <row r="223" s="48" customFormat="1" x14ac:dyDescent="0.2"/>
    <row r="224" s="48" customFormat="1" x14ac:dyDescent="0.2"/>
    <row r="225" s="48" customFormat="1" x14ac:dyDescent="0.2"/>
    <row r="226" s="48" customFormat="1" x14ac:dyDescent="0.2"/>
    <row r="227" s="48" customFormat="1" x14ac:dyDescent="0.2"/>
    <row r="228" s="48" customFormat="1" x14ac:dyDescent="0.2"/>
    <row r="229" s="48" customFormat="1" x14ac:dyDescent="0.2"/>
    <row r="230" s="48" customFormat="1" x14ac:dyDescent="0.2"/>
    <row r="231" s="48" customFormat="1" x14ac:dyDescent="0.2"/>
    <row r="232" s="48" customFormat="1" x14ac:dyDescent="0.2"/>
    <row r="233" s="48" customFormat="1" x14ac:dyDescent="0.2"/>
    <row r="234" s="48" customFormat="1" x14ac:dyDescent="0.2"/>
    <row r="235" s="48" customFormat="1" x14ac:dyDescent="0.2"/>
    <row r="236" s="48" customFormat="1" x14ac:dyDescent="0.2"/>
    <row r="237" s="48" customFormat="1" x14ac:dyDescent="0.2"/>
    <row r="238" s="48" customFormat="1" x14ac:dyDescent="0.2"/>
    <row r="239" s="48" customFormat="1" x14ac:dyDescent="0.2"/>
    <row r="240" s="48" customFormat="1" x14ac:dyDescent="0.2"/>
    <row r="241" s="48" customFormat="1" x14ac:dyDescent="0.2"/>
    <row r="242" s="48" customFormat="1" x14ac:dyDescent="0.2"/>
    <row r="243" s="48" customFormat="1" x14ac:dyDescent="0.2"/>
    <row r="244" s="48" customFormat="1" x14ac:dyDescent="0.2"/>
    <row r="245" s="48" customFormat="1" x14ac:dyDescent="0.2"/>
    <row r="246" s="48" customFormat="1" x14ac:dyDescent="0.2"/>
    <row r="247" s="48" customFormat="1" x14ac:dyDescent="0.2"/>
    <row r="248" s="48" customFormat="1" x14ac:dyDescent="0.2"/>
    <row r="249" s="48" customFormat="1" x14ac:dyDescent="0.2"/>
    <row r="250" s="48" customFormat="1" x14ac:dyDescent="0.2"/>
    <row r="251" s="48" customFormat="1" x14ac:dyDescent="0.2"/>
    <row r="252" s="48" customFormat="1" x14ac:dyDescent="0.2"/>
    <row r="253" s="48" customFormat="1" x14ac:dyDescent="0.2"/>
    <row r="254" s="48" customFormat="1" x14ac:dyDescent="0.2"/>
    <row r="255" s="48" customFormat="1" x14ac:dyDescent="0.2"/>
    <row r="256" s="48" customFormat="1" x14ac:dyDescent="0.2"/>
    <row r="257" s="48" customFormat="1" x14ac:dyDescent="0.2"/>
    <row r="258" s="48" customFormat="1" x14ac:dyDescent="0.2"/>
    <row r="259" s="48" customFormat="1" x14ac:dyDescent="0.2"/>
    <row r="260" s="48" customFormat="1" x14ac:dyDescent="0.2"/>
    <row r="261" s="48" customFormat="1" x14ac:dyDescent="0.2"/>
    <row r="262" s="48" customFormat="1" x14ac:dyDescent="0.2"/>
    <row r="263" s="48" customFormat="1" x14ac:dyDescent="0.2"/>
    <row r="264" s="48" customFormat="1" x14ac:dyDescent="0.2"/>
    <row r="265" s="48" customFormat="1" x14ac:dyDescent="0.2"/>
    <row r="266" s="48" customFormat="1" x14ac:dyDescent="0.2"/>
    <row r="267" s="48" customFormat="1" x14ac:dyDescent="0.2"/>
    <row r="268" s="48" customFormat="1" x14ac:dyDescent="0.2"/>
    <row r="269" s="48" customFormat="1" x14ac:dyDescent="0.2"/>
    <row r="270" s="48" customFormat="1" x14ac:dyDescent="0.2"/>
    <row r="271" s="48" customFormat="1" x14ac:dyDescent="0.2"/>
    <row r="272" s="48" customFormat="1" x14ac:dyDescent="0.2"/>
    <row r="273" s="48" customFormat="1" x14ac:dyDescent="0.2"/>
    <row r="274" s="48" customFormat="1" x14ac:dyDescent="0.2"/>
    <row r="275" s="48" customFormat="1" x14ac:dyDescent="0.2"/>
    <row r="276" s="48" customFormat="1" x14ac:dyDescent="0.2"/>
    <row r="277" s="48" customFormat="1" x14ac:dyDescent="0.2"/>
    <row r="278" s="48" customFormat="1" x14ac:dyDescent="0.2"/>
    <row r="279" s="48" customFormat="1" x14ac:dyDescent="0.2"/>
    <row r="280" s="48" customFormat="1" x14ac:dyDescent="0.2"/>
    <row r="281" s="48" customFormat="1" x14ac:dyDescent="0.2"/>
    <row r="282" s="48" customFormat="1" x14ac:dyDescent="0.2"/>
    <row r="283" s="48" customFormat="1" x14ac:dyDescent="0.2"/>
    <row r="284" s="48" customFormat="1" x14ac:dyDescent="0.2"/>
    <row r="285" s="48" customFormat="1" x14ac:dyDescent="0.2"/>
    <row r="286" s="48" customFormat="1" x14ac:dyDescent="0.2"/>
    <row r="287" s="48" customFormat="1" x14ac:dyDescent="0.2"/>
    <row r="288" s="48" customFormat="1" x14ac:dyDescent="0.2"/>
    <row r="289" s="48" customFormat="1" x14ac:dyDescent="0.2"/>
    <row r="290" s="48" customFormat="1" x14ac:dyDescent="0.2"/>
    <row r="291" s="48" customFormat="1" x14ac:dyDescent="0.2"/>
    <row r="292" s="48" customFormat="1" x14ac:dyDescent="0.2"/>
    <row r="293" s="48" customFormat="1" x14ac:dyDescent="0.2"/>
    <row r="294" s="48" customFormat="1" x14ac:dyDescent="0.2"/>
    <row r="295" s="48" customFormat="1" x14ac:dyDescent="0.2"/>
    <row r="296" s="48" customFormat="1" x14ac:dyDescent="0.2"/>
    <row r="297" s="48" customFormat="1" x14ac:dyDescent="0.2"/>
    <row r="298" s="48" customFormat="1" x14ac:dyDescent="0.2"/>
    <row r="299" s="48" customFormat="1" x14ac:dyDescent="0.2"/>
    <row r="300" s="48" customFormat="1" x14ac:dyDescent="0.2"/>
    <row r="301" s="48" customFormat="1" x14ac:dyDescent="0.2"/>
    <row r="302" s="48" customFormat="1" x14ac:dyDescent="0.2"/>
    <row r="303" s="48" customFormat="1" x14ac:dyDescent="0.2"/>
    <row r="304" s="48" customFormat="1" x14ac:dyDescent="0.2"/>
    <row r="305" s="48" customFormat="1" x14ac:dyDescent="0.2"/>
    <row r="306" s="48" customFormat="1" x14ac:dyDescent="0.2"/>
    <row r="307" s="48" customFormat="1" x14ac:dyDescent="0.2"/>
    <row r="308" s="48" customFormat="1" x14ac:dyDescent="0.2"/>
    <row r="309" s="48" customFormat="1" x14ac:dyDescent="0.2"/>
    <row r="310" s="48" customFormat="1" x14ac:dyDescent="0.2"/>
    <row r="311" s="48" customFormat="1" x14ac:dyDescent="0.2"/>
    <row r="312" s="48" customFormat="1" x14ac:dyDescent="0.2"/>
    <row r="313" s="48" customFormat="1" x14ac:dyDescent="0.2"/>
    <row r="314" s="48" customFormat="1" x14ac:dyDescent="0.2"/>
    <row r="315" s="48" customFormat="1" x14ac:dyDescent="0.2"/>
    <row r="316" s="48" customFormat="1" x14ac:dyDescent="0.2"/>
    <row r="317" s="48" customFormat="1" x14ac:dyDescent="0.2"/>
    <row r="318" s="48" customFormat="1" x14ac:dyDescent="0.2"/>
    <row r="319" s="48" customFormat="1" x14ac:dyDescent="0.2"/>
    <row r="320" s="48" customFormat="1" x14ac:dyDescent="0.2"/>
    <row r="321" s="48" customFormat="1" x14ac:dyDescent="0.2"/>
    <row r="322" s="48" customFormat="1" x14ac:dyDescent="0.2"/>
    <row r="323" s="48" customFormat="1" x14ac:dyDescent="0.2"/>
    <row r="324" s="48" customFormat="1" x14ac:dyDescent="0.2"/>
    <row r="325" s="48" customFormat="1" x14ac:dyDescent="0.2"/>
    <row r="326" s="48" customFormat="1" x14ac:dyDescent="0.2"/>
    <row r="327" s="48" customFormat="1" x14ac:dyDescent="0.2"/>
    <row r="328" s="48" customFormat="1" x14ac:dyDescent="0.2"/>
    <row r="329" s="48" customFormat="1" x14ac:dyDescent="0.2"/>
    <row r="330" s="48" customFormat="1" x14ac:dyDescent="0.2"/>
    <row r="331" s="48" customFormat="1" x14ac:dyDescent="0.2"/>
    <row r="332" s="48" customFormat="1" x14ac:dyDescent="0.2"/>
    <row r="333" s="48" customFormat="1" x14ac:dyDescent="0.2"/>
    <row r="334" s="48" customFormat="1" x14ac:dyDescent="0.2"/>
    <row r="335" s="48" customFormat="1" x14ac:dyDescent="0.2"/>
    <row r="336" s="48" customFormat="1" x14ac:dyDescent="0.2"/>
    <row r="337" s="48" customFormat="1" x14ac:dyDescent="0.2"/>
    <row r="338" s="48" customFormat="1" x14ac:dyDescent="0.2"/>
    <row r="339" s="48" customFormat="1" x14ac:dyDescent="0.2"/>
    <row r="340" s="48" customFormat="1" x14ac:dyDescent="0.2"/>
    <row r="341" s="48" customFormat="1" x14ac:dyDescent="0.2"/>
    <row r="342" s="48" customFormat="1" x14ac:dyDescent="0.2"/>
    <row r="343" s="48" customFormat="1" x14ac:dyDescent="0.2"/>
    <row r="344" s="48" customFormat="1" x14ac:dyDescent="0.2"/>
    <row r="345" s="48" customFormat="1" x14ac:dyDescent="0.2"/>
    <row r="346" s="48" customFormat="1" x14ac:dyDescent="0.2"/>
    <row r="347" s="48" customFormat="1" x14ac:dyDescent="0.2"/>
    <row r="348" s="48" customFormat="1" x14ac:dyDescent="0.2"/>
    <row r="349" s="48" customFormat="1" x14ac:dyDescent="0.2"/>
    <row r="350" s="48" customFormat="1" x14ac:dyDescent="0.2"/>
    <row r="351" s="48" customFormat="1" x14ac:dyDescent="0.2"/>
    <row r="352" s="48" customFormat="1" x14ac:dyDescent="0.2"/>
    <row r="353" s="48" customFormat="1" x14ac:dyDescent="0.2"/>
    <row r="354" s="48" customFormat="1" x14ac:dyDescent="0.2"/>
    <row r="355" s="48" customFormat="1" x14ac:dyDescent="0.2"/>
    <row r="356" s="48" customFormat="1" x14ac:dyDescent="0.2"/>
    <row r="357" s="48" customFormat="1" x14ac:dyDescent="0.2"/>
    <row r="358" s="48" customFormat="1" x14ac:dyDescent="0.2"/>
    <row r="359" s="48" customFormat="1" x14ac:dyDescent="0.2"/>
    <row r="360" s="48" customFormat="1" x14ac:dyDescent="0.2"/>
    <row r="361" s="48" customFormat="1" x14ac:dyDescent="0.2"/>
    <row r="362" s="48" customFormat="1" x14ac:dyDescent="0.2"/>
    <row r="363" s="48" customFormat="1" x14ac:dyDescent="0.2"/>
    <row r="364" s="48" customFormat="1" x14ac:dyDescent="0.2"/>
    <row r="365" s="48" customFormat="1" x14ac:dyDescent="0.2"/>
    <row r="366" s="48" customFormat="1" x14ac:dyDescent="0.2"/>
    <row r="367" s="48" customFormat="1" x14ac:dyDescent="0.2"/>
    <row r="368" s="48" customFormat="1" x14ac:dyDescent="0.2"/>
    <row r="369" s="48" customFormat="1" x14ac:dyDescent="0.2"/>
    <row r="370" s="48" customFormat="1" x14ac:dyDescent="0.2"/>
    <row r="371" s="48" customFormat="1" x14ac:dyDescent="0.2"/>
    <row r="372" s="48" customFormat="1" x14ac:dyDescent="0.2"/>
    <row r="373" s="48" customFormat="1" x14ac:dyDescent="0.2"/>
    <row r="374" s="48" customFormat="1" x14ac:dyDescent="0.2"/>
    <row r="375" s="48" customFormat="1" x14ac:dyDescent="0.2"/>
    <row r="376" s="48" customFormat="1" x14ac:dyDescent="0.2"/>
    <row r="377" s="48" customFormat="1" x14ac:dyDescent="0.2"/>
    <row r="378" s="48" customFormat="1" x14ac:dyDescent="0.2"/>
    <row r="379" s="48" customFormat="1" x14ac:dyDescent="0.2"/>
    <row r="380" s="48" customFormat="1" x14ac:dyDescent="0.2"/>
    <row r="381" s="48" customFormat="1" x14ac:dyDescent="0.2"/>
    <row r="382" s="48" customFormat="1" x14ac:dyDescent="0.2"/>
    <row r="383" s="48" customFormat="1" x14ac:dyDescent="0.2"/>
    <row r="384" s="48" customFormat="1" x14ac:dyDescent="0.2"/>
    <row r="385" s="48" customFormat="1" x14ac:dyDescent="0.2"/>
    <row r="386" s="48" customFormat="1" x14ac:dyDescent="0.2"/>
    <row r="387" s="48" customFormat="1" x14ac:dyDescent="0.2"/>
    <row r="388" s="48" customFormat="1" x14ac:dyDescent="0.2"/>
    <row r="389" s="48" customFormat="1" x14ac:dyDescent="0.2"/>
    <row r="390" s="48" customFormat="1" x14ac:dyDescent="0.2"/>
    <row r="391" s="48" customFormat="1" x14ac:dyDescent="0.2"/>
    <row r="392" s="48" customFormat="1" x14ac:dyDescent="0.2"/>
    <row r="393" s="48" customFormat="1" x14ac:dyDescent="0.2"/>
    <row r="394" s="48" customFormat="1" x14ac:dyDescent="0.2"/>
    <row r="395" s="48" customFormat="1" x14ac:dyDescent="0.2"/>
    <row r="396" s="48" customFormat="1" x14ac:dyDescent="0.2"/>
    <row r="397" s="48" customFormat="1" x14ac:dyDescent="0.2"/>
    <row r="398" s="48" customFormat="1" x14ac:dyDescent="0.2"/>
    <row r="399" s="48" customFormat="1" x14ac:dyDescent="0.2"/>
    <row r="400" s="48" customFormat="1" x14ac:dyDescent="0.2"/>
    <row r="401" s="48" customFormat="1" x14ac:dyDescent="0.2"/>
    <row r="402" s="48" customFormat="1" x14ac:dyDescent="0.2"/>
    <row r="403" s="48" customFormat="1" x14ac:dyDescent="0.2"/>
    <row r="404" s="48" customFormat="1" x14ac:dyDescent="0.2"/>
    <row r="405" s="48" customFormat="1" x14ac:dyDescent="0.2"/>
    <row r="406" s="48" customFormat="1" x14ac:dyDescent="0.2"/>
    <row r="407" s="48" customFormat="1" x14ac:dyDescent="0.2"/>
    <row r="408" s="48" customFormat="1" x14ac:dyDescent="0.2"/>
    <row r="409" s="48" customFormat="1" x14ac:dyDescent="0.2"/>
    <row r="410" s="48" customFormat="1" x14ac:dyDescent="0.2"/>
    <row r="411" s="48" customFormat="1" x14ac:dyDescent="0.2"/>
    <row r="412" s="48" customFormat="1" x14ac:dyDescent="0.2"/>
    <row r="413" s="48" customFormat="1" x14ac:dyDescent="0.2"/>
    <row r="414" s="48" customFormat="1" x14ac:dyDescent="0.2"/>
    <row r="415" s="48" customFormat="1" x14ac:dyDescent="0.2"/>
    <row r="416" s="48" customFormat="1" x14ac:dyDescent="0.2"/>
    <row r="417" s="48" customFormat="1" x14ac:dyDescent="0.2"/>
    <row r="418" s="48" customFormat="1" x14ac:dyDescent="0.2"/>
    <row r="419" s="48" customFormat="1" x14ac:dyDescent="0.2"/>
    <row r="420" s="48" customFormat="1" x14ac:dyDescent="0.2"/>
    <row r="421" s="48" customFormat="1" x14ac:dyDescent="0.2"/>
    <row r="422" s="48" customFormat="1" x14ac:dyDescent="0.2"/>
    <row r="423" s="48" customFormat="1" x14ac:dyDescent="0.2"/>
    <row r="424" s="48" customFormat="1" x14ac:dyDescent="0.2"/>
    <row r="425" s="48" customFormat="1" x14ac:dyDescent="0.2"/>
    <row r="426" s="48" customFormat="1" x14ac:dyDescent="0.2"/>
    <row r="427" s="48" customFormat="1" x14ac:dyDescent="0.2"/>
    <row r="428" s="48" customFormat="1" x14ac:dyDescent="0.2"/>
    <row r="429" s="48" customFormat="1" x14ac:dyDescent="0.2"/>
    <row r="430" s="48" customFormat="1" x14ac:dyDescent="0.2"/>
    <row r="431" s="48" customFormat="1" x14ac:dyDescent="0.2"/>
    <row r="432" s="48" customFormat="1" x14ac:dyDescent="0.2"/>
    <row r="433" s="48" customFormat="1" x14ac:dyDescent="0.2"/>
    <row r="434" s="48" customFormat="1" x14ac:dyDescent="0.2"/>
    <row r="435" s="48" customFormat="1" x14ac:dyDescent="0.2"/>
    <row r="436" s="48" customFormat="1" x14ac:dyDescent="0.2"/>
    <row r="437" s="48" customFormat="1" x14ac:dyDescent="0.2"/>
    <row r="438" s="48" customFormat="1" x14ac:dyDescent="0.2"/>
    <row r="439" s="48" customFormat="1" x14ac:dyDescent="0.2"/>
    <row r="440" s="48" customFormat="1" x14ac:dyDescent="0.2"/>
    <row r="441" s="48" customFormat="1" x14ac:dyDescent="0.2"/>
    <row r="442" s="48" customFormat="1" x14ac:dyDescent="0.2"/>
    <row r="443" s="48" customFormat="1" x14ac:dyDescent="0.2"/>
    <row r="444" s="48" customFormat="1" x14ac:dyDescent="0.2"/>
    <row r="445" s="48" customFormat="1" x14ac:dyDescent="0.2"/>
    <row r="446" s="48" customFormat="1" x14ac:dyDescent="0.2"/>
    <row r="447" s="48" customFormat="1" x14ac:dyDescent="0.2"/>
    <row r="448" s="48" customFormat="1" x14ac:dyDescent="0.2"/>
    <row r="449" s="48" customFormat="1" x14ac:dyDescent="0.2"/>
    <row r="450" s="48" customFormat="1" x14ac:dyDescent="0.2"/>
    <row r="451" s="48" customFormat="1" x14ac:dyDescent="0.2"/>
    <row r="452" s="48" customFormat="1" x14ac:dyDescent="0.2"/>
    <row r="453" s="48" customFormat="1" x14ac:dyDescent="0.2"/>
    <row r="454" s="48" customFormat="1" x14ac:dyDescent="0.2"/>
    <row r="455" s="48" customFormat="1" x14ac:dyDescent="0.2"/>
    <row r="456" s="48" customFormat="1" x14ac:dyDescent="0.2"/>
    <row r="457" s="48" customFormat="1" x14ac:dyDescent="0.2"/>
    <row r="458" s="48" customFormat="1" x14ac:dyDescent="0.2"/>
    <row r="459" s="48" customFormat="1" x14ac:dyDescent="0.2"/>
    <row r="460" s="48" customFormat="1" x14ac:dyDescent="0.2"/>
    <row r="461" s="48" customFormat="1" x14ac:dyDescent="0.2"/>
    <row r="462" s="48" customFormat="1" x14ac:dyDescent="0.2"/>
    <row r="463" s="48" customFormat="1" x14ac:dyDescent="0.2"/>
    <row r="464" s="48" customFormat="1" x14ac:dyDescent="0.2"/>
    <row r="465" s="48" customFormat="1" x14ac:dyDescent="0.2"/>
    <row r="466" s="48" customFormat="1" x14ac:dyDescent="0.2"/>
    <row r="467" s="48" customFormat="1" x14ac:dyDescent="0.2"/>
    <row r="468" s="48" customFormat="1" x14ac:dyDescent="0.2"/>
    <row r="469" s="48" customFormat="1" x14ac:dyDescent="0.2"/>
    <row r="470" s="48" customFormat="1" x14ac:dyDescent="0.2"/>
    <row r="471" s="48" customFormat="1" x14ac:dyDescent="0.2"/>
    <row r="472" s="48" customFormat="1" x14ac:dyDescent="0.2"/>
    <row r="473" s="48" customFormat="1" x14ac:dyDescent="0.2"/>
    <row r="474" s="48" customFormat="1" x14ac:dyDescent="0.2"/>
    <row r="475" s="48" customFormat="1" x14ac:dyDescent="0.2"/>
    <row r="476" s="48" customFormat="1" x14ac:dyDescent="0.2"/>
    <row r="477" s="48" customFormat="1" x14ac:dyDescent="0.2"/>
    <row r="478" s="48" customFormat="1" x14ac:dyDescent="0.2"/>
    <row r="479" s="48" customFormat="1" x14ac:dyDescent="0.2"/>
    <row r="480" s="48" customFormat="1" x14ac:dyDescent="0.2"/>
    <row r="481" s="48" customFormat="1" x14ac:dyDescent="0.2"/>
    <row r="482" s="48" customFormat="1" x14ac:dyDescent="0.2"/>
    <row r="483" s="48" customFormat="1" x14ac:dyDescent="0.2"/>
    <row r="484" s="48" customFormat="1" x14ac:dyDescent="0.2"/>
    <row r="485" s="48" customFormat="1" x14ac:dyDescent="0.2"/>
    <row r="486" s="48" customFormat="1" x14ac:dyDescent="0.2"/>
    <row r="487" s="48" customFormat="1" x14ac:dyDescent="0.2"/>
    <row r="488" s="48" customFormat="1" x14ac:dyDescent="0.2"/>
    <row r="489" s="48" customFormat="1" x14ac:dyDescent="0.2"/>
    <row r="490" s="48" customFormat="1" x14ac:dyDescent="0.2"/>
    <row r="491" s="48" customFormat="1" x14ac:dyDescent="0.2"/>
    <row r="492" s="48" customFormat="1" x14ac:dyDescent="0.2"/>
    <row r="493" s="48" customFormat="1" x14ac:dyDescent="0.2"/>
    <row r="494" s="48" customFormat="1" x14ac:dyDescent="0.2"/>
    <row r="495" s="48" customFormat="1" x14ac:dyDescent="0.2"/>
    <row r="496" s="48" customFormat="1" x14ac:dyDescent="0.2"/>
    <row r="497" s="48" customFormat="1" x14ac:dyDescent="0.2"/>
    <row r="498" s="48" customFormat="1" x14ac:dyDescent="0.2"/>
    <row r="499" s="48" customFormat="1" x14ac:dyDescent="0.2"/>
    <row r="500" s="48" customFormat="1" x14ac:dyDescent="0.2"/>
  </sheetData>
  <mergeCells count="4">
    <mergeCell ref="A43:B43"/>
    <mergeCell ref="F2:G2"/>
    <mergeCell ref="F22:G22"/>
    <mergeCell ref="A2:D2"/>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303"/>
  <sheetViews>
    <sheetView workbookViewId="0"/>
  </sheetViews>
  <sheetFormatPr defaultRowHeight="12.75" x14ac:dyDescent="0.2"/>
  <cols>
    <col min="1" max="1" width="33.28515625" customWidth="1"/>
    <col min="2" max="2" width="13.85546875" bestFit="1" customWidth="1"/>
    <col min="3" max="3" width="11.28515625" customWidth="1"/>
    <col min="4" max="4" width="1.28515625" customWidth="1"/>
    <col min="5" max="5" width="7.5703125" customWidth="1"/>
    <col min="6" max="6" width="12.7109375" customWidth="1"/>
    <col min="7" max="7" width="11.7109375" customWidth="1"/>
    <col min="8" max="8" width="14.42578125" customWidth="1"/>
    <col min="9" max="9" width="78.140625" bestFit="1" customWidth="1"/>
    <col min="10" max="10" width="15" bestFit="1" customWidth="1"/>
    <col min="11" max="11" width="21.28515625" bestFit="1" customWidth="1"/>
    <col min="12" max="12" width="12.5703125" bestFit="1" customWidth="1"/>
    <col min="13" max="13" width="11.7109375" bestFit="1" customWidth="1"/>
  </cols>
  <sheetData>
    <row r="1" spans="1:26" ht="20.25" x14ac:dyDescent="0.3">
      <c r="A1" s="159" t="s">
        <v>34</v>
      </c>
      <c r="B1" s="48"/>
      <c r="C1" s="48"/>
      <c r="D1" s="48"/>
      <c r="E1" s="48"/>
      <c r="F1" s="48"/>
      <c r="G1" s="48"/>
      <c r="H1" s="48"/>
      <c r="I1" s="48"/>
      <c r="J1" s="48"/>
      <c r="K1" s="48"/>
      <c r="L1" s="48"/>
      <c r="M1" s="48"/>
      <c r="N1" s="48"/>
      <c r="O1" s="48"/>
      <c r="P1" s="48"/>
      <c r="Q1" s="48"/>
      <c r="R1" s="48"/>
      <c r="S1" s="48"/>
      <c r="T1" s="48"/>
      <c r="U1" s="48"/>
      <c r="V1" s="48"/>
      <c r="W1" s="48"/>
      <c r="X1" s="48"/>
      <c r="Y1" s="48"/>
      <c r="Z1" s="48"/>
    </row>
    <row r="2" spans="1:26" x14ac:dyDescent="0.2">
      <c r="A2" s="48"/>
      <c r="B2" s="48"/>
      <c r="C2" s="48"/>
      <c r="D2" s="48"/>
      <c r="E2" s="48"/>
      <c r="F2" s="48"/>
      <c r="G2" s="48"/>
      <c r="H2" s="48"/>
      <c r="I2" s="48"/>
      <c r="J2" s="48"/>
      <c r="K2" s="48"/>
      <c r="L2" s="48"/>
      <c r="M2" s="48"/>
      <c r="N2" s="48"/>
      <c r="O2" s="48"/>
      <c r="P2" s="48"/>
      <c r="Q2" s="48"/>
      <c r="R2" s="48"/>
      <c r="S2" s="48"/>
      <c r="T2" s="48"/>
      <c r="U2" s="48"/>
      <c r="V2" s="48"/>
      <c r="W2" s="48"/>
      <c r="X2" s="48"/>
      <c r="Y2" s="48"/>
      <c r="Z2" s="48"/>
    </row>
    <row r="3" spans="1:26" x14ac:dyDescent="0.2">
      <c r="A3" s="360" t="s">
        <v>35</v>
      </c>
      <c r="B3" s="360"/>
      <c r="C3" s="321">
        <f>B41</f>
        <v>47596995</v>
      </c>
      <c r="D3" s="48"/>
      <c r="E3" s="356" t="s">
        <v>36</v>
      </c>
      <c r="F3" s="356"/>
      <c r="G3" s="356"/>
      <c r="H3" s="357"/>
      <c r="I3" s="48"/>
      <c r="J3" s="48"/>
      <c r="K3" s="48"/>
      <c r="L3" s="48"/>
      <c r="M3" s="48"/>
      <c r="N3" s="48"/>
      <c r="O3" s="48"/>
      <c r="P3" s="48"/>
      <c r="Q3" s="48"/>
      <c r="R3" s="48"/>
      <c r="S3" s="48"/>
      <c r="T3" s="48"/>
      <c r="U3" s="48"/>
      <c r="V3" s="48"/>
      <c r="W3" s="48"/>
      <c r="X3" s="48"/>
      <c r="Y3" s="48"/>
    </row>
    <row r="4" spans="1:26" ht="26.25" thickBot="1" x14ac:dyDescent="0.25">
      <c r="A4" s="360" t="s">
        <v>173</v>
      </c>
      <c r="B4" s="360"/>
      <c r="C4" s="26">
        <f>((C5-20)/C5)*C3</f>
        <v>28558197</v>
      </c>
      <c r="D4" s="48"/>
      <c r="E4" s="2" t="s">
        <v>37</v>
      </c>
      <c r="F4" s="3" t="s">
        <v>38</v>
      </c>
      <c r="G4" s="3" t="s">
        <v>39</v>
      </c>
      <c r="H4" s="3" t="s">
        <v>40</v>
      </c>
      <c r="I4" s="48"/>
      <c r="J4" s="48"/>
      <c r="K4" s="48"/>
      <c r="L4" s="48"/>
      <c r="M4" s="48"/>
      <c r="N4" s="48"/>
      <c r="O4" s="48"/>
      <c r="P4" s="48"/>
      <c r="Q4" s="48"/>
      <c r="R4" s="48"/>
      <c r="S4" s="48"/>
      <c r="T4" s="48"/>
      <c r="U4" s="48"/>
      <c r="V4" s="48"/>
      <c r="W4" s="48"/>
      <c r="X4" s="48"/>
      <c r="Y4" s="48"/>
    </row>
    <row r="5" spans="1:26" ht="13.5" thickTop="1" x14ac:dyDescent="0.2">
      <c r="A5" s="360" t="s">
        <v>41</v>
      </c>
      <c r="B5" s="360"/>
      <c r="C5" s="322">
        <v>50</v>
      </c>
      <c r="D5" s="48"/>
      <c r="E5" s="142">
        <v>2020</v>
      </c>
      <c r="F5" s="24"/>
      <c r="G5" s="91">
        <v>0</v>
      </c>
      <c r="H5" s="233">
        <f>ROUND((G5)*INDEX(NPV!$C$3:$C$42,MATCH(Costs!$E5,NPV!$B$3:$B$42,0)),0)</f>
        <v>0</v>
      </c>
      <c r="I5" s="48"/>
      <c r="J5" s="48"/>
      <c r="K5" s="48"/>
      <c r="L5" s="48"/>
      <c r="M5" s="48"/>
      <c r="N5" s="48"/>
      <c r="O5" s="48"/>
      <c r="P5" s="48"/>
      <c r="Q5" s="48"/>
      <c r="R5" s="48"/>
      <c r="S5" s="48"/>
      <c r="T5" s="48"/>
      <c r="U5" s="48"/>
      <c r="V5" s="48"/>
      <c r="W5" s="48"/>
      <c r="X5" s="48"/>
      <c r="Y5" s="48"/>
    </row>
    <row r="6" spans="1:26" x14ac:dyDescent="0.2">
      <c r="A6" s="63"/>
      <c r="B6" s="48"/>
      <c r="C6" s="48"/>
      <c r="D6" s="48"/>
      <c r="E6" s="142">
        <f t="shared" ref="E6:E30" si="0">E5+1</f>
        <v>2021</v>
      </c>
      <c r="F6" s="277">
        <f>G6/$C$3</f>
        <v>1.4384591576281934E-2</v>
      </c>
      <c r="G6" s="91">
        <f>(B36+B37)*12/18</f>
        <v>684663.33333333337</v>
      </c>
      <c r="H6" s="233">
        <f>ROUND((G6)*INDEX(NPV!$C$3:$C$42,MATCH(Costs!$E6,NPV!$B$3:$B$42,0)),0)</f>
        <v>639872</v>
      </c>
      <c r="I6" s="63"/>
      <c r="J6" s="63"/>
      <c r="K6" s="48"/>
      <c r="L6" s="48"/>
      <c r="M6" s="48"/>
      <c r="N6" s="48"/>
      <c r="O6" s="48"/>
      <c r="P6" s="48"/>
      <c r="Q6" s="48"/>
      <c r="R6" s="48"/>
      <c r="S6" s="48"/>
      <c r="T6" s="48"/>
      <c r="U6" s="48"/>
      <c r="V6" s="48"/>
      <c r="W6" s="48"/>
      <c r="X6" s="48"/>
      <c r="Y6" s="48"/>
    </row>
    <row r="7" spans="1:26" x14ac:dyDescent="0.2">
      <c r="A7" s="63"/>
      <c r="B7" s="48"/>
      <c r="C7" s="48"/>
      <c r="D7" s="48"/>
      <c r="E7" s="142">
        <f t="shared" si="0"/>
        <v>2022</v>
      </c>
      <c r="F7" s="277">
        <f>G7/$C$3</f>
        <v>7.6124903823585211E-3</v>
      </c>
      <c r="G7" s="91">
        <f>((B36+B37)*(6/18))+B38</f>
        <v>362331.66666666663</v>
      </c>
      <c r="H7" s="233">
        <f>ROUND((G7)*INDEX(NPV!$C$3:$C$42,MATCH(Costs!$E7,NPV!$B$3:$B$42,0)),0)</f>
        <v>316475</v>
      </c>
      <c r="I7" s="63"/>
      <c r="J7" s="48"/>
      <c r="K7" s="48"/>
      <c r="L7" s="48"/>
      <c r="M7" s="48"/>
      <c r="N7" s="48"/>
      <c r="O7" s="48"/>
      <c r="P7" s="48"/>
      <c r="Q7" s="48"/>
      <c r="R7" s="48"/>
      <c r="S7" s="48"/>
      <c r="T7" s="48"/>
      <c r="U7" s="48"/>
      <c r="V7" s="48"/>
      <c r="W7" s="48"/>
      <c r="X7" s="48"/>
      <c r="Y7" s="48"/>
    </row>
    <row r="8" spans="1:26" x14ac:dyDescent="0.2">
      <c r="A8" s="63"/>
      <c r="B8" s="48"/>
      <c r="C8" s="48"/>
      <c r="D8" s="48"/>
      <c r="E8" s="142">
        <f t="shared" si="0"/>
        <v>2023</v>
      </c>
      <c r="F8" s="277">
        <f>G8/$C$3</f>
        <v>3.1514594566316636E-3</v>
      </c>
      <c r="G8" s="91">
        <f>B39</f>
        <v>150000</v>
      </c>
      <c r="H8" s="233">
        <f>ROUND((G8)*INDEX(NPV!$C$3:$C$42,MATCH(Costs!$E8,NPV!$B$3:$B$42,0)),0)</f>
        <v>122445</v>
      </c>
      <c r="I8" s="63"/>
      <c r="J8" s="48"/>
      <c r="K8" s="48"/>
      <c r="L8" s="48"/>
      <c r="M8" s="48"/>
      <c r="N8" s="48"/>
      <c r="O8" s="48"/>
      <c r="P8" s="48"/>
      <c r="Q8" s="48"/>
      <c r="R8" s="48"/>
      <c r="S8" s="48"/>
      <c r="T8" s="48"/>
      <c r="U8" s="48"/>
      <c r="V8" s="48"/>
      <c r="W8" s="48"/>
      <c r="X8" s="48"/>
      <c r="Y8" s="48"/>
    </row>
    <row r="9" spans="1:26" x14ac:dyDescent="0.2">
      <c r="A9" s="63"/>
      <c r="B9" s="48"/>
      <c r="C9" s="48"/>
      <c r="D9" s="48"/>
      <c r="E9" s="142">
        <f t="shared" si="0"/>
        <v>2024</v>
      </c>
      <c r="F9" s="277">
        <f t="shared" ref="F9:F10" si="1">G9/$C$3</f>
        <v>0.77988116686778231</v>
      </c>
      <c r="G9" s="91">
        <f>B40*B46</f>
        <v>37120000</v>
      </c>
      <c r="H9" s="233">
        <f>ROUND((G9)*INDEX(NPV!$C$3:$C$42,MATCH(Costs!$E9,NPV!$B$3:$B$42,0)),0)</f>
        <v>28318670</v>
      </c>
      <c r="I9" s="63"/>
      <c r="J9" s="48"/>
      <c r="K9" s="48"/>
      <c r="L9" s="48"/>
      <c r="M9" s="48"/>
      <c r="N9" s="48"/>
      <c r="O9" s="48"/>
      <c r="P9" s="48"/>
      <c r="Q9" s="48"/>
      <c r="R9" s="48"/>
      <c r="S9" s="48"/>
      <c r="T9" s="48"/>
      <c r="U9" s="48"/>
      <c r="V9" s="48"/>
      <c r="W9" s="48"/>
      <c r="X9" s="48"/>
      <c r="Y9" s="48"/>
    </row>
    <row r="10" spans="1:26" x14ac:dyDescent="0.2">
      <c r="A10" s="63"/>
      <c r="B10" s="48"/>
      <c r="C10" s="48"/>
      <c r="D10" s="48"/>
      <c r="E10" s="142">
        <f t="shared" si="0"/>
        <v>2025</v>
      </c>
      <c r="F10" s="277">
        <f t="shared" si="1"/>
        <v>0.19497029171694558</v>
      </c>
      <c r="G10" s="91">
        <f>B40*B47</f>
        <v>9280000</v>
      </c>
      <c r="H10" s="233">
        <f>ROUND((G10)*INDEX(NPV!$C$3:$C$42,MATCH(Costs!$E10,NPV!$B$3:$B$42,0)),0)</f>
        <v>6616512</v>
      </c>
      <c r="I10" s="48"/>
      <c r="J10" s="48"/>
      <c r="K10" s="48"/>
      <c r="L10" s="48"/>
      <c r="M10" s="48"/>
      <c r="N10" s="48"/>
      <c r="O10" s="48"/>
      <c r="P10" s="48"/>
      <c r="Q10" s="48"/>
      <c r="R10" s="48"/>
      <c r="S10" s="48"/>
      <c r="T10" s="48"/>
      <c r="U10" s="48"/>
      <c r="V10" s="48"/>
      <c r="W10" s="48"/>
      <c r="X10" s="48"/>
      <c r="Y10" s="48"/>
    </row>
    <row r="11" spans="1:26" x14ac:dyDescent="0.2">
      <c r="A11" s="63"/>
      <c r="B11" s="48"/>
      <c r="C11" s="48"/>
      <c r="D11" s="48"/>
      <c r="E11" s="142">
        <f t="shared" si="0"/>
        <v>2026</v>
      </c>
      <c r="F11" s="25"/>
      <c r="G11" s="91">
        <f t="shared" ref="G11:G29" si="2">F11*($C$9)</f>
        <v>0</v>
      </c>
      <c r="H11" s="233">
        <f>ROUND((G11)*INDEX(NPV!$C$3:$C$42,MATCH(Costs!$E11,NPV!$B$3:$B$42,0)),0)</f>
        <v>0</v>
      </c>
      <c r="I11" s="48"/>
      <c r="J11" s="48"/>
      <c r="K11" s="48"/>
      <c r="L11" s="48"/>
      <c r="M11" s="48"/>
      <c r="N11" s="48"/>
      <c r="O11" s="48"/>
      <c r="P11" s="48"/>
      <c r="Q11" s="48"/>
      <c r="R11" s="48"/>
      <c r="S11" s="48"/>
      <c r="T11" s="48"/>
      <c r="U11" s="48"/>
      <c r="V11" s="48"/>
      <c r="W11" s="48"/>
      <c r="X11" s="48"/>
      <c r="Y11" s="48"/>
    </row>
    <row r="12" spans="1:26" x14ac:dyDescent="0.2">
      <c r="A12" s="48"/>
      <c r="B12" s="48"/>
      <c r="C12" s="48"/>
      <c r="D12" s="48"/>
      <c r="E12" s="142">
        <f t="shared" si="0"/>
        <v>2027</v>
      </c>
      <c r="F12" s="25"/>
      <c r="G12" s="91">
        <f t="shared" si="2"/>
        <v>0</v>
      </c>
      <c r="H12" s="233">
        <f>ROUND((G12)*INDEX(NPV!$C$3:$C$42,MATCH(Costs!$E12,NPV!$B$3:$B$42,0)),0)</f>
        <v>0</v>
      </c>
      <c r="I12" s="48"/>
      <c r="J12" s="48"/>
      <c r="K12" s="48"/>
      <c r="L12" s="166"/>
      <c r="M12" s="48"/>
      <c r="N12" s="48"/>
      <c r="O12" s="48"/>
      <c r="P12" s="48"/>
      <c r="Q12" s="48"/>
      <c r="R12" s="48"/>
      <c r="S12" s="48"/>
      <c r="T12" s="48"/>
      <c r="U12" s="48"/>
      <c r="V12" s="48"/>
      <c r="W12" s="48"/>
      <c r="X12" s="48"/>
      <c r="Y12" s="48"/>
    </row>
    <row r="13" spans="1:26" x14ac:dyDescent="0.2">
      <c r="A13" s="48"/>
      <c r="B13" s="48"/>
      <c r="C13" s="48"/>
      <c r="D13" s="48"/>
      <c r="E13" s="142">
        <f t="shared" si="0"/>
        <v>2028</v>
      </c>
      <c r="F13" s="25"/>
      <c r="G13" s="91">
        <f t="shared" si="2"/>
        <v>0</v>
      </c>
      <c r="H13" s="233">
        <f>ROUND((G13)*INDEX(NPV!$C$3:$C$42,MATCH(Costs!$E13,NPV!$B$3:$B$42,0)),0)</f>
        <v>0</v>
      </c>
      <c r="I13" s="48"/>
      <c r="J13" s="48"/>
      <c r="K13" s="48"/>
      <c r="L13" s="48"/>
      <c r="M13" s="48"/>
      <c r="N13" s="48"/>
      <c r="O13" s="48"/>
      <c r="P13" s="48"/>
      <c r="Q13" s="48"/>
      <c r="R13" s="48"/>
      <c r="S13" s="48"/>
      <c r="T13" s="48"/>
      <c r="U13" s="48"/>
      <c r="V13" s="48"/>
      <c r="W13" s="48"/>
      <c r="X13" s="48"/>
      <c r="Y13" s="48"/>
    </row>
    <row r="14" spans="1:26" x14ac:dyDescent="0.2">
      <c r="A14" s="48"/>
      <c r="B14" s="48"/>
      <c r="C14" s="48"/>
      <c r="D14" s="48"/>
      <c r="E14" s="142">
        <f t="shared" si="0"/>
        <v>2029</v>
      </c>
      <c r="F14" s="25"/>
      <c r="G14" s="91">
        <f t="shared" si="2"/>
        <v>0</v>
      </c>
      <c r="H14" s="233">
        <f>ROUND((G14)*INDEX(NPV!$C$3:$C$42,MATCH(Costs!$E14,NPV!$B$3:$B$42,0)),0)</f>
        <v>0</v>
      </c>
      <c r="I14" s="48"/>
      <c r="J14" s="48"/>
      <c r="K14" s="48"/>
      <c r="L14" s="48"/>
      <c r="M14" s="48"/>
      <c r="N14" s="48"/>
      <c r="O14" s="48"/>
      <c r="P14" s="48"/>
      <c r="Q14" s="48"/>
      <c r="R14" s="48"/>
      <c r="S14" s="48"/>
      <c r="T14" s="48"/>
      <c r="U14" s="48"/>
      <c r="V14" s="48"/>
      <c r="W14" s="48"/>
      <c r="X14" s="48"/>
      <c r="Y14" s="48"/>
    </row>
    <row r="15" spans="1:26" x14ac:dyDescent="0.2">
      <c r="A15" s="48"/>
      <c r="B15" s="48"/>
      <c r="C15" s="48"/>
      <c r="D15" s="48"/>
      <c r="E15" s="142">
        <f t="shared" si="0"/>
        <v>2030</v>
      </c>
      <c r="F15" s="25"/>
      <c r="G15" s="91">
        <f t="shared" si="2"/>
        <v>0</v>
      </c>
      <c r="H15" s="233">
        <f>ROUND((G15)*INDEX(NPV!$C$3:$C$42,MATCH(Costs!$E15,NPV!$B$3:$B$42,0)),0)</f>
        <v>0</v>
      </c>
      <c r="I15" s="48"/>
      <c r="J15" s="48"/>
      <c r="K15" s="193"/>
      <c r="L15" s="193"/>
      <c r="M15" s="48"/>
      <c r="N15" s="48"/>
      <c r="O15" s="48"/>
      <c r="P15" s="48"/>
      <c r="Q15" s="48"/>
      <c r="R15" s="48"/>
      <c r="S15" s="48"/>
      <c r="T15" s="48"/>
      <c r="U15" s="48"/>
      <c r="V15" s="48"/>
      <c r="W15" s="48"/>
      <c r="X15" s="48"/>
      <c r="Y15" s="48"/>
    </row>
    <row r="16" spans="1:26" x14ac:dyDescent="0.2">
      <c r="A16" s="48"/>
      <c r="B16" s="48"/>
      <c r="C16" s="48"/>
      <c r="D16" s="48"/>
      <c r="E16" s="142">
        <f t="shared" si="0"/>
        <v>2031</v>
      </c>
      <c r="F16" s="25"/>
      <c r="G16" s="91">
        <f t="shared" si="2"/>
        <v>0</v>
      </c>
      <c r="H16" s="233">
        <f>ROUND((G16)*INDEX(NPV!$C$3:$C$42,MATCH(Costs!$E16,NPV!$B$3:$B$42,0)),0)</f>
        <v>0</v>
      </c>
      <c r="I16" s="48"/>
      <c r="J16" s="194"/>
      <c r="K16" s="194"/>
      <c r="L16" s="194"/>
      <c r="M16" s="48"/>
      <c r="N16" s="48"/>
      <c r="O16" s="48"/>
      <c r="P16" s="48"/>
      <c r="Q16" s="48"/>
      <c r="R16" s="48"/>
      <c r="S16" s="48"/>
      <c r="T16" s="48"/>
      <c r="U16" s="48"/>
      <c r="V16" s="48"/>
      <c r="W16" s="48"/>
      <c r="X16" s="48"/>
      <c r="Y16" s="48"/>
    </row>
    <row r="17" spans="1:25" x14ac:dyDescent="0.2">
      <c r="A17" s="48"/>
      <c r="B17" s="48"/>
      <c r="C17" s="48"/>
      <c r="D17" s="48"/>
      <c r="E17" s="142">
        <f t="shared" si="0"/>
        <v>2032</v>
      </c>
      <c r="F17" s="25"/>
      <c r="G17" s="91">
        <f t="shared" si="2"/>
        <v>0</v>
      </c>
      <c r="H17" s="233">
        <f>ROUND((G17)*INDEX(NPV!$C$3:$C$42,MATCH(Costs!$E17,NPV!$B$3:$B$42,0)),0)</f>
        <v>0</v>
      </c>
      <c r="I17" s="48"/>
      <c r="J17" s="48"/>
      <c r="K17" s="48"/>
      <c r="L17" s="48"/>
      <c r="M17" s="48"/>
      <c r="N17" s="48"/>
      <c r="O17" s="48"/>
      <c r="P17" s="48"/>
      <c r="Q17" s="48"/>
      <c r="R17" s="48"/>
      <c r="S17" s="48"/>
      <c r="T17" s="48"/>
      <c r="U17" s="48"/>
      <c r="V17" s="48"/>
      <c r="W17" s="48"/>
      <c r="X17" s="48"/>
      <c r="Y17" s="48"/>
    </row>
    <row r="18" spans="1:25" x14ac:dyDescent="0.2">
      <c r="A18" s="48"/>
      <c r="B18" s="48"/>
      <c r="C18" s="48"/>
      <c r="D18" s="48"/>
      <c r="E18" s="142">
        <f t="shared" si="0"/>
        <v>2033</v>
      </c>
      <c r="F18" s="25"/>
      <c r="G18" s="91">
        <f t="shared" si="2"/>
        <v>0</v>
      </c>
      <c r="H18" s="233">
        <f>ROUND((G18)*INDEX(NPV!$C$3:$C$42,MATCH(Costs!$E18,NPV!$B$3:$B$42,0)),0)</f>
        <v>0</v>
      </c>
      <c r="I18" s="48"/>
      <c r="J18" s="48"/>
      <c r="K18" s="48"/>
      <c r="L18" s="48"/>
      <c r="M18" s="48"/>
      <c r="N18" s="48"/>
      <c r="O18" s="48"/>
      <c r="P18" s="48"/>
      <c r="Q18" s="48"/>
      <c r="R18" s="48"/>
      <c r="S18" s="48"/>
      <c r="T18" s="48"/>
      <c r="U18" s="48"/>
      <c r="V18" s="48"/>
      <c r="W18" s="48"/>
      <c r="X18" s="48"/>
      <c r="Y18" s="48"/>
    </row>
    <row r="19" spans="1:25" x14ac:dyDescent="0.2">
      <c r="A19" s="48"/>
      <c r="B19" s="48"/>
      <c r="C19" s="48"/>
      <c r="D19" s="48"/>
      <c r="E19" s="142">
        <f t="shared" si="0"/>
        <v>2034</v>
      </c>
      <c r="F19" s="25"/>
      <c r="G19" s="91">
        <f t="shared" si="2"/>
        <v>0</v>
      </c>
      <c r="H19" s="233">
        <f>ROUND((G19)*INDEX(NPV!$C$3:$C$42,MATCH(Costs!$E19,NPV!$B$3:$B$42,0)),0)</f>
        <v>0</v>
      </c>
      <c r="I19" s="48"/>
      <c r="J19" s="48"/>
      <c r="K19" s="48"/>
      <c r="L19" s="48"/>
      <c r="M19" s="48"/>
      <c r="N19" s="48"/>
      <c r="O19" s="48"/>
      <c r="P19" s="48"/>
      <c r="Q19" s="48"/>
      <c r="R19" s="48"/>
      <c r="S19" s="48"/>
      <c r="T19" s="48"/>
      <c r="U19" s="48"/>
      <c r="V19" s="48"/>
      <c r="W19" s="48"/>
      <c r="X19" s="48"/>
      <c r="Y19" s="48"/>
    </row>
    <row r="20" spans="1:25" x14ac:dyDescent="0.2">
      <c r="A20" s="48"/>
      <c r="B20" s="48"/>
      <c r="C20" s="48"/>
      <c r="D20" s="48"/>
      <c r="E20" s="142">
        <f t="shared" si="0"/>
        <v>2035</v>
      </c>
      <c r="F20" s="25"/>
      <c r="G20" s="91">
        <f t="shared" si="2"/>
        <v>0</v>
      </c>
      <c r="H20" s="233">
        <f>ROUND((G20)*INDEX(NPV!$C$3:$C$42,MATCH(Costs!$E20,NPV!$B$3:$B$42,0)),0)</f>
        <v>0</v>
      </c>
      <c r="I20" s="48"/>
      <c r="J20" s="48"/>
      <c r="K20" s="48"/>
      <c r="L20" s="48"/>
      <c r="M20" s="48"/>
      <c r="N20" s="48"/>
      <c r="O20" s="48"/>
      <c r="P20" s="48"/>
      <c r="Q20" s="48"/>
      <c r="R20" s="48"/>
      <c r="S20" s="48"/>
      <c r="T20" s="48"/>
      <c r="U20" s="48"/>
      <c r="V20" s="48"/>
      <c r="W20" s="48"/>
      <c r="X20" s="48"/>
      <c r="Y20" s="48"/>
    </row>
    <row r="21" spans="1:25" x14ac:dyDescent="0.2">
      <c r="A21" s="48"/>
      <c r="B21" s="48"/>
      <c r="C21" s="48"/>
      <c r="D21" s="48"/>
      <c r="E21" s="142">
        <f t="shared" si="0"/>
        <v>2036</v>
      </c>
      <c r="F21" s="25"/>
      <c r="G21" s="91">
        <f t="shared" si="2"/>
        <v>0</v>
      </c>
      <c r="H21" s="233">
        <f>ROUND((G21)*INDEX(NPV!$C$3:$C$42,MATCH(Costs!$E21,NPV!$B$3:$B$42,0)),0)</f>
        <v>0</v>
      </c>
      <c r="I21" s="48"/>
      <c r="J21" s="48"/>
      <c r="K21" s="48"/>
      <c r="L21" s="48"/>
      <c r="M21" s="48"/>
      <c r="N21" s="48"/>
      <c r="O21" s="48"/>
      <c r="P21" s="48"/>
      <c r="Q21" s="48"/>
      <c r="R21" s="48"/>
      <c r="S21" s="48"/>
      <c r="T21" s="48"/>
      <c r="U21" s="48"/>
      <c r="V21" s="48"/>
      <c r="W21" s="48"/>
      <c r="X21" s="48"/>
      <c r="Y21" s="48"/>
    </row>
    <row r="22" spans="1:25" x14ac:dyDescent="0.2">
      <c r="A22" s="48"/>
      <c r="B22" s="48"/>
      <c r="C22" s="48"/>
      <c r="D22" s="48"/>
      <c r="E22" s="142">
        <f t="shared" si="0"/>
        <v>2037</v>
      </c>
      <c r="F22" s="25"/>
      <c r="G22" s="91">
        <f t="shared" si="2"/>
        <v>0</v>
      </c>
      <c r="H22" s="233">
        <f>ROUND((G22)*INDEX(NPV!$C$3:$C$42,MATCH(Costs!$E22,NPV!$B$3:$B$42,0)),0)</f>
        <v>0</v>
      </c>
      <c r="I22" s="48"/>
      <c r="J22" s="48"/>
      <c r="K22" s="48"/>
      <c r="L22" s="48"/>
      <c r="M22" s="48"/>
      <c r="N22" s="48"/>
      <c r="O22" s="48"/>
      <c r="P22" s="48"/>
      <c r="Q22" s="48"/>
      <c r="R22" s="48"/>
      <c r="S22" s="48"/>
      <c r="T22" s="48"/>
      <c r="U22" s="48"/>
      <c r="V22" s="48"/>
      <c r="W22" s="48"/>
      <c r="X22" s="48"/>
      <c r="Y22" s="48"/>
    </row>
    <row r="23" spans="1:25" x14ac:dyDescent="0.2">
      <c r="A23" s="48"/>
      <c r="B23" s="48"/>
      <c r="C23" s="48"/>
      <c r="D23" s="48"/>
      <c r="E23" s="142">
        <f t="shared" si="0"/>
        <v>2038</v>
      </c>
      <c r="F23" s="25"/>
      <c r="G23" s="91">
        <f t="shared" si="2"/>
        <v>0</v>
      </c>
      <c r="H23" s="233">
        <f>ROUND((G23)*INDEX(NPV!$C$3:$C$42,MATCH(Costs!$E23,NPV!$B$3:$B$42,0)),0)</f>
        <v>0</v>
      </c>
      <c r="I23" s="48"/>
      <c r="J23" s="48"/>
      <c r="K23" s="48"/>
      <c r="L23" s="48"/>
      <c r="M23" s="48"/>
      <c r="N23" s="48"/>
      <c r="O23" s="48"/>
      <c r="P23" s="48"/>
      <c r="Q23" s="48"/>
      <c r="R23" s="48"/>
      <c r="S23" s="48"/>
      <c r="T23" s="48"/>
      <c r="U23" s="48"/>
      <c r="V23" s="48"/>
      <c r="W23" s="48"/>
      <c r="X23" s="48"/>
      <c r="Y23" s="48"/>
    </row>
    <row r="24" spans="1:25" x14ac:dyDescent="0.2">
      <c r="A24" s="48"/>
      <c r="B24" s="48"/>
      <c r="C24" s="48"/>
      <c r="D24" s="48"/>
      <c r="E24" s="142">
        <f t="shared" si="0"/>
        <v>2039</v>
      </c>
      <c r="F24" s="25"/>
      <c r="G24" s="91">
        <f t="shared" si="2"/>
        <v>0</v>
      </c>
      <c r="H24" s="233">
        <f>ROUND((G24)*INDEX(NPV!$C$3:$C$42,MATCH(Costs!$E24,NPV!$B$3:$B$42,0)),0)</f>
        <v>0</v>
      </c>
      <c r="I24" s="48"/>
      <c r="J24" s="48"/>
      <c r="K24" s="48"/>
      <c r="L24" s="48"/>
      <c r="M24" s="48"/>
      <c r="N24" s="48"/>
      <c r="O24" s="48"/>
      <c r="P24" s="48"/>
      <c r="Q24" s="48"/>
      <c r="R24" s="48"/>
      <c r="S24" s="48"/>
      <c r="T24" s="48"/>
      <c r="U24" s="48"/>
      <c r="V24" s="48"/>
      <c r="W24" s="48"/>
      <c r="X24" s="48"/>
      <c r="Y24" s="48"/>
    </row>
    <row r="25" spans="1:25" x14ac:dyDescent="0.2">
      <c r="A25" s="48"/>
      <c r="B25" s="48"/>
      <c r="C25" s="48"/>
      <c r="D25" s="48"/>
      <c r="E25" s="142">
        <f t="shared" si="0"/>
        <v>2040</v>
      </c>
      <c r="F25" s="25"/>
      <c r="G25" s="91">
        <f t="shared" si="2"/>
        <v>0</v>
      </c>
      <c r="H25" s="233">
        <f>ROUND((G25)*INDEX(NPV!$C$3:$C$42,MATCH(Costs!$E25,NPV!$B$3:$B$42,0)),0)</f>
        <v>0</v>
      </c>
      <c r="I25" s="48"/>
      <c r="J25" s="48"/>
      <c r="K25" s="48"/>
      <c r="L25" s="48"/>
      <c r="M25" s="48"/>
      <c r="N25" s="48"/>
      <c r="O25" s="48"/>
      <c r="P25" s="48"/>
      <c r="Q25" s="48"/>
      <c r="R25" s="48"/>
      <c r="S25" s="48"/>
      <c r="T25" s="48"/>
      <c r="U25" s="48"/>
      <c r="V25" s="48"/>
      <c r="W25" s="48"/>
      <c r="X25" s="48"/>
      <c r="Y25" s="48"/>
    </row>
    <row r="26" spans="1:25" x14ac:dyDescent="0.2">
      <c r="A26" s="48"/>
      <c r="B26" s="48"/>
      <c r="C26" s="48"/>
      <c r="D26" s="48"/>
      <c r="E26" s="142">
        <f t="shared" si="0"/>
        <v>2041</v>
      </c>
      <c r="F26" s="25"/>
      <c r="G26" s="91">
        <f t="shared" si="2"/>
        <v>0</v>
      </c>
      <c r="H26" s="233">
        <f>ROUND((G26)*INDEX(NPV!$C$3:$C$42,MATCH(Costs!$E26,NPV!$B$3:$B$42,0)),0)</f>
        <v>0</v>
      </c>
      <c r="I26" s="48"/>
      <c r="J26" s="48"/>
      <c r="K26" s="48"/>
      <c r="L26" s="48"/>
      <c r="M26" s="48"/>
      <c r="N26" s="48"/>
      <c r="O26" s="48"/>
      <c r="P26" s="48"/>
      <c r="Q26" s="48"/>
      <c r="R26" s="48"/>
      <c r="S26" s="48"/>
      <c r="T26" s="48"/>
      <c r="U26" s="48"/>
      <c r="V26" s="48"/>
      <c r="W26" s="48"/>
      <c r="X26" s="48"/>
      <c r="Y26" s="48"/>
    </row>
    <row r="27" spans="1:25" x14ac:dyDescent="0.2">
      <c r="A27" s="48"/>
      <c r="B27" s="48"/>
      <c r="C27" s="48"/>
      <c r="D27" s="48"/>
      <c r="E27" s="142">
        <f t="shared" si="0"/>
        <v>2042</v>
      </c>
      <c r="F27" s="25"/>
      <c r="G27" s="91">
        <f t="shared" si="2"/>
        <v>0</v>
      </c>
      <c r="H27" s="233">
        <f>ROUND((G27)*INDEX(NPV!$C$3:$C$42,MATCH(Costs!$E27,NPV!$B$3:$B$42,0)),0)</f>
        <v>0</v>
      </c>
      <c r="I27" s="48"/>
      <c r="J27" s="48"/>
      <c r="K27" s="48"/>
      <c r="L27" s="48"/>
      <c r="M27" s="48"/>
      <c r="N27" s="48"/>
      <c r="O27" s="48"/>
      <c r="P27" s="48"/>
      <c r="Q27" s="48"/>
      <c r="R27" s="48"/>
      <c r="S27" s="48"/>
      <c r="T27" s="48"/>
      <c r="U27" s="48"/>
      <c r="V27" s="48"/>
      <c r="W27" s="48"/>
      <c r="X27" s="48"/>
      <c r="Y27" s="48"/>
    </row>
    <row r="28" spans="1:25" x14ac:dyDescent="0.2">
      <c r="A28" s="48"/>
      <c r="B28" s="48"/>
      <c r="C28" s="48"/>
      <c r="D28" s="48"/>
      <c r="E28" s="142">
        <f t="shared" si="0"/>
        <v>2043</v>
      </c>
      <c r="F28" s="25"/>
      <c r="G28" s="91">
        <f t="shared" si="2"/>
        <v>0</v>
      </c>
      <c r="H28" s="233">
        <f>ROUND((G28)*INDEX(NPV!$C$3:$C$42,MATCH(Costs!$E28,NPV!$B$3:$B$42,0)),0)</f>
        <v>0</v>
      </c>
      <c r="I28" s="48"/>
      <c r="J28" s="48"/>
      <c r="K28" s="48"/>
      <c r="L28" s="48"/>
      <c r="M28" s="48"/>
      <c r="N28" s="48"/>
      <c r="O28" s="48"/>
      <c r="P28" s="48"/>
      <c r="Q28" s="48"/>
      <c r="R28" s="48"/>
      <c r="S28" s="48"/>
      <c r="T28" s="48"/>
      <c r="U28" s="48"/>
      <c r="V28" s="48"/>
      <c r="W28" s="48"/>
      <c r="X28" s="48"/>
      <c r="Y28" s="48"/>
    </row>
    <row r="29" spans="1:25" x14ac:dyDescent="0.2">
      <c r="A29" s="48"/>
      <c r="B29" s="48"/>
      <c r="C29" s="48"/>
      <c r="D29" s="48"/>
      <c r="E29" s="142">
        <f t="shared" si="0"/>
        <v>2044</v>
      </c>
      <c r="F29" s="25"/>
      <c r="G29" s="91">
        <f t="shared" si="2"/>
        <v>0</v>
      </c>
      <c r="H29" s="233">
        <f>ROUND((G29)*INDEX(NPV!$C$3:$C$42,MATCH(Costs!$E29,NPV!$B$3:$B$42,0)),0)</f>
        <v>0</v>
      </c>
      <c r="I29" s="48"/>
      <c r="J29" s="48"/>
      <c r="K29" s="48"/>
      <c r="L29" s="48"/>
      <c r="M29" s="48"/>
      <c r="N29" s="48"/>
      <c r="O29" s="48"/>
      <c r="P29" s="48"/>
      <c r="Q29" s="48"/>
      <c r="R29" s="48"/>
      <c r="S29" s="48"/>
      <c r="T29" s="48"/>
      <c r="U29" s="48"/>
      <c r="V29" s="48"/>
      <c r="W29" s="48"/>
      <c r="X29" s="48"/>
      <c r="Y29" s="48"/>
    </row>
    <row r="30" spans="1:25" ht="13.5" thickBot="1" x14ac:dyDescent="0.25">
      <c r="A30" s="48"/>
      <c r="B30" s="48"/>
      <c r="C30" s="48"/>
      <c r="D30" s="48"/>
      <c r="E30" s="143">
        <f t="shared" si="0"/>
        <v>2045</v>
      </c>
      <c r="F30" s="201"/>
      <c r="G30" s="92">
        <f>-C4</f>
        <v>-28558197</v>
      </c>
      <c r="H30" s="234">
        <f>ROUND((G30)*INDEX(NPV!$C$3:$C$42,MATCH(Costs!$E30,NPV!$B$3:$B$42,0)),0)</f>
        <v>-5261824</v>
      </c>
      <c r="I30" s="48"/>
      <c r="J30" s="48"/>
      <c r="K30" s="48"/>
      <c r="L30" s="48"/>
      <c r="M30" s="48"/>
      <c r="N30" s="48"/>
      <c r="O30" s="48"/>
      <c r="P30" s="48"/>
      <c r="Q30" s="48"/>
      <c r="R30" s="48"/>
      <c r="S30" s="48"/>
      <c r="T30" s="48"/>
      <c r="U30" s="48"/>
      <c r="V30" s="48"/>
      <c r="W30" s="48"/>
      <c r="X30" s="48"/>
      <c r="Y30" s="48"/>
    </row>
    <row r="31" spans="1:25" ht="13.5" thickTop="1" x14ac:dyDescent="0.2">
      <c r="A31" s="48"/>
      <c r="B31" s="48"/>
      <c r="C31" s="48"/>
      <c r="D31" s="48"/>
      <c r="E31" s="144" t="s">
        <v>16</v>
      </c>
      <c r="F31" s="27">
        <f>SUM(F5:F30)</f>
        <v>1</v>
      </c>
      <c r="G31" s="93">
        <f>SUM(G5:G30)</f>
        <v>19038798</v>
      </c>
      <c r="H31" s="235">
        <f>SUM(H5:H30)</f>
        <v>30752150</v>
      </c>
      <c r="I31" s="48"/>
      <c r="J31" s="48"/>
      <c r="K31" s="48"/>
      <c r="L31" s="48"/>
      <c r="M31" s="48"/>
      <c r="N31" s="48"/>
      <c r="O31" s="48"/>
      <c r="P31" s="48"/>
      <c r="Q31" s="48"/>
      <c r="R31" s="48"/>
      <c r="S31" s="48"/>
      <c r="T31" s="48"/>
      <c r="U31" s="48"/>
      <c r="V31" s="48"/>
      <c r="W31" s="48"/>
      <c r="X31" s="48"/>
      <c r="Y31" s="48"/>
    </row>
    <row r="32" spans="1:25" x14ac:dyDescent="0.2">
      <c r="A32" s="48"/>
      <c r="B32" s="48"/>
      <c r="C32" s="48"/>
      <c r="D32" s="48"/>
      <c r="E32" s="48"/>
      <c r="F32" s="48"/>
      <c r="G32" s="48"/>
      <c r="H32" s="48"/>
      <c r="I32" s="48"/>
      <c r="J32" s="48"/>
      <c r="K32" s="48"/>
      <c r="L32" s="48"/>
      <c r="M32" s="48"/>
      <c r="N32" s="48"/>
      <c r="O32" s="48"/>
      <c r="P32" s="48"/>
      <c r="Q32" s="48"/>
      <c r="R32" s="48"/>
      <c r="S32" s="48"/>
      <c r="T32" s="48"/>
      <c r="U32" s="48"/>
      <c r="V32" s="48"/>
      <c r="W32" s="48"/>
      <c r="X32" s="48"/>
      <c r="Y32" s="48"/>
    </row>
    <row r="33" spans="1:26" x14ac:dyDescent="0.2">
      <c r="A33" s="48"/>
      <c r="B33" s="48"/>
      <c r="C33" s="48"/>
      <c r="D33" s="48"/>
      <c r="E33" s="48"/>
      <c r="F33" s="48"/>
      <c r="G33" s="48"/>
      <c r="H33" s="48"/>
      <c r="I33" s="48"/>
      <c r="J33" s="48"/>
      <c r="K33" s="48"/>
      <c r="L33" s="48"/>
      <c r="M33" s="48"/>
      <c r="N33" s="48"/>
      <c r="O33" s="48"/>
      <c r="P33" s="48"/>
      <c r="Q33" s="48"/>
      <c r="R33" s="48"/>
      <c r="S33" s="48"/>
      <c r="T33" s="48"/>
      <c r="U33" s="48"/>
      <c r="V33" s="48"/>
      <c r="W33" s="48"/>
      <c r="X33" s="48"/>
      <c r="Y33" s="48"/>
    </row>
    <row r="34" spans="1:26" x14ac:dyDescent="0.2">
      <c r="A34" s="358" t="s">
        <v>189</v>
      </c>
      <c r="B34" s="359"/>
      <c r="C34" s="48"/>
      <c r="D34" s="48"/>
      <c r="E34" s="48"/>
      <c r="F34" s="48"/>
      <c r="G34" s="48"/>
      <c r="H34" s="48"/>
      <c r="I34" s="48"/>
      <c r="J34" s="48"/>
      <c r="K34" s="48"/>
      <c r="L34" s="48"/>
      <c r="M34" s="48"/>
      <c r="N34" s="48"/>
      <c r="O34" s="48"/>
      <c r="P34" s="48"/>
      <c r="Q34" s="48"/>
      <c r="R34" s="48"/>
      <c r="S34" s="48"/>
      <c r="T34" s="48"/>
      <c r="U34" s="48"/>
      <c r="V34" s="48"/>
      <c r="W34" s="48"/>
      <c r="X34" s="48"/>
      <c r="Y34" s="48"/>
    </row>
    <row r="35" spans="1:26" x14ac:dyDescent="0.2">
      <c r="A35" s="280" t="s">
        <v>190</v>
      </c>
      <c r="B35" s="268" t="s">
        <v>195</v>
      </c>
      <c r="C35" s="48"/>
      <c r="D35" s="48"/>
      <c r="E35" s="48"/>
      <c r="F35" s="48"/>
      <c r="G35" s="48"/>
      <c r="H35" s="48"/>
      <c r="I35" s="48"/>
      <c r="J35" s="48"/>
      <c r="K35" s="48"/>
      <c r="L35" s="48"/>
      <c r="M35" s="48"/>
      <c r="N35" s="48"/>
      <c r="O35" s="48"/>
      <c r="P35" s="48"/>
      <c r="Q35" s="48"/>
      <c r="R35" s="48"/>
      <c r="S35" s="48"/>
      <c r="T35" s="48"/>
      <c r="U35" s="48"/>
      <c r="V35" s="48"/>
      <c r="W35" s="48"/>
      <c r="X35" s="48"/>
      <c r="Y35" s="48"/>
    </row>
    <row r="36" spans="1:26" x14ac:dyDescent="0.2">
      <c r="A36" s="35" t="s">
        <v>191</v>
      </c>
      <c r="B36" s="225">
        <v>821596</v>
      </c>
      <c r="C36" s="48"/>
      <c r="D36" s="48"/>
      <c r="E36" s="48"/>
      <c r="F36" s="48"/>
      <c r="G36" s="48"/>
      <c r="H36" s="48"/>
      <c r="I36" s="48"/>
      <c r="J36" s="48"/>
      <c r="K36" s="48"/>
      <c r="L36" s="48"/>
      <c r="M36" s="48"/>
      <c r="N36" s="48"/>
      <c r="O36" s="48"/>
      <c r="P36" s="48"/>
      <c r="Q36" s="48"/>
      <c r="R36" s="48"/>
      <c r="S36" s="48"/>
      <c r="T36" s="48"/>
      <c r="U36" s="48"/>
      <c r="V36" s="48"/>
      <c r="W36" s="48"/>
      <c r="X36" s="48"/>
      <c r="Y36" s="48"/>
    </row>
    <row r="37" spans="1:26" x14ac:dyDescent="0.2">
      <c r="A37" s="35" t="s">
        <v>203</v>
      </c>
      <c r="B37" s="225">
        <v>205399</v>
      </c>
      <c r="C37" s="48"/>
      <c r="D37" s="48"/>
      <c r="E37" s="48"/>
      <c r="F37" s="48"/>
      <c r="G37" s="48"/>
      <c r="H37" s="48"/>
      <c r="I37" s="48"/>
      <c r="J37" s="48"/>
      <c r="K37" s="48"/>
      <c r="L37" s="48"/>
      <c r="M37" s="48"/>
      <c r="N37" s="48"/>
      <c r="O37" s="48"/>
      <c r="P37" s="48"/>
      <c r="Q37" s="48"/>
      <c r="R37" s="48"/>
      <c r="S37" s="48"/>
      <c r="T37" s="48"/>
      <c r="U37" s="48"/>
      <c r="V37" s="48"/>
      <c r="W37" s="48"/>
      <c r="X37" s="48"/>
      <c r="Y37" s="48"/>
    </row>
    <row r="38" spans="1:26" x14ac:dyDescent="0.2">
      <c r="A38" s="35" t="s">
        <v>192</v>
      </c>
      <c r="B38" s="225">
        <v>20000</v>
      </c>
      <c r="C38" s="48"/>
      <c r="D38" s="48"/>
      <c r="E38" s="48"/>
      <c r="F38" s="48"/>
      <c r="G38" s="48"/>
      <c r="H38" s="48"/>
      <c r="I38" s="48"/>
      <c r="J38" s="48"/>
      <c r="K38" s="48"/>
      <c r="L38" s="48"/>
      <c r="M38" s="48"/>
      <c r="N38" s="48"/>
      <c r="O38" s="48"/>
      <c r="P38" s="48"/>
      <c r="Q38" s="48"/>
      <c r="R38" s="48"/>
      <c r="S38" s="48"/>
      <c r="T38" s="48"/>
      <c r="U38" s="48"/>
      <c r="V38" s="48"/>
      <c r="W38" s="48"/>
      <c r="X38" s="48"/>
      <c r="Y38" s="48"/>
    </row>
    <row r="39" spans="1:26" x14ac:dyDescent="0.2">
      <c r="A39" s="35" t="s">
        <v>193</v>
      </c>
      <c r="B39" s="225">
        <v>150000</v>
      </c>
      <c r="C39" s="48"/>
      <c r="D39" s="48"/>
      <c r="E39" s="48"/>
      <c r="F39" s="48"/>
      <c r="G39" s="48"/>
      <c r="H39" s="48"/>
      <c r="I39" s="48"/>
      <c r="J39" s="48"/>
      <c r="K39" s="48"/>
      <c r="L39" s="48"/>
      <c r="M39" s="48"/>
      <c r="N39" s="48"/>
      <c r="O39" s="48"/>
      <c r="P39" s="48"/>
      <c r="Q39" s="48"/>
      <c r="R39" s="48"/>
      <c r="S39" s="48"/>
      <c r="T39" s="48"/>
      <c r="U39" s="48"/>
      <c r="V39" s="48"/>
      <c r="W39" s="48"/>
      <c r="X39" s="48"/>
      <c r="Y39" s="48"/>
    </row>
    <row r="40" spans="1:26" ht="13.5" thickBot="1" x14ac:dyDescent="0.25">
      <c r="A40" s="274" t="s">
        <v>194</v>
      </c>
      <c r="B40" s="226">
        <v>46400000</v>
      </c>
      <c r="C40" s="48"/>
      <c r="D40" s="48"/>
      <c r="E40" s="48"/>
      <c r="F40" s="48"/>
      <c r="G40" s="48"/>
      <c r="H40" s="48"/>
      <c r="I40" s="48"/>
      <c r="J40" s="48"/>
      <c r="K40" s="48"/>
      <c r="L40" s="48"/>
      <c r="M40" s="48"/>
      <c r="N40" s="48"/>
      <c r="O40" s="48"/>
      <c r="P40" s="48"/>
      <c r="Q40" s="48"/>
      <c r="R40" s="48"/>
      <c r="S40" s="48"/>
      <c r="T40" s="48"/>
      <c r="U40" s="48"/>
      <c r="V40" s="48"/>
      <c r="W40" s="48"/>
      <c r="X40" s="48"/>
      <c r="Y40" s="48"/>
    </row>
    <row r="41" spans="1:26" ht="13.5" thickTop="1" x14ac:dyDescent="0.2">
      <c r="A41" s="272" t="s">
        <v>16</v>
      </c>
      <c r="B41" s="273">
        <f>SUM(B36:B40)</f>
        <v>47596995</v>
      </c>
      <c r="C41" s="48"/>
      <c r="D41" s="48"/>
      <c r="E41" s="48"/>
      <c r="F41" s="48"/>
      <c r="G41" s="48"/>
      <c r="H41" s="48"/>
      <c r="I41" s="48"/>
      <c r="J41" s="48"/>
      <c r="K41" s="48"/>
      <c r="L41" s="48"/>
      <c r="M41" s="48"/>
      <c r="N41" s="48"/>
      <c r="O41" s="48"/>
      <c r="P41" s="48"/>
      <c r="Q41" s="48"/>
      <c r="R41" s="48"/>
      <c r="S41" s="48"/>
      <c r="T41" s="48"/>
      <c r="U41" s="48"/>
      <c r="V41" s="48"/>
      <c r="W41" s="48"/>
      <c r="X41" s="48"/>
      <c r="Y41" s="48"/>
    </row>
    <row r="42" spans="1:26" x14ac:dyDescent="0.2">
      <c r="A42" s="351" t="s">
        <v>45</v>
      </c>
      <c r="B42" s="352"/>
      <c r="C42" s="48"/>
      <c r="D42" s="48"/>
      <c r="E42" s="48"/>
      <c r="F42" s="48"/>
      <c r="G42" s="48"/>
      <c r="H42" s="48"/>
      <c r="I42" s="48"/>
      <c r="J42" s="48"/>
      <c r="K42" s="48"/>
      <c r="L42" s="48"/>
      <c r="M42" s="48"/>
      <c r="N42" s="48"/>
      <c r="O42" s="48"/>
      <c r="P42" s="48"/>
      <c r="Q42" s="48"/>
      <c r="R42" s="48"/>
      <c r="S42" s="48"/>
      <c r="T42" s="48"/>
      <c r="U42" s="48"/>
      <c r="V42" s="48"/>
      <c r="W42" s="48"/>
      <c r="X42" s="48"/>
      <c r="Y42" s="48"/>
    </row>
    <row r="43" spans="1:26" x14ac:dyDescent="0.2">
      <c r="A43" s="48"/>
      <c r="B43" s="48"/>
      <c r="C43" s="48"/>
      <c r="D43" s="48"/>
      <c r="E43" s="48"/>
      <c r="F43" s="48"/>
      <c r="G43" s="48"/>
      <c r="H43" s="48"/>
      <c r="I43" s="48"/>
      <c r="J43" s="48"/>
      <c r="K43" s="48"/>
      <c r="L43" s="48"/>
      <c r="M43" s="48"/>
      <c r="N43" s="48"/>
      <c r="O43" s="48"/>
      <c r="P43" s="48"/>
      <c r="Q43" s="48"/>
      <c r="R43" s="48"/>
      <c r="S43" s="48"/>
      <c r="T43" s="48"/>
      <c r="U43" s="48"/>
      <c r="V43" s="48"/>
      <c r="W43" s="48"/>
      <c r="X43" s="48"/>
      <c r="Y43" s="48"/>
    </row>
    <row r="44" spans="1:26" x14ac:dyDescent="0.2">
      <c r="A44" s="358" t="s">
        <v>196</v>
      </c>
      <c r="B44" s="359"/>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x14ac:dyDescent="0.2">
      <c r="A45" s="280" t="s">
        <v>37</v>
      </c>
      <c r="B45" s="268" t="s">
        <v>197</v>
      </c>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x14ac:dyDescent="0.2">
      <c r="A46" s="35">
        <v>2024</v>
      </c>
      <c r="B46" s="275">
        <v>0.8</v>
      </c>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13.5" thickBot="1" x14ac:dyDescent="0.25">
      <c r="A47" s="39">
        <v>2025</v>
      </c>
      <c r="B47" s="281">
        <v>0.2</v>
      </c>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13.5" thickTop="1" x14ac:dyDescent="0.2">
      <c r="A48" s="272" t="s">
        <v>16</v>
      </c>
      <c r="B48" s="276">
        <f>SUM(B46:B47)</f>
        <v>1</v>
      </c>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x14ac:dyDescent="0.2">
      <c r="A49" s="351" t="s">
        <v>45</v>
      </c>
      <c r="B49" s="352"/>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x14ac:dyDescent="0.2">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x14ac:dyDescent="0.2">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x14ac:dyDescent="0.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x14ac:dyDescent="0.2">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x14ac:dyDescent="0.2">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x14ac:dyDescent="0.2">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x14ac:dyDescent="0.2">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x14ac:dyDescent="0.2">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x14ac:dyDescent="0.2">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x14ac:dyDescent="0.2">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x14ac:dyDescent="0.2">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x14ac:dyDescent="0.2">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x14ac:dyDescent="0.2">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x14ac:dyDescent="0.2">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x14ac:dyDescent="0.2">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x14ac:dyDescent="0.2">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x14ac:dyDescent="0.2">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s="48" customFormat="1" x14ac:dyDescent="0.2"/>
    <row r="68" spans="1:26" s="48" customFormat="1" x14ac:dyDescent="0.2"/>
    <row r="69" spans="1:26" s="48" customFormat="1" x14ac:dyDescent="0.2"/>
    <row r="70" spans="1:26" s="48" customFormat="1" x14ac:dyDescent="0.2"/>
    <row r="71" spans="1:26" s="48" customFormat="1" x14ac:dyDescent="0.2"/>
    <row r="72" spans="1:26" s="48" customFormat="1" x14ac:dyDescent="0.2"/>
    <row r="73" spans="1:26" s="48" customFormat="1" x14ac:dyDescent="0.2"/>
    <row r="74" spans="1:26" s="48" customFormat="1" x14ac:dyDescent="0.2"/>
    <row r="75" spans="1:26" s="48" customFormat="1" x14ac:dyDescent="0.2"/>
    <row r="76" spans="1:26" s="48" customFormat="1" x14ac:dyDescent="0.2"/>
    <row r="77" spans="1:26" s="48" customFormat="1" x14ac:dyDescent="0.2"/>
    <row r="78" spans="1:26" s="48" customFormat="1" x14ac:dyDescent="0.2"/>
    <row r="79" spans="1:26" s="48" customFormat="1" x14ac:dyDescent="0.2"/>
    <row r="80" spans="1:26" s="48" customFormat="1" x14ac:dyDescent="0.2"/>
    <row r="81" s="48" customFormat="1" x14ac:dyDescent="0.2"/>
    <row r="82" s="48" customFormat="1" x14ac:dyDescent="0.2"/>
    <row r="83" s="48" customFormat="1" x14ac:dyDescent="0.2"/>
    <row r="84" s="48" customFormat="1" x14ac:dyDescent="0.2"/>
    <row r="85" s="48" customFormat="1" x14ac:dyDescent="0.2"/>
    <row r="86" s="48" customFormat="1" x14ac:dyDescent="0.2"/>
    <row r="87" s="48" customFormat="1" x14ac:dyDescent="0.2"/>
    <row r="88" s="48" customFormat="1" x14ac:dyDescent="0.2"/>
    <row r="89" s="48" customFormat="1" x14ac:dyDescent="0.2"/>
    <row r="90" s="48" customFormat="1" x14ac:dyDescent="0.2"/>
    <row r="91" s="48" customFormat="1" x14ac:dyDescent="0.2"/>
    <row r="92" s="48" customFormat="1" x14ac:dyDescent="0.2"/>
    <row r="93" s="48" customFormat="1" x14ac:dyDescent="0.2"/>
    <row r="94" s="48" customFormat="1" x14ac:dyDescent="0.2"/>
    <row r="95" s="48" customFormat="1" x14ac:dyDescent="0.2"/>
    <row r="96" s="48" customFormat="1" x14ac:dyDescent="0.2"/>
    <row r="97" s="48" customFormat="1" x14ac:dyDescent="0.2"/>
    <row r="98" s="48" customFormat="1" x14ac:dyDescent="0.2"/>
    <row r="99" s="48" customFormat="1" x14ac:dyDescent="0.2"/>
    <row r="100" s="48" customFormat="1" x14ac:dyDescent="0.2"/>
    <row r="101" s="48" customFormat="1" x14ac:dyDescent="0.2"/>
    <row r="102" s="48" customFormat="1" x14ac:dyDescent="0.2"/>
    <row r="103" s="48" customFormat="1" x14ac:dyDescent="0.2"/>
    <row r="104" s="48" customFormat="1" x14ac:dyDescent="0.2"/>
    <row r="105" s="48" customFormat="1" x14ac:dyDescent="0.2"/>
    <row r="106" s="48" customFormat="1" x14ac:dyDescent="0.2"/>
    <row r="107" s="48" customFormat="1" x14ac:dyDescent="0.2"/>
    <row r="108" s="48" customFormat="1" x14ac:dyDescent="0.2"/>
    <row r="109" s="48" customFormat="1" x14ac:dyDescent="0.2"/>
    <row r="110" s="48" customFormat="1" x14ac:dyDescent="0.2"/>
    <row r="111" s="48" customFormat="1" x14ac:dyDescent="0.2"/>
    <row r="112" s="48" customFormat="1" x14ac:dyDescent="0.2"/>
    <row r="113" s="48" customFormat="1" x14ac:dyDescent="0.2"/>
    <row r="114" s="48" customFormat="1" x14ac:dyDescent="0.2"/>
    <row r="115" s="48" customFormat="1" x14ac:dyDescent="0.2"/>
    <row r="116" s="48" customFormat="1" x14ac:dyDescent="0.2"/>
    <row r="117" s="48" customFormat="1" x14ac:dyDescent="0.2"/>
    <row r="118" s="48" customFormat="1" x14ac:dyDescent="0.2"/>
    <row r="119" s="48" customFormat="1" x14ac:dyDescent="0.2"/>
    <row r="120" s="48" customFormat="1" x14ac:dyDescent="0.2"/>
    <row r="121" s="48" customFormat="1" x14ac:dyDescent="0.2"/>
    <row r="122" s="48" customFormat="1" x14ac:dyDescent="0.2"/>
    <row r="123" s="48" customFormat="1" x14ac:dyDescent="0.2"/>
    <row r="124" s="48" customFormat="1" x14ac:dyDescent="0.2"/>
    <row r="125" s="48" customFormat="1" x14ac:dyDescent="0.2"/>
    <row r="126" s="48" customFormat="1" x14ac:dyDescent="0.2"/>
    <row r="127" s="48" customFormat="1" x14ac:dyDescent="0.2"/>
    <row r="128" s="48" customFormat="1" x14ac:dyDescent="0.2"/>
    <row r="129" s="48" customFormat="1" x14ac:dyDescent="0.2"/>
    <row r="130" s="48" customFormat="1" x14ac:dyDescent="0.2"/>
    <row r="131" s="48" customFormat="1" x14ac:dyDescent="0.2"/>
    <row r="132" s="48" customFormat="1" x14ac:dyDescent="0.2"/>
    <row r="133" s="48" customFormat="1" x14ac:dyDescent="0.2"/>
    <row r="134" s="48" customFormat="1" x14ac:dyDescent="0.2"/>
    <row r="135" s="48" customFormat="1" x14ac:dyDescent="0.2"/>
    <row r="136" s="48" customFormat="1" x14ac:dyDescent="0.2"/>
    <row r="137" s="48" customFormat="1" x14ac:dyDescent="0.2"/>
    <row r="138" s="48" customFormat="1" x14ac:dyDescent="0.2"/>
    <row r="139" s="48" customFormat="1" x14ac:dyDescent="0.2"/>
    <row r="140" s="48" customFormat="1" x14ac:dyDescent="0.2"/>
    <row r="141" s="48" customFormat="1" x14ac:dyDescent="0.2"/>
    <row r="142" s="48" customFormat="1" x14ac:dyDescent="0.2"/>
    <row r="143" s="48" customFormat="1" x14ac:dyDescent="0.2"/>
    <row r="144" s="48" customFormat="1" x14ac:dyDescent="0.2"/>
    <row r="145" s="48" customFormat="1" x14ac:dyDescent="0.2"/>
    <row r="146" s="48" customFormat="1" x14ac:dyDescent="0.2"/>
    <row r="147" s="48" customFormat="1" x14ac:dyDescent="0.2"/>
    <row r="148" s="48" customFormat="1" x14ac:dyDescent="0.2"/>
    <row r="149" s="48" customFormat="1" x14ac:dyDescent="0.2"/>
    <row r="150" s="48" customFormat="1" x14ac:dyDescent="0.2"/>
    <row r="151" s="48" customFormat="1" x14ac:dyDescent="0.2"/>
    <row r="152" s="48" customFormat="1" x14ac:dyDescent="0.2"/>
    <row r="153" s="48" customFormat="1" x14ac:dyDescent="0.2"/>
    <row r="154" s="48" customFormat="1" x14ac:dyDescent="0.2"/>
    <row r="155" s="48" customFormat="1" x14ac:dyDescent="0.2"/>
    <row r="156" s="48" customFormat="1" x14ac:dyDescent="0.2"/>
    <row r="157" s="48" customFormat="1" x14ac:dyDescent="0.2"/>
    <row r="158" s="48" customFormat="1" x14ac:dyDescent="0.2"/>
    <row r="159" s="48" customFormat="1" x14ac:dyDescent="0.2"/>
    <row r="160" s="48" customFormat="1" x14ac:dyDescent="0.2"/>
    <row r="161" s="48" customFormat="1" x14ac:dyDescent="0.2"/>
    <row r="162" s="48" customFormat="1" x14ac:dyDescent="0.2"/>
    <row r="163" s="48" customFormat="1" x14ac:dyDescent="0.2"/>
    <row r="164" s="48" customFormat="1" x14ac:dyDescent="0.2"/>
    <row r="165" s="48" customFormat="1" x14ac:dyDescent="0.2"/>
    <row r="166" s="48" customFormat="1" x14ac:dyDescent="0.2"/>
    <row r="167" s="48" customFormat="1" x14ac:dyDescent="0.2"/>
    <row r="168" s="48" customFormat="1" x14ac:dyDescent="0.2"/>
    <row r="169" s="48" customFormat="1" x14ac:dyDescent="0.2"/>
    <row r="170" s="48" customFormat="1" x14ac:dyDescent="0.2"/>
    <row r="171" s="48" customFormat="1" x14ac:dyDescent="0.2"/>
    <row r="172" s="48" customFormat="1" x14ac:dyDescent="0.2"/>
    <row r="173" s="48" customFormat="1" x14ac:dyDescent="0.2"/>
    <row r="174" s="48" customFormat="1" x14ac:dyDescent="0.2"/>
    <row r="175" s="48" customFormat="1" x14ac:dyDescent="0.2"/>
    <row r="176" s="48" customFormat="1" x14ac:dyDescent="0.2"/>
    <row r="177" s="48" customFormat="1" x14ac:dyDescent="0.2"/>
    <row r="178" s="48" customFormat="1" x14ac:dyDescent="0.2"/>
    <row r="179" s="48" customFormat="1" x14ac:dyDescent="0.2"/>
    <row r="180" s="48" customFormat="1" x14ac:dyDescent="0.2"/>
    <row r="181" s="48" customFormat="1" x14ac:dyDescent="0.2"/>
    <row r="182" s="48" customFormat="1" x14ac:dyDescent="0.2"/>
    <row r="183" s="48" customFormat="1" x14ac:dyDescent="0.2"/>
    <row r="184" s="48" customFormat="1" x14ac:dyDescent="0.2"/>
    <row r="185" s="48" customFormat="1" x14ac:dyDescent="0.2"/>
    <row r="186" s="48" customFormat="1" x14ac:dyDescent="0.2"/>
    <row r="187" s="48" customFormat="1" x14ac:dyDescent="0.2"/>
    <row r="188" s="48" customFormat="1" x14ac:dyDescent="0.2"/>
    <row r="189" s="48" customFormat="1" x14ac:dyDescent="0.2"/>
    <row r="190" s="48" customFormat="1" x14ac:dyDescent="0.2"/>
    <row r="191" s="48" customFormat="1" x14ac:dyDescent="0.2"/>
    <row r="192" s="48" customFormat="1" x14ac:dyDescent="0.2"/>
    <row r="193" s="48" customFormat="1" x14ac:dyDescent="0.2"/>
    <row r="194" s="48" customFormat="1" x14ac:dyDescent="0.2"/>
    <row r="195" s="48" customFormat="1" x14ac:dyDescent="0.2"/>
    <row r="196" s="48" customFormat="1" x14ac:dyDescent="0.2"/>
    <row r="197" s="48" customFormat="1" x14ac:dyDescent="0.2"/>
    <row r="198" s="48" customFormat="1" x14ac:dyDescent="0.2"/>
    <row r="199" s="48" customFormat="1" x14ac:dyDescent="0.2"/>
    <row r="200" s="48" customFormat="1" x14ac:dyDescent="0.2"/>
    <row r="201" s="48" customFormat="1" x14ac:dyDescent="0.2"/>
    <row r="202" s="48" customFormat="1" x14ac:dyDescent="0.2"/>
    <row r="203" s="48" customFormat="1" x14ac:dyDescent="0.2"/>
    <row r="204" s="48" customFormat="1" x14ac:dyDescent="0.2"/>
    <row r="205" s="48" customFormat="1" x14ac:dyDescent="0.2"/>
    <row r="206" s="48" customFormat="1" x14ac:dyDescent="0.2"/>
    <row r="207" s="48" customFormat="1" x14ac:dyDescent="0.2"/>
    <row r="208" s="48" customFormat="1" x14ac:dyDescent="0.2"/>
    <row r="209" s="48" customFormat="1" x14ac:dyDescent="0.2"/>
    <row r="210" s="48" customFormat="1" x14ac:dyDescent="0.2"/>
    <row r="211" s="48" customFormat="1" x14ac:dyDescent="0.2"/>
    <row r="212" s="48" customFormat="1" x14ac:dyDescent="0.2"/>
    <row r="213" s="48" customFormat="1" x14ac:dyDescent="0.2"/>
    <row r="214" s="48" customFormat="1" x14ac:dyDescent="0.2"/>
    <row r="215" s="48" customFormat="1" x14ac:dyDescent="0.2"/>
    <row r="216" s="48" customFormat="1" x14ac:dyDescent="0.2"/>
    <row r="217" s="48" customFormat="1" x14ac:dyDescent="0.2"/>
    <row r="218" s="48" customFormat="1" x14ac:dyDescent="0.2"/>
    <row r="219" s="48" customFormat="1" x14ac:dyDescent="0.2"/>
    <row r="220" s="48" customFormat="1" x14ac:dyDescent="0.2"/>
    <row r="221" s="48" customFormat="1" x14ac:dyDescent="0.2"/>
    <row r="222" s="48" customFormat="1" x14ac:dyDescent="0.2"/>
    <row r="223" s="48" customFormat="1" x14ac:dyDescent="0.2"/>
    <row r="224" s="48" customFormat="1" x14ac:dyDescent="0.2"/>
    <row r="225" s="48" customFormat="1" x14ac:dyDescent="0.2"/>
    <row r="226" s="48" customFormat="1" x14ac:dyDescent="0.2"/>
    <row r="227" s="48" customFormat="1" x14ac:dyDescent="0.2"/>
    <row r="228" s="48" customFormat="1" x14ac:dyDescent="0.2"/>
    <row r="229" s="48" customFormat="1" x14ac:dyDescent="0.2"/>
    <row r="230" s="48" customFormat="1" x14ac:dyDescent="0.2"/>
    <row r="231" s="48" customFormat="1" x14ac:dyDescent="0.2"/>
    <row r="232" s="48" customFormat="1" x14ac:dyDescent="0.2"/>
    <row r="233" s="48" customFormat="1" x14ac:dyDescent="0.2"/>
    <row r="234" s="48" customFormat="1" x14ac:dyDescent="0.2"/>
    <row r="235" s="48" customFormat="1" x14ac:dyDescent="0.2"/>
    <row r="236" s="48" customFormat="1" x14ac:dyDescent="0.2"/>
    <row r="237" s="48" customFormat="1" x14ac:dyDescent="0.2"/>
    <row r="238" s="48" customFormat="1" x14ac:dyDescent="0.2"/>
    <row r="239" s="48" customFormat="1" x14ac:dyDescent="0.2"/>
    <row r="240" s="48" customFormat="1" x14ac:dyDescent="0.2"/>
    <row r="241" s="48" customFormat="1" x14ac:dyDescent="0.2"/>
    <row r="242" s="48" customFormat="1" x14ac:dyDescent="0.2"/>
    <row r="243" s="48" customFormat="1" x14ac:dyDescent="0.2"/>
    <row r="244" s="48" customFormat="1" x14ac:dyDescent="0.2"/>
    <row r="245" s="48" customFormat="1" x14ac:dyDescent="0.2"/>
    <row r="246" s="48" customFormat="1" x14ac:dyDescent="0.2"/>
    <row r="247" s="48" customFormat="1" x14ac:dyDescent="0.2"/>
    <row r="248" s="48" customFormat="1" x14ac:dyDescent="0.2"/>
    <row r="249" s="48" customFormat="1" x14ac:dyDescent="0.2"/>
    <row r="250" s="48" customFormat="1" x14ac:dyDescent="0.2"/>
    <row r="251" s="48" customFormat="1" x14ac:dyDescent="0.2"/>
    <row r="252" s="48" customFormat="1" x14ac:dyDescent="0.2"/>
    <row r="253" s="48" customFormat="1" x14ac:dyDescent="0.2"/>
    <row r="254" s="48" customFormat="1" x14ac:dyDescent="0.2"/>
    <row r="255" s="48" customFormat="1" x14ac:dyDescent="0.2"/>
    <row r="256" s="48" customFormat="1" x14ac:dyDescent="0.2"/>
    <row r="257" s="48" customFormat="1" x14ac:dyDescent="0.2"/>
    <row r="258" s="48" customFormat="1" x14ac:dyDescent="0.2"/>
    <row r="259" s="48" customFormat="1" x14ac:dyDescent="0.2"/>
    <row r="260" s="48" customFormat="1" x14ac:dyDescent="0.2"/>
    <row r="261" s="48" customFormat="1" x14ac:dyDescent="0.2"/>
    <row r="262" s="48" customFormat="1" x14ac:dyDescent="0.2"/>
    <row r="263" s="48" customFormat="1" x14ac:dyDescent="0.2"/>
    <row r="264" s="48" customFormat="1" x14ac:dyDescent="0.2"/>
    <row r="265" s="48" customFormat="1" x14ac:dyDescent="0.2"/>
    <row r="266" s="48" customFormat="1" x14ac:dyDescent="0.2"/>
    <row r="267" s="48" customFormat="1" x14ac:dyDescent="0.2"/>
    <row r="268" s="48" customFormat="1" x14ac:dyDescent="0.2"/>
    <row r="269" s="48" customFormat="1" x14ac:dyDescent="0.2"/>
    <row r="270" s="48" customFormat="1" x14ac:dyDescent="0.2"/>
    <row r="271" s="48" customFormat="1" x14ac:dyDescent="0.2"/>
    <row r="272" s="48" customFormat="1" x14ac:dyDescent="0.2"/>
    <row r="273" s="48" customFormat="1" x14ac:dyDescent="0.2"/>
    <row r="274" s="48" customFormat="1" x14ac:dyDescent="0.2"/>
    <row r="275" s="48" customFormat="1" x14ac:dyDescent="0.2"/>
    <row r="276" s="48" customFormat="1" x14ac:dyDescent="0.2"/>
    <row r="277" s="48" customFormat="1" x14ac:dyDescent="0.2"/>
    <row r="278" s="48" customFormat="1" x14ac:dyDescent="0.2"/>
    <row r="279" s="48" customFormat="1" x14ac:dyDescent="0.2"/>
    <row r="280" s="48" customFormat="1" x14ac:dyDescent="0.2"/>
    <row r="281" s="48" customFormat="1" x14ac:dyDescent="0.2"/>
    <row r="282" s="48" customFormat="1" x14ac:dyDescent="0.2"/>
    <row r="283" s="48" customFormat="1" x14ac:dyDescent="0.2"/>
    <row r="284" s="48" customFormat="1" x14ac:dyDescent="0.2"/>
    <row r="285" s="48" customFormat="1" x14ac:dyDescent="0.2"/>
    <row r="286" s="48" customFormat="1" x14ac:dyDescent="0.2"/>
    <row r="287" s="48" customFormat="1" x14ac:dyDescent="0.2"/>
    <row r="288" s="48" customFormat="1" x14ac:dyDescent="0.2"/>
    <row r="289" spans="5:8" s="48" customFormat="1" x14ac:dyDescent="0.2"/>
    <row r="290" spans="5:8" s="48" customFormat="1" x14ac:dyDescent="0.2"/>
    <row r="291" spans="5:8" s="48" customFormat="1" x14ac:dyDescent="0.2"/>
    <row r="292" spans="5:8" s="48" customFormat="1" x14ac:dyDescent="0.2"/>
    <row r="293" spans="5:8" s="48" customFormat="1" x14ac:dyDescent="0.2">
      <c r="E293"/>
      <c r="F293"/>
      <c r="G293"/>
      <c r="H293"/>
    </row>
    <row r="294" spans="5:8" s="48" customFormat="1" x14ac:dyDescent="0.2">
      <c r="E294"/>
      <c r="F294"/>
      <c r="G294"/>
      <c r="H294"/>
    </row>
    <row r="295" spans="5:8" s="48" customFormat="1" x14ac:dyDescent="0.2">
      <c r="E295"/>
      <c r="F295"/>
      <c r="G295"/>
      <c r="H295"/>
    </row>
    <row r="296" spans="5:8" s="48" customFormat="1" x14ac:dyDescent="0.2">
      <c r="E296"/>
      <c r="F296"/>
      <c r="G296"/>
      <c r="H296"/>
    </row>
    <row r="297" spans="5:8" s="48" customFormat="1" x14ac:dyDescent="0.2">
      <c r="E297"/>
      <c r="F297"/>
      <c r="G297"/>
      <c r="H297"/>
    </row>
    <row r="298" spans="5:8" s="48" customFormat="1" x14ac:dyDescent="0.2">
      <c r="E298"/>
      <c r="F298"/>
      <c r="G298"/>
      <c r="H298"/>
    </row>
    <row r="299" spans="5:8" s="48" customFormat="1" x14ac:dyDescent="0.2">
      <c r="E299"/>
      <c r="F299"/>
      <c r="G299"/>
      <c r="H299"/>
    </row>
    <row r="300" spans="5:8" s="48" customFormat="1" x14ac:dyDescent="0.2">
      <c r="E300"/>
      <c r="F300"/>
      <c r="G300"/>
      <c r="H300"/>
    </row>
    <row r="301" spans="5:8" s="48" customFormat="1" x14ac:dyDescent="0.2">
      <c r="E301"/>
      <c r="F301"/>
      <c r="G301"/>
      <c r="H301"/>
    </row>
    <row r="302" spans="5:8" s="48" customFormat="1" x14ac:dyDescent="0.2">
      <c r="E302"/>
      <c r="F302"/>
      <c r="G302"/>
      <c r="H302"/>
    </row>
    <row r="303" spans="5:8" s="48" customFormat="1" x14ac:dyDescent="0.2">
      <c r="E303"/>
      <c r="F303"/>
      <c r="G303"/>
      <c r="H303"/>
    </row>
  </sheetData>
  <mergeCells count="8">
    <mergeCell ref="E3:H3"/>
    <mergeCell ref="A34:B34"/>
    <mergeCell ref="A42:B42"/>
    <mergeCell ref="A49:B49"/>
    <mergeCell ref="A44:B44"/>
    <mergeCell ref="A3:B3"/>
    <mergeCell ref="A5:B5"/>
    <mergeCell ref="A4:B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04499-5B98-475D-A8C2-A2102FBEED6C}">
  <sheetPr>
    <pageSetUpPr fitToPage="1"/>
  </sheetPr>
  <dimension ref="A1:BB286"/>
  <sheetViews>
    <sheetView zoomScaleNormal="100" workbookViewId="0">
      <selection activeCell="G8" sqref="G8:H9"/>
    </sheetView>
  </sheetViews>
  <sheetFormatPr defaultRowHeight="12.75" x14ac:dyDescent="0.2"/>
  <cols>
    <col min="1" max="1" width="30.5703125" customWidth="1"/>
    <col min="2" max="2" width="15.7109375" bestFit="1" customWidth="1"/>
    <col min="3" max="3" width="13.7109375" customWidth="1"/>
    <col min="4" max="4" width="13" customWidth="1"/>
    <col min="5" max="5" width="15.42578125" customWidth="1"/>
    <col min="6" max="6" width="14.28515625" customWidth="1"/>
    <col min="7" max="7" width="17.5703125" bestFit="1" customWidth="1"/>
    <col min="8" max="8" width="7.85546875" customWidth="1"/>
    <col min="9" max="9" width="11.7109375" customWidth="1"/>
    <col min="10" max="10" width="13.28515625" customWidth="1"/>
    <col min="11" max="11" width="7.7109375" customWidth="1"/>
    <col min="12" max="12" width="12.7109375" customWidth="1"/>
    <col min="13" max="13" width="18" customWidth="1"/>
    <col min="14" max="14" width="22.28515625" customWidth="1"/>
  </cols>
  <sheetData>
    <row r="1" spans="1:52" ht="15.75" x14ac:dyDescent="0.2">
      <c r="A1" s="370" t="s">
        <v>149</v>
      </c>
      <c r="B1" s="370"/>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row>
    <row r="2" spans="1:52" ht="15.75" x14ac:dyDescent="0.2">
      <c r="A2" s="229" t="s">
        <v>47</v>
      </c>
      <c r="B2" s="230">
        <f>D28</f>
        <v>4474652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row>
    <row r="3" spans="1:52" ht="15.75" x14ac:dyDescent="0.2">
      <c r="A3" s="229" t="s">
        <v>48</v>
      </c>
      <c r="B3" s="230">
        <f>E28</f>
        <v>2233421.8432464143</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row>
    <row r="4" spans="1:52" ht="13.9" customHeight="1" x14ac:dyDescent="0.3">
      <c r="A4" s="159"/>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row>
    <row r="5" spans="1:52" ht="13.9" customHeight="1" x14ac:dyDescent="0.3">
      <c r="A5" s="48"/>
      <c r="B5" s="48"/>
      <c r="C5" s="48"/>
      <c r="D5" s="48"/>
      <c r="E5" s="48"/>
      <c r="F5" s="85"/>
      <c r="G5" s="85"/>
      <c r="H5" s="85"/>
      <c r="I5" s="85"/>
      <c r="J5" s="85"/>
      <c r="K5" s="85"/>
      <c r="L5" s="86"/>
      <c r="M5" s="86"/>
      <c r="N5" s="86"/>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row>
    <row r="6" spans="1:52" x14ac:dyDescent="0.2">
      <c r="A6" s="357" t="s">
        <v>147</v>
      </c>
      <c r="B6" s="357"/>
      <c r="C6" s="357"/>
      <c r="D6" s="357"/>
      <c r="E6" s="357"/>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row>
    <row r="7" spans="1:52" ht="13.5" thickBot="1" x14ac:dyDescent="0.25">
      <c r="A7" s="3" t="s">
        <v>37</v>
      </c>
      <c r="B7" s="3" t="s">
        <v>42</v>
      </c>
      <c r="C7" s="3" t="s">
        <v>43</v>
      </c>
      <c r="D7" s="3" t="s">
        <v>44</v>
      </c>
      <c r="E7" s="199" t="s">
        <v>148</v>
      </c>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row>
    <row r="8" spans="1:52" ht="13.5" thickTop="1" x14ac:dyDescent="0.2">
      <c r="A8" s="142">
        <v>2026</v>
      </c>
      <c r="B8" s="94">
        <f t="shared" ref="B8:B27" si="0">F34</f>
        <v>1182000</v>
      </c>
      <c r="C8" s="258">
        <f>B34</f>
        <v>33348</v>
      </c>
      <c r="D8" s="96">
        <f>((C8)-(B8))*-1</f>
        <v>1148652</v>
      </c>
      <c r="E8" s="95">
        <f>D8*INDEX(NPV!$C$3:$C$42,MATCH(Maintenance!A8,NPV!$B$3:$B$42,0))</f>
        <v>765395.32807128481</v>
      </c>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row>
    <row r="9" spans="1:52" x14ac:dyDescent="0.2">
      <c r="A9" s="142">
        <f t="shared" ref="A9:A27" si="1">A8+1</f>
        <v>2027</v>
      </c>
      <c r="B9" s="94">
        <f t="shared" si="0"/>
        <v>0</v>
      </c>
      <c r="C9" s="258">
        <f t="shared" ref="C9:C27" si="2">B35</f>
        <v>0</v>
      </c>
      <c r="D9" s="96">
        <f t="shared" ref="D9:D26" si="3">((C9)-(B9))*-1</f>
        <v>0</v>
      </c>
      <c r="E9" s="95">
        <f>D9*INDEX(NPV!$C$3:$C$42,MATCH(Maintenance!A9,NPV!$B$3:$B$42,0))</f>
        <v>0</v>
      </c>
      <c r="F9" s="63"/>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row>
    <row r="10" spans="1:52" x14ac:dyDescent="0.2">
      <c r="A10" s="142">
        <f t="shared" si="1"/>
        <v>2028</v>
      </c>
      <c r="B10" s="94">
        <f t="shared" si="0"/>
        <v>0</v>
      </c>
      <c r="C10" s="258">
        <f t="shared" si="2"/>
        <v>0</v>
      </c>
      <c r="D10" s="96">
        <f t="shared" si="3"/>
        <v>0</v>
      </c>
      <c r="E10" s="95">
        <f>D10*INDEX(NPV!$C$3:$C$42,MATCH(Maintenance!A10,NPV!$B$3:$B$42,0))</f>
        <v>0</v>
      </c>
      <c r="F10" s="63"/>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row>
    <row r="11" spans="1:52" x14ac:dyDescent="0.2">
      <c r="A11" s="142">
        <f t="shared" si="1"/>
        <v>2029</v>
      </c>
      <c r="B11" s="94">
        <f t="shared" si="0"/>
        <v>0</v>
      </c>
      <c r="C11" s="258">
        <f t="shared" si="2"/>
        <v>0</v>
      </c>
      <c r="D11" s="96">
        <f t="shared" si="3"/>
        <v>0</v>
      </c>
      <c r="E11" s="95">
        <f>D11*INDEX(NPV!$C$3:$C$42,MATCH(Maintenance!A11,NPV!$B$3:$B$42,0))</f>
        <v>0</v>
      </c>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row>
    <row r="12" spans="1:52" x14ac:dyDescent="0.2">
      <c r="A12" s="142">
        <f t="shared" si="1"/>
        <v>2030</v>
      </c>
      <c r="B12" s="94">
        <f t="shared" si="0"/>
        <v>1478000</v>
      </c>
      <c r="C12" s="258">
        <f t="shared" si="2"/>
        <v>0</v>
      </c>
      <c r="D12" s="96">
        <f t="shared" si="3"/>
        <v>1478000</v>
      </c>
      <c r="E12" s="95">
        <f>D12*INDEX(NPV!$C$3:$C$42,MATCH(Maintenance!A12,NPV!$B$3:$B$42,0))</f>
        <v>751340.25377511291</v>
      </c>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row>
    <row r="13" spans="1:52" x14ac:dyDescent="0.2">
      <c r="A13" s="142">
        <f t="shared" si="1"/>
        <v>2031</v>
      </c>
      <c r="B13" s="94">
        <f t="shared" si="0"/>
        <v>0</v>
      </c>
      <c r="C13" s="258">
        <f t="shared" si="2"/>
        <v>0</v>
      </c>
      <c r="D13" s="96">
        <f t="shared" si="3"/>
        <v>0</v>
      </c>
      <c r="E13" s="95">
        <f>D13*INDEX(NPV!$C$3:$C$42,MATCH(Maintenance!A13,NPV!$B$3:$B$42,0))</f>
        <v>0</v>
      </c>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row>
    <row r="14" spans="1:52" x14ac:dyDescent="0.2">
      <c r="A14" s="142">
        <f t="shared" si="1"/>
        <v>2032</v>
      </c>
      <c r="B14" s="94">
        <f t="shared" si="0"/>
        <v>0</v>
      </c>
      <c r="C14" s="258">
        <f t="shared" si="2"/>
        <v>0</v>
      </c>
      <c r="D14" s="96">
        <f t="shared" si="3"/>
        <v>0</v>
      </c>
      <c r="E14" s="95">
        <f>D14*INDEX(NPV!$C$3:$C$42,MATCH(Maintenance!A14,NPV!$B$3:$B$42,0))</f>
        <v>0</v>
      </c>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row>
    <row r="15" spans="1:52" ht="14.45" customHeight="1" x14ac:dyDescent="0.2">
      <c r="A15" s="142">
        <f t="shared" si="1"/>
        <v>2033</v>
      </c>
      <c r="B15" s="94">
        <f t="shared" si="0"/>
        <v>0</v>
      </c>
      <c r="C15" s="258">
        <f t="shared" si="2"/>
        <v>0</v>
      </c>
      <c r="D15" s="96">
        <f t="shared" si="3"/>
        <v>0</v>
      </c>
      <c r="E15" s="95">
        <f>D15*INDEX(NPV!$C$3:$C$42,MATCH(Maintenance!A15,NPV!$B$3:$B$42,0))</f>
        <v>0</v>
      </c>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row>
    <row r="16" spans="1:52" x14ac:dyDescent="0.2">
      <c r="A16" s="142">
        <f t="shared" si="1"/>
        <v>2034</v>
      </c>
      <c r="B16" s="94">
        <f t="shared" si="0"/>
        <v>1848000</v>
      </c>
      <c r="C16" s="258">
        <f t="shared" si="2"/>
        <v>0</v>
      </c>
      <c r="D16" s="96">
        <f t="shared" si="3"/>
        <v>1848000</v>
      </c>
      <c r="E16" s="95">
        <f>D16*INDEX(NPV!$C$3:$C$42,MATCH(Maintenance!A16,NPV!$B$3:$B$42,0))</f>
        <v>716686.26140001637</v>
      </c>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row>
    <row r="17" spans="1:50" x14ac:dyDescent="0.2">
      <c r="A17" s="142">
        <f t="shared" si="1"/>
        <v>2035</v>
      </c>
      <c r="B17" s="94">
        <f t="shared" si="0"/>
        <v>0</v>
      </c>
      <c r="C17" s="258">
        <f t="shared" si="2"/>
        <v>0</v>
      </c>
      <c r="D17" s="96">
        <f t="shared" si="3"/>
        <v>0</v>
      </c>
      <c r="E17" s="95">
        <f>D17*INDEX(NPV!$C$3:$C$42,MATCH(Maintenance!A17,NPV!$B$3:$B$42,0))</f>
        <v>0</v>
      </c>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row>
    <row r="18" spans="1:50" ht="14.45" customHeight="1" x14ac:dyDescent="0.2">
      <c r="A18" s="142">
        <f t="shared" si="1"/>
        <v>2036</v>
      </c>
      <c r="B18" s="94">
        <f t="shared" si="0"/>
        <v>0</v>
      </c>
      <c r="C18" s="258">
        <f t="shared" si="2"/>
        <v>0</v>
      </c>
      <c r="D18" s="96">
        <f t="shared" si="3"/>
        <v>0</v>
      </c>
      <c r="E18" s="95">
        <f>D18*INDEX(NPV!$C$3:$C$42,MATCH(Maintenance!A18,NPV!$B$3:$B$42,0))</f>
        <v>0</v>
      </c>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row>
    <row r="19" spans="1:50" x14ac:dyDescent="0.2">
      <c r="A19" s="142">
        <f t="shared" si="1"/>
        <v>2037</v>
      </c>
      <c r="B19" s="94">
        <f t="shared" si="0"/>
        <v>0</v>
      </c>
      <c r="C19" s="258">
        <f t="shared" si="2"/>
        <v>0</v>
      </c>
      <c r="D19" s="96">
        <f t="shared" si="3"/>
        <v>0</v>
      </c>
      <c r="E19" s="95">
        <f>D19*INDEX(NPV!$C$3:$C$42,MATCH(Maintenance!A19,NPV!$B$3:$B$42,0))</f>
        <v>0</v>
      </c>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row>
    <row r="20" spans="1:50" ht="12.75" customHeight="1" x14ac:dyDescent="0.2">
      <c r="A20" s="142">
        <f t="shared" si="1"/>
        <v>2038</v>
      </c>
      <c r="B20" s="94">
        <f t="shared" si="0"/>
        <v>0</v>
      </c>
      <c r="C20" s="258">
        <f t="shared" si="2"/>
        <v>0</v>
      </c>
      <c r="D20" s="96">
        <f t="shared" si="3"/>
        <v>0</v>
      </c>
      <c r="E20" s="95">
        <f>D20*INDEX(NPV!$C$3:$C$42,MATCH(Maintenance!A20,NPV!$B$3:$B$42,0))</f>
        <v>0</v>
      </c>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row>
    <row r="21" spans="1:50" x14ac:dyDescent="0.2">
      <c r="A21" s="142">
        <f t="shared" si="1"/>
        <v>2039</v>
      </c>
      <c r="B21" s="94">
        <f t="shared" si="0"/>
        <v>0</v>
      </c>
      <c r="C21" s="258">
        <f t="shared" si="2"/>
        <v>0</v>
      </c>
      <c r="D21" s="96">
        <f t="shared" si="3"/>
        <v>0</v>
      </c>
      <c r="E21" s="95">
        <f>D21*INDEX(NPV!$C$3:$C$42,MATCH(Maintenance!A21,NPV!$B$3:$B$42,0))</f>
        <v>0</v>
      </c>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row>
    <row r="22" spans="1:50" x14ac:dyDescent="0.2">
      <c r="A22" s="142">
        <f t="shared" si="1"/>
        <v>2040</v>
      </c>
      <c r="B22" s="94">
        <f t="shared" si="0"/>
        <v>0</v>
      </c>
      <c r="C22" s="258">
        <f t="shared" si="2"/>
        <v>0</v>
      </c>
      <c r="D22" s="96">
        <f t="shared" si="3"/>
        <v>0</v>
      </c>
      <c r="E22" s="95">
        <f>D22*INDEX(NPV!$C$3:$C$42,MATCH(Maintenance!A22,NPV!$B$3:$B$42,0))</f>
        <v>0</v>
      </c>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row>
    <row r="23" spans="1:50" x14ac:dyDescent="0.2">
      <c r="A23" s="142">
        <f t="shared" si="1"/>
        <v>2041</v>
      </c>
      <c r="B23" s="94">
        <f t="shared" si="0"/>
        <v>0</v>
      </c>
      <c r="C23" s="258">
        <f t="shared" si="2"/>
        <v>0</v>
      </c>
      <c r="D23" s="96">
        <f t="shared" si="3"/>
        <v>0</v>
      </c>
      <c r="E23" s="95">
        <f>D23*INDEX(NPV!$C$3:$C$42,MATCH(Maintenance!A23,NPV!$B$3:$B$42,0))</f>
        <v>0</v>
      </c>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row>
    <row r="24" spans="1:50" x14ac:dyDescent="0.2">
      <c r="A24" s="142">
        <f t="shared" si="1"/>
        <v>2042</v>
      </c>
      <c r="B24" s="94">
        <f t="shared" si="0"/>
        <v>0</v>
      </c>
      <c r="C24" s="258">
        <f t="shared" si="2"/>
        <v>0</v>
      </c>
      <c r="D24" s="96">
        <f t="shared" si="3"/>
        <v>0</v>
      </c>
      <c r="E24" s="95">
        <f>D24*INDEX(NPV!$C$3:$C$42,MATCH(Maintenance!A24,NPV!$B$3:$B$42,0))</f>
        <v>0</v>
      </c>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row>
    <row r="25" spans="1:50" x14ac:dyDescent="0.2">
      <c r="A25" s="142">
        <f t="shared" si="1"/>
        <v>2043</v>
      </c>
      <c r="B25" s="94">
        <f t="shared" si="0"/>
        <v>0</v>
      </c>
      <c r="C25" s="258">
        <f t="shared" si="2"/>
        <v>0</v>
      </c>
      <c r="D25" s="96">
        <f t="shared" si="3"/>
        <v>0</v>
      </c>
      <c r="E25" s="95">
        <f>D25*INDEX(NPV!$C$3:$C$42,MATCH(Maintenance!A25,NPV!$B$3:$B$42,0))</f>
        <v>0</v>
      </c>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row>
    <row r="26" spans="1:50" x14ac:dyDescent="0.2">
      <c r="A26" s="142">
        <f t="shared" si="1"/>
        <v>2044</v>
      </c>
      <c r="B26" s="94">
        <f t="shared" si="0"/>
        <v>0</v>
      </c>
      <c r="C26" s="258">
        <f t="shared" si="2"/>
        <v>0</v>
      </c>
      <c r="D26" s="96">
        <f t="shared" si="3"/>
        <v>0</v>
      </c>
      <c r="E26" s="95">
        <f>D26*INDEX(NPV!$C$3:$C$42,MATCH(Maintenance!A26,NPV!$B$3:$B$42,0))</f>
        <v>0</v>
      </c>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row>
    <row r="27" spans="1:50" ht="13.5" thickBot="1" x14ac:dyDescent="0.25">
      <c r="A27" s="143">
        <f t="shared" si="1"/>
        <v>2045</v>
      </c>
      <c r="B27" s="97">
        <f t="shared" si="0"/>
        <v>0</v>
      </c>
      <c r="C27" s="99">
        <f t="shared" si="2"/>
        <v>0</v>
      </c>
      <c r="D27" s="98">
        <f>((C27)-(B27))*-1</f>
        <v>0</v>
      </c>
      <c r="E27" s="99">
        <f>D27*INDEX(NPV!$C$3:$C$42,MATCH(Maintenance!A27,NPV!$B$3:$B$42,0))</f>
        <v>0</v>
      </c>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row>
    <row r="28" spans="1:50" ht="13.5" thickTop="1" x14ac:dyDescent="0.2">
      <c r="A28" s="237" t="s">
        <v>16</v>
      </c>
      <c r="B28" s="100">
        <f>SUM(B8:B27)</f>
        <v>4508000</v>
      </c>
      <c r="C28" s="259">
        <f>SUM(C8:C27)</f>
        <v>33348</v>
      </c>
      <c r="D28" s="100">
        <f>SUM(D8:D27)</f>
        <v>4474652</v>
      </c>
      <c r="E28" s="259">
        <f>SUM(E8:E27)</f>
        <v>2233421.8432464143</v>
      </c>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row>
    <row r="29" spans="1:50" x14ac:dyDescent="0.2">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50" x14ac:dyDescent="0.2">
      <c r="A30" s="371"/>
      <c r="B30" s="371"/>
      <c r="C30" s="371"/>
      <c r="D30" s="371"/>
      <c r="E30" s="371"/>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50" x14ac:dyDescent="0.2">
      <c r="A31" s="356" t="s">
        <v>51</v>
      </c>
      <c r="B31" s="368"/>
      <c r="C31" s="369"/>
      <c r="D31" s="60"/>
      <c r="E31" s="356" t="s">
        <v>50</v>
      </c>
      <c r="F31" s="368"/>
      <c r="G31" s="369"/>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row>
    <row r="32" spans="1:50" ht="12.75" customHeight="1" x14ac:dyDescent="0.2">
      <c r="A32" s="372" t="s">
        <v>37</v>
      </c>
      <c r="B32" s="372" t="s">
        <v>146</v>
      </c>
      <c r="C32" s="372" t="s">
        <v>208</v>
      </c>
      <c r="D32" s="60"/>
      <c r="E32" s="374" t="s">
        <v>37</v>
      </c>
      <c r="F32" s="374" t="s">
        <v>146</v>
      </c>
      <c r="G32" s="374" t="s">
        <v>208</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row>
    <row r="33" spans="1:54" x14ac:dyDescent="0.2">
      <c r="A33" s="373"/>
      <c r="B33" s="373"/>
      <c r="C33" s="373"/>
      <c r="D33" s="60"/>
      <c r="E33" s="373"/>
      <c r="F33" s="373"/>
      <c r="G33" s="373"/>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row>
    <row r="34" spans="1:54" x14ac:dyDescent="0.2">
      <c r="A34" s="35">
        <f>A8</f>
        <v>2026</v>
      </c>
      <c r="B34" s="260">
        <f>F66</f>
        <v>33348</v>
      </c>
      <c r="C34" s="269" t="s">
        <v>207</v>
      </c>
      <c r="D34" s="74"/>
      <c r="E34" s="35">
        <f t="shared" ref="E34:E53" si="4">A34</f>
        <v>2026</v>
      </c>
      <c r="F34" s="261">
        <f>ROUNDUP(($B$75*(1+$K$58))*(1+$K$58),-3)</f>
        <v>1182000</v>
      </c>
      <c r="G34" s="269" t="s">
        <v>210</v>
      </c>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row>
    <row r="35" spans="1:54" x14ac:dyDescent="0.2">
      <c r="A35" s="35">
        <f>A34+1</f>
        <v>2027</v>
      </c>
      <c r="B35" s="225"/>
      <c r="C35" s="270"/>
      <c r="D35" s="74"/>
      <c r="E35" s="35">
        <f t="shared" si="4"/>
        <v>2027</v>
      </c>
      <c r="F35" s="225"/>
      <c r="G35" s="270"/>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row>
    <row r="36" spans="1:54" x14ac:dyDescent="0.2">
      <c r="A36" s="35">
        <f t="shared" ref="A36:A53" si="5">A35+1</f>
        <v>2028</v>
      </c>
      <c r="B36" s="225"/>
      <c r="C36" s="270"/>
      <c r="D36" s="60"/>
      <c r="E36" s="35">
        <f t="shared" si="4"/>
        <v>2028</v>
      </c>
      <c r="F36" s="261"/>
      <c r="G36" s="269"/>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row>
    <row r="37" spans="1:54" x14ac:dyDescent="0.2">
      <c r="A37" s="35">
        <f t="shared" si="5"/>
        <v>2029</v>
      </c>
      <c r="B37" s="225"/>
      <c r="C37" s="270"/>
      <c r="D37" s="60"/>
      <c r="E37" s="35">
        <f t="shared" si="4"/>
        <v>2029</v>
      </c>
      <c r="F37" s="225"/>
      <c r="G37" s="270"/>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row>
    <row r="38" spans="1:54" ht="16.5" x14ac:dyDescent="0.3">
      <c r="A38" s="35">
        <f t="shared" si="5"/>
        <v>2030</v>
      </c>
      <c r="B38" s="225"/>
      <c r="C38" s="270"/>
      <c r="D38" s="60"/>
      <c r="E38" s="35">
        <f t="shared" si="4"/>
        <v>2030</v>
      </c>
      <c r="F38" s="261">
        <f>ROUNDUP((F34*(1+$K$58)),-3)</f>
        <v>1478000</v>
      </c>
      <c r="G38" s="269" t="s">
        <v>211</v>
      </c>
      <c r="H38" s="257"/>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row>
    <row r="39" spans="1:54" x14ac:dyDescent="0.2">
      <c r="A39" s="35">
        <f t="shared" si="5"/>
        <v>2031</v>
      </c>
      <c r="B39" s="225"/>
      <c r="C39" s="270"/>
      <c r="D39" s="60"/>
      <c r="E39" s="35">
        <f t="shared" si="4"/>
        <v>2031</v>
      </c>
      <c r="F39" s="225"/>
      <c r="G39" s="270"/>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row>
    <row r="40" spans="1:54" x14ac:dyDescent="0.2">
      <c r="A40" s="35">
        <f t="shared" si="5"/>
        <v>2032</v>
      </c>
      <c r="B40" s="225"/>
      <c r="C40" s="270"/>
      <c r="D40" s="60"/>
      <c r="E40" s="35">
        <f t="shared" si="4"/>
        <v>2032</v>
      </c>
      <c r="F40" s="225"/>
      <c r="G40" s="270"/>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row>
    <row r="41" spans="1:54" x14ac:dyDescent="0.2">
      <c r="A41" s="35">
        <f t="shared" si="5"/>
        <v>2033</v>
      </c>
      <c r="B41" s="225"/>
      <c r="C41" s="270"/>
      <c r="D41" s="60"/>
      <c r="E41" s="35">
        <f t="shared" si="4"/>
        <v>2033</v>
      </c>
      <c r="F41" s="261"/>
      <c r="G41" s="269"/>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row>
    <row r="42" spans="1:54" x14ac:dyDescent="0.2">
      <c r="A42" s="35">
        <f t="shared" si="5"/>
        <v>2034</v>
      </c>
      <c r="B42" s="225"/>
      <c r="C42" s="270"/>
      <c r="D42" s="60"/>
      <c r="E42" s="35">
        <f t="shared" si="4"/>
        <v>2034</v>
      </c>
      <c r="F42" s="261">
        <f>ROUNDUP((F38*(1+$K$58)),-3)</f>
        <v>1848000</v>
      </c>
      <c r="G42" s="269" t="s">
        <v>212</v>
      </c>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row>
    <row r="43" spans="1:54" x14ac:dyDescent="0.2">
      <c r="A43" s="35">
        <f t="shared" si="5"/>
        <v>2035</v>
      </c>
      <c r="B43" s="225"/>
      <c r="C43" s="270"/>
      <c r="D43" s="60"/>
      <c r="E43" s="35">
        <f t="shared" si="4"/>
        <v>2035</v>
      </c>
      <c r="F43" s="225"/>
      <c r="G43" s="270"/>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row>
    <row r="44" spans="1:54" x14ac:dyDescent="0.2">
      <c r="A44" s="35">
        <f t="shared" si="5"/>
        <v>2036</v>
      </c>
      <c r="B44" s="225"/>
      <c r="C44" s="270"/>
      <c r="D44" s="60"/>
      <c r="E44" s="35">
        <f t="shared" si="4"/>
        <v>2036</v>
      </c>
      <c r="F44" s="225"/>
      <c r="G44" s="270"/>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row>
    <row r="45" spans="1:54" x14ac:dyDescent="0.2">
      <c r="A45" s="35">
        <f t="shared" si="5"/>
        <v>2037</v>
      </c>
      <c r="B45" s="225"/>
      <c r="C45" s="270"/>
      <c r="D45" s="60"/>
      <c r="E45" s="35">
        <f t="shared" si="4"/>
        <v>2037</v>
      </c>
      <c r="F45" s="225"/>
      <c r="G45" s="270"/>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1:54" x14ac:dyDescent="0.2">
      <c r="A46" s="35">
        <f t="shared" si="5"/>
        <v>2038</v>
      </c>
      <c r="B46" s="225"/>
      <c r="C46" s="270"/>
      <c r="D46" s="60"/>
      <c r="E46" s="35">
        <f t="shared" si="4"/>
        <v>2038</v>
      </c>
      <c r="F46" s="269"/>
      <c r="G46" s="269" t="s">
        <v>186</v>
      </c>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1:54" x14ac:dyDescent="0.2">
      <c r="A47" s="35">
        <f t="shared" si="5"/>
        <v>2039</v>
      </c>
      <c r="B47" s="225"/>
      <c r="C47" s="270"/>
      <c r="D47" s="60"/>
      <c r="E47" s="35">
        <f t="shared" si="4"/>
        <v>2039</v>
      </c>
      <c r="F47" s="270"/>
      <c r="G47" s="269" t="s">
        <v>186</v>
      </c>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row>
    <row r="48" spans="1:54" x14ac:dyDescent="0.2">
      <c r="A48" s="35">
        <f t="shared" si="5"/>
        <v>2040</v>
      </c>
      <c r="B48" s="225"/>
      <c r="C48" s="270"/>
      <c r="D48" s="60"/>
      <c r="E48" s="35">
        <f t="shared" si="4"/>
        <v>2040</v>
      </c>
      <c r="F48" s="270"/>
      <c r="G48" s="269" t="s">
        <v>186</v>
      </c>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row>
    <row r="49" spans="1:54" x14ac:dyDescent="0.2">
      <c r="A49" s="35">
        <f t="shared" si="5"/>
        <v>2041</v>
      </c>
      <c r="B49" s="225"/>
      <c r="C49" s="270"/>
      <c r="D49" s="60"/>
      <c r="E49" s="35">
        <f t="shared" si="4"/>
        <v>2041</v>
      </c>
      <c r="F49" s="270"/>
      <c r="G49" s="269" t="s">
        <v>186</v>
      </c>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row>
    <row r="50" spans="1:54" x14ac:dyDescent="0.2">
      <c r="A50" s="35">
        <f t="shared" si="5"/>
        <v>2042</v>
      </c>
      <c r="B50" s="225"/>
      <c r="C50" s="270"/>
      <c r="D50" s="60"/>
      <c r="E50" s="35">
        <f t="shared" si="4"/>
        <v>2042</v>
      </c>
      <c r="F50" s="270"/>
      <c r="G50" s="269" t="s">
        <v>186</v>
      </c>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row>
    <row r="51" spans="1:54" x14ac:dyDescent="0.2">
      <c r="A51" s="35">
        <f t="shared" si="5"/>
        <v>2043</v>
      </c>
      <c r="B51" s="225"/>
      <c r="C51" s="270"/>
      <c r="D51" s="60"/>
      <c r="E51" s="35">
        <f t="shared" si="4"/>
        <v>2043</v>
      </c>
      <c r="F51" s="269"/>
      <c r="G51" s="269" t="s">
        <v>186</v>
      </c>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row>
    <row r="52" spans="1:54" x14ac:dyDescent="0.2">
      <c r="A52" s="35">
        <f t="shared" si="5"/>
        <v>2044</v>
      </c>
      <c r="B52" s="225"/>
      <c r="C52" s="270"/>
      <c r="D52" s="60"/>
      <c r="E52" s="35">
        <f t="shared" si="4"/>
        <v>2044</v>
      </c>
      <c r="F52" s="270"/>
      <c r="G52" s="269" t="s">
        <v>186</v>
      </c>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row>
    <row r="53" spans="1:54" ht="13.5" thickBot="1" x14ac:dyDescent="0.25">
      <c r="A53" s="39">
        <f t="shared" si="5"/>
        <v>2045</v>
      </c>
      <c r="B53" s="226"/>
      <c r="C53" s="271"/>
      <c r="D53" s="60"/>
      <c r="E53" s="39">
        <f t="shared" si="4"/>
        <v>2045</v>
      </c>
      <c r="F53" s="271"/>
      <c r="G53" s="286" t="s">
        <v>186</v>
      </c>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row>
    <row r="54" spans="1:54" ht="13.5" thickTop="1" x14ac:dyDescent="0.2">
      <c r="A54" s="236" t="s">
        <v>16</v>
      </c>
      <c r="B54" s="307">
        <f>SUM(B34:B53)</f>
        <v>33348</v>
      </c>
      <c r="C54" s="227"/>
      <c r="D54" s="60"/>
      <c r="E54" s="236" t="s">
        <v>16</v>
      </c>
      <c r="F54" s="307">
        <f>SUM(F34:F53)</f>
        <v>4508000</v>
      </c>
      <c r="G54" s="227"/>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row>
    <row r="55" spans="1:54" ht="13.5" x14ac:dyDescent="0.2">
      <c r="A55" s="361" t="s">
        <v>45</v>
      </c>
      <c r="B55" s="362"/>
      <c r="C55" s="363"/>
      <c r="D55" s="60"/>
      <c r="E55" s="361" t="s">
        <v>45</v>
      </c>
      <c r="F55" s="362"/>
      <c r="G55" s="363"/>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row>
    <row r="56" spans="1:54" x14ac:dyDescent="0.2">
      <c r="A56" s="48"/>
      <c r="B56" s="48"/>
      <c r="C56" s="48"/>
      <c r="D56" s="48"/>
      <c r="E56" s="63" t="s">
        <v>213</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row>
    <row r="57" spans="1:54" x14ac:dyDescent="0.2">
      <c r="A57" s="48"/>
      <c r="B57" s="48"/>
      <c r="C57" s="48"/>
      <c r="D57" s="48"/>
      <c r="E57" s="63" t="s">
        <v>231</v>
      </c>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row>
    <row r="58" spans="1:54" x14ac:dyDescent="0.2">
      <c r="A58" s="48"/>
      <c r="B58" s="48"/>
      <c r="C58" s="48"/>
      <c r="D58" s="48"/>
      <c r="E58" s="63" t="s">
        <v>209</v>
      </c>
      <c r="F58" s="48"/>
      <c r="G58" s="48"/>
      <c r="H58" s="48"/>
      <c r="I58" s="48"/>
      <c r="J58" s="48"/>
      <c r="K58" s="267">
        <v>0.25</v>
      </c>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row>
    <row r="59" spans="1:54" x14ac:dyDescent="0.2">
      <c r="A59" s="48"/>
      <c r="B59" s="48"/>
      <c r="C59" s="48"/>
      <c r="D59" s="48"/>
      <c r="E59" s="63"/>
      <c r="F59" s="48"/>
      <c r="G59" s="48"/>
      <c r="H59" s="48"/>
      <c r="I59" s="48"/>
      <c r="J59" s="48"/>
      <c r="K59" s="267"/>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row>
    <row r="60" spans="1:54" x14ac:dyDescent="0.2">
      <c r="A60" s="356" t="s">
        <v>204</v>
      </c>
      <c r="B60" s="368"/>
      <c r="C60" s="368"/>
      <c r="D60" s="368"/>
      <c r="E60" s="368"/>
      <c r="F60" s="369"/>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row>
    <row r="61" spans="1:54" ht="25.5" x14ac:dyDescent="0.2">
      <c r="A61" s="280" t="s">
        <v>180</v>
      </c>
      <c r="B61" s="266" t="s">
        <v>205</v>
      </c>
      <c r="C61" s="266" t="s">
        <v>206</v>
      </c>
      <c r="D61" s="266" t="s">
        <v>181</v>
      </c>
      <c r="E61" s="266" t="s">
        <v>182</v>
      </c>
      <c r="F61" s="266" t="s">
        <v>183</v>
      </c>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row>
    <row r="62" spans="1:54" x14ac:dyDescent="0.2">
      <c r="A62" s="35" t="s">
        <v>198</v>
      </c>
      <c r="B62" s="282">
        <v>197</v>
      </c>
      <c r="C62" s="282">
        <v>42</v>
      </c>
      <c r="D62" s="282">
        <f>B62*C62</f>
        <v>8274</v>
      </c>
      <c r="E62" s="225">
        <v>1</v>
      </c>
      <c r="F62" s="261">
        <f>E62*D62</f>
        <v>8274</v>
      </c>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row>
    <row r="63" spans="1:54" x14ac:dyDescent="0.2">
      <c r="A63" s="35" t="s">
        <v>199</v>
      </c>
      <c r="B63" s="282">
        <v>168</v>
      </c>
      <c r="C63" s="282">
        <v>50</v>
      </c>
      <c r="D63" s="282">
        <f t="shared" ref="D63:D65" si="6">B63*C63</f>
        <v>8400</v>
      </c>
      <c r="E63" s="225">
        <v>1</v>
      </c>
      <c r="F63" s="261">
        <f t="shared" ref="F63:F65" si="7">E63*D63</f>
        <v>8400</v>
      </c>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row>
    <row r="64" spans="1:54" x14ac:dyDescent="0.2">
      <c r="A64" s="35" t="s">
        <v>200</v>
      </c>
      <c r="B64" s="282">
        <v>197</v>
      </c>
      <c r="C64" s="282">
        <v>42</v>
      </c>
      <c r="D64" s="282">
        <f t="shared" si="6"/>
        <v>8274</v>
      </c>
      <c r="E64" s="225">
        <v>1</v>
      </c>
      <c r="F64" s="261">
        <f t="shared" si="7"/>
        <v>8274</v>
      </c>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row>
    <row r="65" spans="1:52" ht="13.5" thickBot="1" x14ac:dyDescent="0.25">
      <c r="A65" s="274" t="s">
        <v>201</v>
      </c>
      <c r="B65" s="285">
        <v>168</v>
      </c>
      <c r="C65" s="285">
        <v>50</v>
      </c>
      <c r="D65" s="285">
        <f t="shared" si="6"/>
        <v>8400</v>
      </c>
      <c r="E65" s="226">
        <v>1</v>
      </c>
      <c r="F65" s="308">
        <f t="shared" si="7"/>
        <v>8400</v>
      </c>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row>
    <row r="66" spans="1:52" ht="13.5" thickTop="1" x14ac:dyDescent="0.2">
      <c r="A66" s="366" t="s">
        <v>16</v>
      </c>
      <c r="B66" s="367"/>
      <c r="C66" s="367"/>
      <c r="D66" s="367"/>
      <c r="E66" s="367"/>
      <c r="F66" s="309">
        <f>SUM(F62:F65)</f>
        <v>33348</v>
      </c>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row>
    <row r="67" spans="1:52" ht="13.9" customHeight="1" x14ac:dyDescent="0.2">
      <c r="A67" s="364" t="s">
        <v>45</v>
      </c>
      <c r="B67" s="375"/>
      <c r="C67" s="375"/>
      <c r="D67" s="375"/>
      <c r="E67" s="375"/>
      <c r="F67" s="365"/>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row>
    <row r="68" spans="1:52" ht="16.5" x14ac:dyDescent="0.3">
      <c r="A68" s="48"/>
      <c r="B68" s="48"/>
      <c r="C68" s="8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row>
    <row r="69" spans="1:52" ht="16.5" x14ac:dyDescent="0.3">
      <c r="A69" s="358" t="s">
        <v>188</v>
      </c>
      <c r="B69" s="359"/>
      <c r="C69" s="8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row>
    <row r="70" spans="1:52" ht="16.5" x14ac:dyDescent="0.3">
      <c r="A70" s="280" t="s">
        <v>180</v>
      </c>
      <c r="B70" s="280" t="s">
        <v>230</v>
      </c>
      <c r="C70" s="8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row>
    <row r="71" spans="1:52" ht="14.45" customHeight="1" x14ac:dyDescent="0.3">
      <c r="A71" s="35" t="s">
        <v>198</v>
      </c>
      <c r="B71" s="225">
        <v>261797.71</v>
      </c>
      <c r="C71" s="306"/>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row>
    <row r="72" spans="1:52" ht="14.45" customHeight="1" x14ac:dyDescent="0.3">
      <c r="A72" s="35" t="s">
        <v>199</v>
      </c>
      <c r="B72" s="225">
        <v>205552.34</v>
      </c>
      <c r="C72" s="306"/>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row>
    <row r="73" spans="1:52" ht="14.45" customHeight="1" x14ac:dyDescent="0.3">
      <c r="A73" s="35" t="s">
        <v>200</v>
      </c>
      <c r="B73" s="225">
        <v>128724.08</v>
      </c>
      <c r="C73" s="306"/>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row>
    <row r="74" spans="1:52" ht="15" customHeight="1" thickBot="1" x14ac:dyDescent="0.35">
      <c r="A74" s="274" t="s">
        <v>201</v>
      </c>
      <c r="B74" s="226">
        <v>159923.12</v>
      </c>
      <c r="C74" s="306"/>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row>
    <row r="75" spans="1:52" ht="17.25" thickTop="1" x14ac:dyDescent="0.3">
      <c r="A75" s="283" t="s">
        <v>16</v>
      </c>
      <c r="B75" s="284">
        <f>SUM(B71:B74)</f>
        <v>755997.25</v>
      </c>
      <c r="C75" s="8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row>
    <row r="76" spans="1:52" x14ac:dyDescent="0.2">
      <c r="A76" s="364" t="s">
        <v>187</v>
      </c>
      <c r="B76" s="365"/>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row>
    <row r="77" spans="1:52" x14ac:dyDescent="0.2">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row>
    <row r="78" spans="1:52" x14ac:dyDescent="0.2">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row>
    <row r="79" spans="1:52" x14ac:dyDescent="0.2">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row>
    <row r="80" spans="1:52" x14ac:dyDescent="0.2">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row>
    <row r="81" spans="1:52" x14ac:dyDescent="0.2">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row>
    <row r="82" spans="1:52" x14ac:dyDescent="0.2">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row>
    <row r="83" spans="1:52" x14ac:dyDescent="0.2">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row>
    <row r="84" spans="1:52" x14ac:dyDescent="0.2">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row>
    <row r="85" spans="1:52" x14ac:dyDescent="0.2">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row>
    <row r="86" spans="1:52" x14ac:dyDescent="0.2">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row>
    <row r="87" spans="1:52" x14ac:dyDescent="0.2">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row>
    <row r="88" spans="1:52" x14ac:dyDescent="0.2">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row>
    <row r="89" spans="1:52" x14ac:dyDescent="0.2">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row>
    <row r="90" spans="1:52" x14ac:dyDescent="0.2">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row>
    <row r="91" spans="1:52" x14ac:dyDescent="0.2">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row>
    <row r="92" spans="1:52" x14ac:dyDescent="0.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row>
    <row r="93" spans="1:52" x14ac:dyDescent="0.2">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row>
    <row r="94" spans="1:52" x14ac:dyDescent="0.2">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row>
    <row r="95" spans="1:52" x14ac:dyDescent="0.2">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row>
    <row r="96" spans="1:52" x14ac:dyDescent="0.2">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row>
    <row r="97" spans="1:52" x14ac:dyDescent="0.2">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row>
    <row r="98" spans="1:52" x14ac:dyDescent="0.2">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row>
    <row r="99" spans="1:52" x14ac:dyDescent="0.2">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row>
    <row r="100" spans="1:52" x14ac:dyDescent="0.2">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row>
    <row r="101" spans="1:52" x14ac:dyDescent="0.2">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row>
    <row r="102" spans="1:52" x14ac:dyDescent="0.2">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row>
    <row r="103" spans="1:52" x14ac:dyDescent="0.2">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row>
    <row r="104" spans="1:52" x14ac:dyDescent="0.2">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row>
    <row r="105" spans="1:52" x14ac:dyDescent="0.2">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row>
    <row r="106" spans="1:52" x14ac:dyDescent="0.2">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row>
    <row r="107" spans="1:52" x14ac:dyDescent="0.2">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row>
    <row r="108" spans="1:52" x14ac:dyDescent="0.2">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row>
    <row r="109" spans="1:52" x14ac:dyDescent="0.2">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row>
    <row r="110" spans="1:52" x14ac:dyDescent="0.2">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row>
    <row r="111" spans="1:52" x14ac:dyDescent="0.2">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row>
    <row r="112" spans="1:52" x14ac:dyDescent="0.2">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row>
    <row r="113" spans="1:52" x14ac:dyDescent="0.2">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row>
    <row r="114" spans="1:52" x14ac:dyDescent="0.2">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row>
    <row r="115" spans="1:52" x14ac:dyDescent="0.2">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row>
    <row r="116" spans="1:52" x14ac:dyDescent="0.2">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row>
    <row r="117" spans="1:52" x14ac:dyDescent="0.2">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row>
    <row r="118" spans="1:52" x14ac:dyDescent="0.2">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row>
    <row r="119" spans="1:52" x14ac:dyDescent="0.2">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row>
    <row r="120" spans="1:52" x14ac:dyDescent="0.2">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row>
    <row r="121" spans="1:52" x14ac:dyDescent="0.2">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row>
    <row r="122" spans="1:52" x14ac:dyDescent="0.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row>
    <row r="123" spans="1:52" x14ac:dyDescent="0.2">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row>
    <row r="124" spans="1:52" x14ac:dyDescent="0.2">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row>
    <row r="125" spans="1:52" x14ac:dyDescent="0.2">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row>
    <row r="126" spans="1:52" x14ac:dyDescent="0.2">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row>
    <row r="127" spans="1:52" x14ac:dyDescent="0.2">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row>
    <row r="128" spans="1:52" x14ac:dyDescent="0.2">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row>
    <row r="129" spans="1:52" x14ac:dyDescent="0.2">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row>
    <row r="130" spans="1:52" x14ac:dyDescent="0.2">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row>
    <row r="131" spans="1:52" x14ac:dyDescent="0.2">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row>
    <row r="132" spans="1:52" x14ac:dyDescent="0.2">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row>
    <row r="133" spans="1:52" x14ac:dyDescent="0.2">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row>
    <row r="134" spans="1:52" x14ac:dyDescent="0.2">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row>
    <row r="135" spans="1:52" x14ac:dyDescent="0.2">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row>
    <row r="136" spans="1:52" x14ac:dyDescent="0.2">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row>
    <row r="137" spans="1:52" x14ac:dyDescent="0.2">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row>
    <row r="138" spans="1:52" x14ac:dyDescent="0.2">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row>
    <row r="139" spans="1:52" x14ac:dyDescent="0.2">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row>
    <row r="140" spans="1:52" x14ac:dyDescent="0.2">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row>
    <row r="141" spans="1:52" x14ac:dyDescent="0.2">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row>
    <row r="142" spans="1:52" x14ac:dyDescent="0.2">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row>
    <row r="143" spans="1:52" x14ac:dyDescent="0.2">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row>
    <row r="144" spans="1:52" x14ac:dyDescent="0.2">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row>
    <row r="145" spans="1:52" x14ac:dyDescent="0.2">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row>
    <row r="146" spans="1:52" x14ac:dyDescent="0.2">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row>
    <row r="147" spans="1:52" x14ac:dyDescent="0.2">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row>
    <row r="148" spans="1:52" x14ac:dyDescent="0.2">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row>
    <row r="149" spans="1:52" x14ac:dyDescent="0.2">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row>
    <row r="150" spans="1:52" x14ac:dyDescent="0.2">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row>
    <row r="151" spans="1:52" x14ac:dyDescent="0.2">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row>
    <row r="152" spans="1:52" x14ac:dyDescent="0.2">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row>
    <row r="153" spans="1:52" x14ac:dyDescent="0.2">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row>
    <row r="154" spans="1:52" x14ac:dyDescent="0.2">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row>
    <row r="155" spans="1:52" x14ac:dyDescent="0.2">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row>
    <row r="156" spans="1:52" x14ac:dyDescent="0.2">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row>
    <row r="157" spans="1:52" x14ac:dyDescent="0.2">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row>
    <row r="158" spans="1:52" x14ac:dyDescent="0.2">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row>
    <row r="159" spans="1:52" x14ac:dyDescent="0.2">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row>
    <row r="160" spans="1:52" x14ac:dyDescent="0.2">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row>
    <row r="161" spans="1:52" x14ac:dyDescent="0.2">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row>
    <row r="162" spans="1:52" x14ac:dyDescent="0.2">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row>
    <row r="163" spans="1:52" x14ac:dyDescent="0.2">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row>
    <row r="164" spans="1:52" x14ac:dyDescent="0.2">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row>
    <row r="165" spans="1:52" x14ac:dyDescent="0.2">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row>
    <row r="166" spans="1:52" x14ac:dyDescent="0.2">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row>
    <row r="167" spans="1:52" x14ac:dyDescent="0.2">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row>
    <row r="168" spans="1:52" x14ac:dyDescent="0.2">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row>
    <row r="169" spans="1:52" x14ac:dyDescent="0.2">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row>
    <row r="170" spans="1:52" x14ac:dyDescent="0.2">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row>
    <row r="171" spans="1:52" x14ac:dyDescent="0.2">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row>
    <row r="172" spans="1:52" x14ac:dyDescent="0.2">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row>
    <row r="173" spans="1:52" x14ac:dyDescent="0.2">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row>
    <row r="174" spans="1:52" x14ac:dyDescent="0.2">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row>
    <row r="175" spans="1:52" x14ac:dyDescent="0.2">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row>
    <row r="176" spans="1:52" x14ac:dyDescent="0.2">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row>
    <row r="177" spans="1:52" x14ac:dyDescent="0.2">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row>
    <row r="178" spans="1:52" x14ac:dyDescent="0.2">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row>
    <row r="179" spans="1:52" x14ac:dyDescent="0.2">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row>
    <row r="180" spans="1:52" x14ac:dyDescent="0.2">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row>
    <row r="181" spans="1:52" x14ac:dyDescent="0.2">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row>
    <row r="182" spans="1:52" x14ac:dyDescent="0.2">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row>
    <row r="183" spans="1:52" x14ac:dyDescent="0.2">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row>
    <row r="184" spans="1:52" x14ac:dyDescent="0.2">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row>
    <row r="185" spans="1:52" x14ac:dyDescent="0.2">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row>
    <row r="186" spans="1:52" x14ac:dyDescent="0.2">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row>
    <row r="187" spans="1:52" x14ac:dyDescent="0.2">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row>
    <row r="188" spans="1:52" x14ac:dyDescent="0.2">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row>
    <row r="189" spans="1:52" x14ac:dyDescent="0.2">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row>
    <row r="190" spans="1:52" x14ac:dyDescent="0.2">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row>
    <row r="191" spans="1:52" x14ac:dyDescent="0.2">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row>
    <row r="192" spans="1:52" x14ac:dyDescent="0.2">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row>
    <row r="193" spans="1:52" x14ac:dyDescent="0.2">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row>
    <row r="194" spans="1:52" x14ac:dyDescent="0.2">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row>
    <row r="195" spans="1:52" x14ac:dyDescent="0.2">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row>
    <row r="196" spans="1:52" x14ac:dyDescent="0.2">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row>
    <row r="197" spans="1:52" x14ac:dyDescent="0.2">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row>
    <row r="198" spans="1:52" x14ac:dyDescent="0.2">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row>
    <row r="199" spans="1:52" x14ac:dyDescent="0.2">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row>
    <row r="200" spans="1:52" x14ac:dyDescent="0.2">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row>
    <row r="201" spans="1:52" x14ac:dyDescent="0.2">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row>
    <row r="202" spans="1:52" x14ac:dyDescent="0.2">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row>
    <row r="203" spans="1:52" x14ac:dyDescent="0.2">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row>
    <row r="204" spans="1:52" x14ac:dyDescent="0.2">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row>
    <row r="205" spans="1:52" x14ac:dyDescent="0.2">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row>
    <row r="206" spans="1:52" x14ac:dyDescent="0.2">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row>
    <row r="207" spans="1:52" x14ac:dyDescent="0.2">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row>
    <row r="208" spans="1:52" x14ac:dyDescent="0.2">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row>
    <row r="209" spans="1:52" x14ac:dyDescent="0.2">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row>
    <row r="210" spans="1:52" x14ac:dyDescent="0.2">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row>
    <row r="211" spans="1:52" x14ac:dyDescent="0.2">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row>
    <row r="212" spans="1:52" x14ac:dyDescent="0.2">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row>
    <row r="213" spans="1:52" x14ac:dyDescent="0.2">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row>
    <row r="214" spans="1:52" x14ac:dyDescent="0.2">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row>
    <row r="215" spans="1:52" x14ac:dyDescent="0.2">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row>
    <row r="216" spans="1:52" x14ac:dyDescent="0.2">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row>
    <row r="217" spans="1:52" x14ac:dyDescent="0.2">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row>
    <row r="218" spans="1:52" x14ac:dyDescent="0.2">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row>
    <row r="219" spans="1:52" x14ac:dyDescent="0.2">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row>
    <row r="220" spans="1:52" x14ac:dyDescent="0.2">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row>
    <row r="221" spans="1:52" x14ac:dyDescent="0.2">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row>
    <row r="222" spans="1:52" x14ac:dyDescent="0.2">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row>
    <row r="223" spans="1:52" x14ac:dyDescent="0.2">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row>
    <row r="224" spans="1:52" x14ac:dyDescent="0.2">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row>
    <row r="225" spans="1:52" x14ac:dyDescent="0.2">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row>
    <row r="226" spans="1:52" x14ac:dyDescent="0.2">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row>
    <row r="227" spans="1:52" x14ac:dyDescent="0.2">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row>
    <row r="228" spans="1:52" x14ac:dyDescent="0.2">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row>
    <row r="229" spans="1:52" x14ac:dyDescent="0.2">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row>
    <row r="230" spans="1:52" x14ac:dyDescent="0.2">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row>
    <row r="231" spans="1:52" x14ac:dyDescent="0.2">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row>
    <row r="232" spans="1:52" x14ac:dyDescent="0.2">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row>
    <row r="233" spans="1:52" x14ac:dyDescent="0.2">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row>
    <row r="234" spans="1:52" x14ac:dyDescent="0.2">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row>
    <row r="235" spans="1:52" x14ac:dyDescent="0.2">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row>
    <row r="236" spans="1:52" x14ac:dyDescent="0.2">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row>
    <row r="237" spans="1:52" x14ac:dyDescent="0.2">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row>
    <row r="238" spans="1:52" x14ac:dyDescent="0.2">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row>
    <row r="239" spans="1:52" x14ac:dyDescent="0.2">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row>
    <row r="240" spans="1:52" x14ac:dyDescent="0.2">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row>
    <row r="241" spans="1:52" x14ac:dyDescent="0.2">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row>
    <row r="242" spans="1:52" x14ac:dyDescent="0.2">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row>
    <row r="243" spans="1:52" x14ac:dyDescent="0.2">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c r="AU243" s="48"/>
      <c r="AV243" s="48"/>
      <c r="AW243" s="48"/>
      <c r="AX243" s="48"/>
      <c r="AY243" s="48"/>
      <c r="AZ243" s="48"/>
    </row>
    <row r="244" spans="1:52" x14ac:dyDescent="0.2">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c r="AU244" s="48"/>
      <c r="AV244" s="48"/>
      <c r="AW244" s="48"/>
      <c r="AX244" s="48"/>
      <c r="AY244" s="48"/>
      <c r="AZ244" s="48"/>
    </row>
    <row r="245" spans="1:52" x14ac:dyDescent="0.2">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row>
    <row r="246" spans="1:52" x14ac:dyDescent="0.2">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row>
    <row r="247" spans="1:52" x14ac:dyDescent="0.2">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row>
    <row r="248" spans="1:52" x14ac:dyDescent="0.2">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row>
    <row r="249" spans="1:52" x14ac:dyDescent="0.2">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row>
    <row r="250" spans="1:52" x14ac:dyDescent="0.2">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row>
    <row r="251" spans="1:52" x14ac:dyDescent="0.2">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row>
    <row r="252" spans="1:52" x14ac:dyDescent="0.2">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row>
    <row r="253" spans="1:52" x14ac:dyDescent="0.2">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row>
    <row r="254" spans="1:52" x14ac:dyDescent="0.2">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row>
    <row r="255" spans="1:52" x14ac:dyDescent="0.2">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row>
    <row r="256" spans="1:52" x14ac:dyDescent="0.2">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row>
    <row r="257" spans="1:52" x14ac:dyDescent="0.2">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row>
    <row r="258" spans="1:52" x14ac:dyDescent="0.2">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row>
    <row r="259" spans="1:52" x14ac:dyDescent="0.2">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row>
    <row r="260" spans="1:52" x14ac:dyDescent="0.2">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row>
    <row r="261" spans="1:52" x14ac:dyDescent="0.2">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row>
    <row r="262" spans="1:52" x14ac:dyDescent="0.2">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row>
    <row r="263" spans="1:52" x14ac:dyDescent="0.2">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c r="AU263" s="48"/>
      <c r="AV263" s="48"/>
      <c r="AW263" s="48"/>
      <c r="AX263" s="48"/>
      <c r="AY263" s="48"/>
      <c r="AZ263" s="48"/>
    </row>
    <row r="264" spans="1:52" x14ac:dyDescent="0.2">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48"/>
      <c r="AW264" s="48"/>
      <c r="AX264" s="48"/>
      <c r="AY264" s="48"/>
      <c r="AZ264" s="48"/>
    </row>
    <row r="265" spans="1:52" x14ac:dyDescent="0.2">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c r="AU265" s="48"/>
      <c r="AV265" s="48"/>
      <c r="AW265" s="48"/>
      <c r="AX265" s="48"/>
      <c r="AY265" s="48"/>
      <c r="AZ265" s="48"/>
    </row>
    <row r="266" spans="1:52" x14ac:dyDescent="0.2">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row>
    <row r="267" spans="1:52" x14ac:dyDescent="0.2">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row>
    <row r="268" spans="1:52" x14ac:dyDescent="0.2">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row>
    <row r="269" spans="1:52" x14ac:dyDescent="0.2">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row>
    <row r="270" spans="1:52" x14ac:dyDescent="0.2">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row>
    <row r="271" spans="1:52" x14ac:dyDescent="0.2">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row>
    <row r="272" spans="1:52" x14ac:dyDescent="0.2">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c r="AU272" s="48"/>
      <c r="AV272" s="48"/>
      <c r="AW272" s="48"/>
      <c r="AX272" s="48"/>
      <c r="AY272" s="48"/>
      <c r="AZ272" s="48"/>
    </row>
    <row r="273" spans="1:52" x14ac:dyDescent="0.2">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row>
    <row r="274" spans="1:52" x14ac:dyDescent="0.2">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8"/>
      <c r="AJ274" s="48"/>
      <c r="AK274" s="48"/>
      <c r="AL274" s="48"/>
      <c r="AM274" s="48"/>
      <c r="AN274" s="48"/>
      <c r="AO274" s="48"/>
      <c r="AP274" s="48"/>
      <c r="AQ274" s="48"/>
      <c r="AR274" s="48"/>
      <c r="AS274" s="48"/>
      <c r="AT274" s="48"/>
      <c r="AU274" s="48"/>
      <c r="AV274" s="48"/>
      <c r="AW274" s="48"/>
      <c r="AX274" s="48"/>
      <c r="AY274" s="48"/>
      <c r="AZ274" s="48"/>
    </row>
    <row r="275" spans="1:52" x14ac:dyDescent="0.2">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c r="AU275" s="48"/>
      <c r="AV275" s="48"/>
      <c r="AW275" s="48"/>
      <c r="AX275" s="48"/>
      <c r="AY275" s="48"/>
      <c r="AZ275" s="48"/>
    </row>
    <row r="276" spans="1:52" x14ac:dyDescent="0.2">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c r="AU276" s="48"/>
      <c r="AV276" s="48"/>
      <c r="AW276" s="48"/>
      <c r="AX276" s="48"/>
      <c r="AY276" s="48"/>
      <c r="AZ276" s="48"/>
    </row>
    <row r="277" spans="1:52" x14ac:dyDescent="0.2">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row>
    <row r="278" spans="1:52" x14ac:dyDescent="0.2">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row>
    <row r="279" spans="1:52" x14ac:dyDescent="0.2">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8"/>
      <c r="AK279" s="48"/>
      <c r="AL279" s="48"/>
      <c r="AM279" s="48"/>
      <c r="AN279" s="48"/>
      <c r="AO279" s="48"/>
      <c r="AP279" s="48"/>
      <c r="AQ279" s="48"/>
      <c r="AR279" s="48"/>
      <c r="AS279" s="48"/>
      <c r="AT279" s="48"/>
      <c r="AU279" s="48"/>
      <c r="AV279" s="48"/>
      <c r="AW279" s="48"/>
      <c r="AX279" s="48"/>
      <c r="AY279" s="48"/>
      <c r="AZ279" s="48"/>
    </row>
    <row r="280" spans="1:52" x14ac:dyDescent="0.2">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48"/>
      <c r="AL280" s="48"/>
      <c r="AM280" s="48"/>
      <c r="AN280" s="48"/>
      <c r="AO280" s="48"/>
      <c r="AP280" s="48"/>
      <c r="AQ280" s="48"/>
      <c r="AR280" s="48"/>
      <c r="AS280" s="48"/>
      <c r="AT280" s="48"/>
      <c r="AU280" s="48"/>
      <c r="AV280" s="48"/>
      <c r="AW280" s="48"/>
      <c r="AX280" s="48"/>
      <c r="AY280" s="48"/>
      <c r="AZ280" s="48"/>
    </row>
    <row r="281" spans="1:52" x14ac:dyDescent="0.2">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row>
    <row r="282" spans="1:52" x14ac:dyDescent="0.2">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c r="AU282" s="48"/>
      <c r="AV282" s="48"/>
      <c r="AW282" s="48"/>
      <c r="AX282" s="48"/>
      <c r="AY282" s="48"/>
      <c r="AZ282" s="48"/>
    </row>
    <row r="283" spans="1:52" x14ac:dyDescent="0.2">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row>
    <row r="284" spans="1:52" x14ac:dyDescent="0.2">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row>
    <row r="285" spans="1:52" x14ac:dyDescent="0.2">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48"/>
    </row>
    <row r="286" spans="1:52" x14ac:dyDescent="0.2">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row>
  </sheetData>
  <mergeCells count="18">
    <mergeCell ref="F32:F33"/>
    <mergeCell ref="A32:A33"/>
    <mergeCell ref="A67:F67"/>
    <mergeCell ref="A31:C31"/>
    <mergeCell ref="C32:C33"/>
    <mergeCell ref="E31:G31"/>
    <mergeCell ref="G32:G33"/>
    <mergeCell ref="A1:B1"/>
    <mergeCell ref="A6:E6"/>
    <mergeCell ref="A30:E30"/>
    <mergeCell ref="B32:B33"/>
    <mergeCell ref="E32:E33"/>
    <mergeCell ref="A55:C55"/>
    <mergeCell ref="E55:G55"/>
    <mergeCell ref="A76:B76"/>
    <mergeCell ref="A69:B69"/>
    <mergeCell ref="A66:E66"/>
    <mergeCell ref="A60:F60"/>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P684"/>
  <sheetViews>
    <sheetView zoomScale="85" zoomScaleNormal="85" workbookViewId="0">
      <selection sqref="A1:D1"/>
    </sheetView>
  </sheetViews>
  <sheetFormatPr defaultColWidth="8.85546875" defaultRowHeight="12.75" x14ac:dyDescent="0.2"/>
  <cols>
    <col min="1" max="1" width="20.7109375" style="1" bestFit="1" customWidth="1"/>
    <col min="2" max="2" width="14.7109375" style="1" bestFit="1" customWidth="1"/>
    <col min="3" max="3" width="15.28515625" style="1" bestFit="1" customWidth="1"/>
    <col min="4" max="4" width="19.28515625" style="1" bestFit="1" customWidth="1"/>
    <col min="5" max="5" width="23.42578125" style="1" bestFit="1" customWidth="1"/>
    <col min="6" max="6" width="8.140625" style="1" customWidth="1"/>
    <col min="7" max="7" width="9.140625" style="1" bestFit="1" customWidth="1"/>
    <col min="8" max="8" width="14.42578125" style="1" customWidth="1"/>
    <col min="9" max="9" width="22.140625" style="1" bestFit="1" customWidth="1"/>
    <col min="10" max="10" width="6.5703125" style="1" bestFit="1" customWidth="1"/>
    <col min="11" max="11" width="11" style="1" customWidth="1"/>
    <col min="12" max="12" width="9" style="1" customWidth="1"/>
    <col min="13" max="13" width="10" style="1" customWidth="1"/>
    <col min="14" max="14" width="11.28515625" style="1" bestFit="1" customWidth="1"/>
    <col min="15" max="15" width="9.7109375" style="1" customWidth="1"/>
    <col min="16" max="16" width="9.140625" style="1" bestFit="1" customWidth="1"/>
    <col min="17" max="17" width="9.42578125" style="1" bestFit="1" customWidth="1"/>
    <col min="18" max="18" width="10.5703125" style="60" bestFit="1" customWidth="1"/>
    <col min="19" max="19" width="6.5703125" style="60" bestFit="1" customWidth="1"/>
    <col min="20" max="20" width="9.5703125" style="60" bestFit="1" customWidth="1"/>
    <col min="21" max="26" width="8.85546875" style="60"/>
    <col min="27" max="27" width="10.5703125" style="60" bestFit="1" customWidth="1"/>
    <col min="28" max="250" width="8.85546875" style="60"/>
    <col min="251" max="16384" width="8.85546875" style="1"/>
  </cols>
  <sheetData>
    <row r="1" spans="1:17" ht="18" customHeight="1" x14ac:dyDescent="0.2">
      <c r="A1" s="370" t="s">
        <v>46</v>
      </c>
      <c r="B1" s="370"/>
      <c r="C1" s="370"/>
      <c r="D1" s="370"/>
      <c r="E1" s="60"/>
      <c r="F1" s="60"/>
      <c r="G1" s="60"/>
      <c r="H1" s="60"/>
      <c r="I1" s="60"/>
      <c r="J1" s="60"/>
      <c r="K1" s="60"/>
      <c r="L1" s="68"/>
      <c r="M1" s="68"/>
      <c r="N1" s="60"/>
      <c r="O1" s="60"/>
      <c r="P1" s="60"/>
      <c r="Q1" s="60"/>
    </row>
    <row r="2" spans="1:17" ht="18" customHeight="1" x14ac:dyDescent="0.2">
      <c r="A2" s="404" t="s">
        <v>47</v>
      </c>
      <c r="B2" s="404"/>
      <c r="C2" s="403">
        <f>D30</f>
        <v>16191968</v>
      </c>
      <c r="D2" s="403"/>
      <c r="E2" s="60"/>
      <c r="F2" s="60"/>
      <c r="G2" s="60"/>
      <c r="H2" s="60"/>
      <c r="I2" s="60"/>
      <c r="J2" s="60"/>
      <c r="K2" s="68"/>
      <c r="L2" s="68"/>
      <c r="M2" s="68"/>
      <c r="N2" s="60"/>
      <c r="O2" s="60"/>
      <c r="P2" s="60"/>
      <c r="Q2" s="60"/>
    </row>
    <row r="3" spans="1:17" ht="18" customHeight="1" x14ac:dyDescent="0.3">
      <c r="A3" s="404" t="s">
        <v>48</v>
      </c>
      <c r="B3" s="404"/>
      <c r="C3" s="403">
        <f>E30</f>
        <v>5693051.1146903597</v>
      </c>
      <c r="D3" s="403"/>
      <c r="E3" s="60"/>
      <c r="F3" s="76"/>
      <c r="G3" s="76"/>
      <c r="H3" s="60"/>
      <c r="I3" s="60"/>
      <c r="J3" s="60"/>
      <c r="K3" s="68"/>
      <c r="L3" s="68"/>
      <c r="M3" s="68"/>
      <c r="N3" s="60"/>
      <c r="O3" s="60"/>
      <c r="P3" s="60"/>
      <c r="Q3" s="60"/>
    </row>
    <row r="4" spans="1:17" ht="18" customHeight="1" x14ac:dyDescent="0.3">
      <c r="A4" s="76"/>
      <c r="B4" s="76"/>
      <c r="C4" s="60"/>
      <c r="D4" s="60"/>
      <c r="E4" s="60"/>
      <c r="F4" s="76"/>
      <c r="G4" s="76"/>
      <c r="H4" s="60"/>
      <c r="I4" s="60"/>
      <c r="J4" s="60"/>
      <c r="K4" s="68"/>
      <c r="L4" s="68"/>
      <c r="M4" s="68"/>
      <c r="N4" s="60"/>
      <c r="O4" s="60"/>
      <c r="P4" s="60"/>
      <c r="Q4" s="60"/>
    </row>
    <row r="5" spans="1:17" ht="18" customHeight="1" x14ac:dyDescent="0.3">
      <c r="A5" s="76"/>
      <c r="B5" s="76"/>
      <c r="C5" s="60"/>
      <c r="D5" s="60"/>
      <c r="E5" s="60"/>
      <c r="F5" s="76"/>
      <c r="G5" s="76"/>
      <c r="H5" s="60"/>
      <c r="I5" s="60"/>
      <c r="J5" s="60"/>
      <c r="K5" s="68"/>
      <c r="L5" s="68"/>
      <c r="M5" s="68"/>
      <c r="N5" s="60"/>
      <c r="O5" s="60"/>
      <c r="P5" s="60"/>
      <c r="Q5" s="60"/>
    </row>
    <row r="6" spans="1:17" ht="18" customHeight="1" x14ac:dyDescent="0.3">
      <c r="A6" s="370" t="s">
        <v>49</v>
      </c>
      <c r="B6" s="370"/>
      <c r="C6" s="370"/>
      <c r="D6" s="370"/>
      <c r="E6" s="370"/>
      <c r="F6" s="76"/>
      <c r="G6" s="76"/>
      <c r="H6" s="60"/>
      <c r="I6" s="60"/>
      <c r="J6" s="60"/>
      <c r="K6" s="68"/>
      <c r="L6" s="68"/>
      <c r="M6" s="68"/>
      <c r="N6" s="60"/>
      <c r="O6" s="60"/>
      <c r="P6" s="60"/>
      <c r="Q6" s="60"/>
    </row>
    <row r="7" spans="1:17" ht="13.9" customHeight="1" x14ac:dyDescent="0.2">
      <c r="A7" s="345" t="s">
        <v>37</v>
      </c>
      <c r="B7" s="345" t="s">
        <v>28</v>
      </c>
      <c r="C7" s="345"/>
      <c r="D7" s="395" t="s">
        <v>47</v>
      </c>
      <c r="E7" s="395" t="s">
        <v>48</v>
      </c>
      <c r="F7" s="60"/>
      <c r="G7" s="60"/>
      <c r="H7" s="60"/>
      <c r="I7" s="60"/>
      <c r="J7" s="60"/>
      <c r="K7" s="60"/>
      <c r="L7" s="60"/>
      <c r="M7" s="60"/>
      <c r="N7" s="60"/>
      <c r="O7" s="60"/>
      <c r="P7" s="60"/>
      <c r="Q7" s="60"/>
    </row>
    <row r="8" spans="1:17" ht="13.15" customHeight="1" x14ac:dyDescent="0.2">
      <c r="A8" s="345"/>
      <c r="B8" s="395" t="s">
        <v>50</v>
      </c>
      <c r="C8" s="395" t="s">
        <v>51</v>
      </c>
      <c r="D8" s="395"/>
      <c r="E8" s="395"/>
      <c r="F8" s="60"/>
      <c r="G8" s="60"/>
      <c r="H8" s="60"/>
      <c r="I8" s="60"/>
      <c r="J8" s="60"/>
      <c r="K8" s="60"/>
      <c r="L8" s="60"/>
      <c r="M8" s="60"/>
      <c r="N8" s="60"/>
      <c r="O8" s="60"/>
      <c r="P8" s="60"/>
      <c r="Q8" s="60"/>
    </row>
    <row r="9" spans="1:17" ht="13.5" thickBot="1" x14ac:dyDescent="0.25">
      <c r="A9" s="338"/>
      <c r="B9" s="344"/>
      <c r="C9" s="344"/>
      <c r="D9" s="344"/>
      <c r="E9" s="344"/>
      <c r="F9" s="60"/>
      <c r="G9" s="60"/>
      <c r="H9" s="60"/>
      <c r="I9" s="60"/>
      <c r="J9" s="60"/>
      <c r="K9" s="60"/>
      <c r="L9" s="60"/>
      <c r="M9" s="60"/>
      <c r="N9" s="60"/>
      <c r="O9" s="60"/>
      <c r="P9" s="60"/>
      <c r="Q9" s="60"/>
    </row>
    <row r="10" spans="1:17" ht="13.5" thickTop="1" x14ac:dyDescent="0.2">
      <c r="A10" s="49">
        <v>2026</v>
      </c>
      <c r="B10" s="103">
        <f>K36</f>
        <v>1105900</v>
      </c>
      <c r="C10" s="22">
        <f>T36</f>
        <v>541949</v>
      </c>
      <c r="D10" s="242">
        <f>ROUND(B10-C10,0)</f>
        <v>563951</v>
      </c>
      <c r="E10" s="154">
        <f>D10*INDEX(NPV!$C$3:$C$42,MATCH(Safety!$A10,NPV!$B$3:$B$42,0))</f>
        <v>375784.36346354603</v>
      </c>
      <c r="F10" s="60"/>
      <c r="G10" s="60"/>
      <c r="H10" s="60"/>
      <c r="I10" s="60"/>
      <c r="J10" s="60"/>
      <c r="K10" s="60"/>
      <c r="L10" s="60"/>
      <c r="M10" s="60"/>
      <c r="N10" s="60"/>
      <c r="O10" s="60"/>
      <c r="P10" s="60"/>
      <c r="Q10" s="60"/>
    </row>
    <row r="11" spans="1:17" x14ac:dyDescent="0.2">
      <c r="A11" s="49">
        <f t="shared" ref="A11:A29" si="0">A10+1</f>
        <v>2027</v>
      </c>
      <c r="B11" s="103">
        <f t="shared" ref="B11:B29" si="1">K37</f>
        <v>1105900</v>
      </c>
      <c r="C11" s="22">
        <f t="shared" ref="C11:C29" si="2">T37</f>
        <v>541949</v>
      </c>
      <c r="D11" s="242">
        <f t="shared" ref="D11:D29" si="3">ROUND(B11-C11,0)</f>
        <v>563951</v>
      </c>
      <c r="E11" s="154">
        <f>D11*INDEX(NPV!$C$3:$C$42,MATCH(Safety!$A11,NPV!$B$3:$B$42,0))</f>
        <v>351200.339685557</v>
      </c>
      <c r="F11" s="60"/>
      <c r="G11" s="60"/>
      <c r="H11" s="60"/>
      <c r="I11" s="60"/>
      <c r="J11" s="60"/>
      <c r="K11" s="60"/>
      <c r="L11" s="60"/>
      <c r="M11" s="60"/>
      <c r="N11" s="60"/>
      <c r="O11" s="60"/>
      <c r="P11" s="60"/>
      <c r="Q11" s="60"/>
    </row>
    <row r="12" spans="1:17" x14ac:dyDescent="0.2">
      <c r="A12" s="49">
        <f t="shared" si="0"/>
        <v>2028</v>
      </c>
      <c r="B12" s="103">
        <f t="shared" si="1"/>
        <v>1114400</v>
      </c>
      <c r="C12" s="22">
        <f t="shared" si="2"/>
        <v>546949</v>
      </c>
      <c r="D12" s="242">
        <f t="shared" si="3"/>
        <v>567451</v>
      </c>
      <c r="E12" s="154">
        <f>D12*INDEX(NPV!$C$3:$C$42,MATCH(Safety!$A12,NPV!$B$3:$B$42,0))</f>
        <v>330261.64839453559</v>
      </c>
      <c r="F12" s="60"/>
      <c r="G12" s="60"/>
      <c r="H12" s="60"/>
      <c r="I12" s="60"/>
      <c r="J12" s="60"/>
      <c r="K12" s="60"/>
      <c r="L12" s="60"/>
      <c r="M12" s="60"/>
      <c r="N12" s="60"/>
      <c r="O12" s="60"/>
      <c r="P12" s="60"/>
      <c r="Q12" s="60"/>
    </row>
    <row r="13" spans="1:17" x14ac:dyDescent="0.2">
      <c r="A13" s="49">
        <f t="shared" si="0"/>
        <v>2029</v>
      </c>
      <c r="B13" s="103">
        <f>K39</f>
        <v>1114400</v>
      </c>
      <c r="C13" s="22">
        <f t="shared" si="2"/>
        <v>546949</v>
      </c>
      <c r="D13" s="242">
        <f t="shared" si="3"/>
        <v>567451</v>
      </c>
      <c r="E13" s="154">
        <f>D13*INDEX(NPV!$C$3:$C$42,MATCH(Safety!$A13,NPV!$B$3:$B$42,0))</f>
        <v>308655.74616311741</v>
      </c>
      <c r="F13" s="60"/>
      <c r="G13" s="60"/>
      <c r="H13" s="60"/>
      <c r="I13" s="60"/>
      <c r="J13" s="60"/>
      <c r="K13" s="60"/>
      <c r="L13" s="60"/>
      <c r="M13" s="60"/>
      <c r="N13" s="60"/>
      <c r="O13" s="60"/>
      <c r="P13" s="60"/>
      <c r="Q13" s="60"/>
    </row>
    <row r="14" spans="1:17" x14ac:dyDescent="0.2">
      <c r="A14" s="49">
        <f t="shared" si="0"/>
        <v>2030</v>
      </c>
      <c r="B14" s="103">
        <f t="shared" si="1"/>
        <v>1127500</v>
      </c>
      <c r="C14" s="22">
        <f t="shared" si="2"/>
        <v>554656</v>
      </c>
      <c r="D14" s="242">
        <f t="shared" si="3"/>
        <v>572844</v>
      </c>
      <c r="E14" s="154">
        <f>D14*INDEX(NPV!$C$3:$C$42,MATCH(Safety!$A14,NPV!$B$3:$B$42,0))</f>
        <v>291204.84190362028</v>
      </c>
      <c r="F14" s="60"/>
      <c r="G14" s="60"/>
      <c r="H14" s="60"/>
      <c r="I14" s="60"/>
      <c r="J14" s="60"/>
      <c r="K14" s="60"/>
      <c r="L14" s="60"/>
      <c r="M14" s="60"/>
      <c r="N14" s="60"/>
      <c r="O14" s="60"/>
      <c r="P14" s="60"/>
      <c r="Q14" s="60"/>
    </row>
    <row r="15" spans="1:17" x14ac:dyDescent="0.2">
      <c r="A15" s="49">
        <f t="shared" si="0"/>
        <v>2031</v>
      </c>
      <c r="B15" s="103">
        <f t="shared" si="1"/>
        <v>1127500</v>
      </c>
      <c r="C15" s="22">
        <f t="shared" si="2"/>
        <v>554656</v>
      </c>
      <c r="D15" s="242">
        <f t="shared" si="3"/>
        <v>572844</v>
      </c>
      <c r="E15" s="154">
        <f>D15*INDEX(NPV!$C$3:$C$42,MATCH(Safety!$A15,NPV!$B$3:$B$42,0))</f>
        <v>272154.05785385071</v>
      </c>
      <c r="F15" s="60"/>
      <c r="G15" s="60"/>
      <c r="H15" s="60"/>
      <c r="I15" s="60"/>
      <c r="J15" s="60"/>
      <c r="K15" s="60"/>
      <c r="L15" s="60"/>
      <c r="M15" s="60"/>
      <c r="N15" s="60"/>
      <c r="O15" s="60"/>
      <c r="P15" s="60"/>
      <c r="Q15" s="60"/>
    </row>
    <row r="16" spans="1:17" x14ac:dyDescent="0.2">
      <c r="A16" s="49">
        <f t="shared" si="0"/>
        <v>2032</v>
      </c>
      <c r="B16" s="103">
        <f t="shared" si="1"/>
        <v>1690800</v>
      </c>
      <c r="C16" s="22">
        <f t="shared" si="2"/>
        <v>814227</v>
      </c>
      <c r="D16" s="242">
        <f t="shared" si="3"/>
        <v>876573</v>
      </c>
      <c r="E16" s="154">
        <f>D16*INDEX(NPV!$C$3:$C$42,MATCH(Safety!$A16,NPV!$B$3:$B$42,0))</f>
        <v>389208.89514752902</v>
      </c>
      <c r="F16" s="60"/>
      <c r="G16" s="60"/>
      <c r="H16" s="60"/>
      <c r="I16" s="60"/>
      <c r="J16" s="60"/>
      <c r="K16" s="60"/>
      <c r="L16" s="60"/>
      <c r="M16" s="60"/>
      <c r="N16" s="60"/>
      <c r="O16" s="60"/>
      <c r="P16" s="60"/>
      <c r="Q16" s="60"/>
    </row>
    <row r="17" spans="1:250" x14ac:dyDescent="0.2">
      <c r="A17" s="49">
        <f t="shared" si="0"/>
        <v>2033</v>
      </c>
      <c r="B17" s="103">
        <f t="shared" si="1"/>
        <v>1690800</v>
      </c>
      <c r="C17" s="22">
        <f t="shared" si="2"/>
        <v>814227</v>
      </c>
      <c r="D17" s="242">
        <f t="shared" si="3"/>
        <v>876573</v>
      </c>
      <c r="E17" s="154">
        <f>D17*INDEX(NPV!$C$3:$C$42,MATCH(Safety!$A17,NPV!$B$3:$B$42,0))</f>
        <v>363746.63097899908</v>
      </c>
      <c r="F17" s="60"/>
      <c r="G17" s="60"/>
      <c r="H17" s="60"/>
      <c r="I17" s="60"/>
      <c r="J17" s="60"/>
      <c r="K17" s="60"/>
      <c r="L17" s="60"/>
      <c r="M17" s="60"/>
      <c r="N17" s="60"/>
      <c r="O17" s="60"/>
      <c r="P17" s="60"/>
      <c r="Q17" s="60"/>
    </row>
    <row r="18" spans="1:250" x14ac:dyDescent="0.2">
      <c r="A18" s="49">
        <f t="shared" si="0"/>
        <v>2034</v>
      </c>
      <c r="B18" s="103">
        <f t="shared" si="1"/>
        <v>1700000</v>
      </c>
      <c r="C18" s="22">
        <f t="shared" si="2"/>
        <v>819640</v>
      </c>
      <c r="D18" s="242">
        <f t="shared" si="3"/>
        <v>880360</v>
      </c>
      <c r="E18" s="154">
        <f>D18*INDEX(NPV!$C$3:$C$42,MATCH(Safety!$A18,NPV!$B$3:$B$42,0))</f>
        <v>341418.78630201216</v>
      </c>
      <c r="F18" s="60"/>
      <c r="G18" s="60"/>
      <c r="H18" s="60"/>
      <c r="I18" s="60"/>
      <c r="J18" s="60"/>
      <c r="K18" s="60"/>
      <c r="L18" s="60"/>
      <c r="M18" s="60"/>
      <c r="N18" s="60"/>
      <c r="O18" s="60"/>
      <c r="P18" s="60"/>
      <c r="Q18" s="60"/>
    </row>
    <row r="19" spans="1:250" x14ac:dyDescent="0.2">
      <c r="A19" s="49">
        <f t="shared" si="0"/>
        <v>2035</v>
      </c>
      <c r="B19" s="103">
        <f t="shared" si="1"/>
        <v>1700000</v>
      </c>
      <c r="C19" s="22">
        <f t="shared" si="2"/>
        <v>819640</v>
      </c>
      <c r="D19" s="242">
        <f>ROUND(B19-C19,0)</f>
        <v>880360</v>
      </c>
      <c r="E19" s="154">
        <f>D19*INDEX(NPV!$C$3:$C$42,MATCH(Safety!$A19,NPV!$B$3:$B$42,0))</f>
        <v>319082.97785234777</v>
      </c>
      <c r="F19" s="60"/>
      <c r="G19" s="60"/>
      <c r="H19" s="60"/>
      <c r="I19" s="60"/>
      <c r="J19" s="60"/>
      <c r="K19" s="60"/>
      <c r="L19" s="60"/>
      <c r="M19" s="60"/>
      <c r="N19" s="60"/>
      <c r="O19" s="60"/>
      <c r="P19" s="60"/>
      <c r="Q19" s="60"/>
    </row>
    <row r="20" spans="1:250" x14ac:dyDescent="0.2">
      <c r="A20" s="49">
        <f t="shared" si="0"/>
        <v>2036</v>
      </c>
      <c r="B20" s="103">
        <f t="shared" si="1"/>
        <v>1708500</v>
      </c>
      <c r="C20" s="22">
        <f t="shared" si="2"/>
        <v>824640</v>
      </c>
      <c r="D20" s="242">
        <f t="shared" si="3"/>
        <v>883860</v>
      </c>
      <c r="E20" s="154">
        <f>D20*INDEX(NPV!$C$3:$C$42,MATCH(Safety!$A20,NPV!$B$3:$B$42,0))</f>
        <v>299393.96160850098</v>
      </c>
      <c r="F20" s="60"/>
      <c r="G20" s="60"/>
      <c r="H20" s="60"/>
      <c r="I20" s="60"/>
      <c r="J20" s="60"/>
      <c r="K20" s="60"/>
      <c r="L20" s="60"/>
      <c r="M20" s="60"/>
      <c r="N20" s="60"/>
      <c r="O20" s="60"/>
      <c r="P20" s="60"/>
      <c r="Q20" s="60"/>
    </row>
    <row r="21" spans="1:250" x14ac:dyDescent="0.2">
      <c r="A21" s="49">
        <f t="shared" si="0"/>
        <v>2037</v>
      </c>
      <c r="B21" s="103">
        <f t="shared" si="1"/>
        <v>1708500</v>
      </c>
      <c r="C21" s="22">
        <f t="shared" si="2"/>
        <v>824640</v>
      </c>
      <c r="D21" s="242">
        <f t="shared" si="3"/>
        <v>883860</v>
      </c>
      <c r="E21" s="154">
        <f>D21*INDEX(NPV!$C$3:$C$42,MATCH(Safety!$A21,NPV!$B$3:$B$42,0))</f>
        <v>279807.44075560843</v>
      </c>
      <c r="F21" s="60"/>
      <c r="G21" s="60"/>
      <c r="H21" s="60"/>
      <c r="I21" s="60"/>
      <c r="J21" s="60"/>
      <c r="K21" s="60"/>
      <c r="L21" s="60"/>
      <c r="M21" s="60"/>
      <c r="N21" s="60"/>
      <c r="O21" s="60"/>
      <c r="P21" s="60"/>
      <c r="Q21" s="60"/>
    </row>
    <row r="22" spans="1:250" x14ac:dyDescent="0.2">
      <c r="A22" s="49">
        <f t="shared" si="0"/>
        <v>2038</v>
      </c>
      <c r="B22" s="103">
        <f t="shared" si="1"/>
        <v>1798800</v>
      </c>
      <c r="C22" s="22">
        <f t="shared" si="2"/>
        <v>867770</v>
      </c>
      <c r="D22" s="242">
        <f t="shared" si="3"/>
        <v>931030</v>
      </c>
      <c r="E22" s="154">
        <f>D22*INDEX(NPV!$C$3:$C$42,MATCH(Safety!$A22,NPV!$B$3:$B$42,0))</f>
        <v>275458.18201289763</v>
      </c>
      <c r="F22" s="60"/>
      <c r="G22" s="60"/>
      <c r="H22" s="60"/>
      <c r="I22" s="60"/>
      <c r="J22" s="60"/>
      <c r="K22" s="60"/>
      <c r="L22" s="60"/>
      <c r="M22" s="60"/>
      <c r="N22" s="60"/>
      <c r="O22" s="60"/>
      <c r="P22" s="60"/>
      <c r="Q22" s="60"/>
    </row>
    <row r="23" spans="1:250" x14ac:dyDescent="0.2">
      <c r="A23" s="49">
        <f t="shared" si="0"/>
        <v>2039</v>
      </c>
      <c r="B23" s="103">
        <f t="shared" si="1"/>
        <v>1798800</v>
      </c>
      <c r="C23" s="22">
        <f t="shared" si="2"/>
        <v>867770</v>
      </c>
      <c r="D23" s="242">
        <f t="shared" si="3"/>
        <v>931030</v>
      </c>
      <c r="E23" s="154">
        <f>D23*INDEX(NPV!$C$3:$C$42,MATCH(Safety!$A23,NPV!$B$3:$B$42,0))</f>
        <v>257437.55328308188</v>
      </c>
      <c r="F23" s="60"/>
      <c r="G23" s="60"/>
      <c r="H23" s="60"/>
      <c r="I23" s="60"/>
      <c r="J23" s="60"/>
      <c r="K23" s="60"/>
      <c r="L23" s="60"/>
      <c r="M23" s="60"/>
      <c r="N23" s="60"/>
      <c r="O23" s="60"/>
      <c r="P23" s="60"/>
      <c r="Q23" s="60"/>
    </row>
    <row r="24" spans="1:250" x14ac:dyDescent="0.2">
      <c r="A24" s="49">
        <f t="shared" si="0"/>
        <v>2040</v>
      </c>
      <c r="B24" s="103">
        <f t="shared" si="1"/>
        <v>1807300</v>
      </c>
      <c r="C24" s="22">
        <f t="shared" si="2"/>
        <v>872770</v>
      </c>
      <c r="D24" s="242">
        <f>ROUND(B24-C24,0)</f>
        <v>934530</v>
      </c>
      <c r="E24" s="154">
        <f>D24*INDEX(NPV!$C$3:$C$42,MATCH(Safety!$A24,NPV!$B$3:$B$42,0))</f>
        <v>241500.31069964473</v>
      </c>
      <c r="F24" s="60"/>
      <c r="G24" s="60"/>
      <c r="H24" s="60"/>
      <c r="I24" s="60"/>
      <c r="J24" s="60"/>
      <c r="K24" s="60"/>
      <c r="L24" s="60"/>
      <c r="M24" s="60"/>
      <c r="N24" s="60"/>
      <c r="O24" s="60"/>
      <c r="P24" s="60"/>
      <c r="Q24" s="60"/>
    </row>
    <row r="25" spans="1:250" x14ac:dyDescent="0.2">
      <c r="A25" s="49">
        <f t="shared" si="0"/>
        <v>2041</v>
      </c>
      <c r="B25" s="103">
        <f t="shared" si="1"/>
        <v>1811900</v>
      </c>
      <c r="C25" s="22">
        <f t="shared" si="2"/>
        <v>875476</v>
      </c>
      <c r="D25" s="242">
        <f t="shared" si="3"/>
        <v>936424</v>
      </c>
      <c r="E25" s="154">
        <f>D25*INDEX(NPV!$C$3:$C$42,MATCH(Safety!$A25,NPV!$B$3:$B$42,0))</f>
        <v>226158.65073922821</v>
      </c>
      <c r="F25" s="60"/>
      <c r="G25" s="60"/>
      <c r="H25" s="60"/>
      <c r="I25" s="60"/>
      <c r="J25" s="60"/>
      <c r="K25" s="60"/>
      <c r="L25" s="60"/>
      <c r="M25" s="60"/>
      <c r="N25" s="60"/>
      <c r="O25" s="60"/>
      <c r="P25" s="60"/>
      <c r="Q25" s="60"/>
    </row>
    <row r="26" spans="1:250" x14ac:dyDescent="0.2">
      <c r="A26" s="49">
        <f t="shared" si="0"/>
        <v>2042</v>
      </c>
      <c r="B26" s="103">
        <f t="shared" si="1"/>
        <v>1811900</v>
      </c>
      <c r="C26" s="22">
        <f t="shared" si="2"/>
        <v>875476</v>
      </c>
      <c r="D26" s="242">
        <f t="shared" si="3"/>
        <v>936424</v>
      </c>
      <c r="E26" s="154">
        <f>D26*INDEX(NPV!$C$3:$C$42,MATCH(Safety!$A26,NPV!$B$3:$B$42,0))</f>
        <v>211363.2249899329</v>
      </c>
      <c r="F26" s="60"/>
      <c r="G26" s="60"/>
      <c r="H26" s="60"/>
      <c r="I26" s="60"/>
      <c r="J26" s="60"/>
      <c r="K26" s="60"/>
      <c r="L26" s="60"/>
      <c r="M26" s="60"/>
      <c r="N26" s="60"/>
      <c r="O26" s="60"/>
      <c r="P26" s="60"/>
      <c r="Q26" s="60"/>
    </row>
    <row r="27" spans="1:250" x14ac:dyDescent="0.2">
      <c r="A27" s="49">
        <f t="shared" si="0"/>
        <v>2043</v>
      </c>
      <c r="B27" s="103">
        <f t="shared" si="1"/>
        <v>1825000</v>
      </c>
      <c r="C27" s="22">
        <f t="shared" si="2"/>
        <v>883182</v>
      </c>
      <c r="D27" s="242">
        <f t="shared" si="3"/>
        <v>941818</v>
      </c>
      <c r="E27" s="154">
        <f>D27*INDEX(NPV!$C$3:$C$42,MATCH(Safety!$A27,NPV!$B$3:$B$42,0))</f>
        <v>198673.57177842097</v>
      </c>
      <c r="F27" s="60"/>
      <c r="G27" s="60"/>
      <c r="H27" s="60"/>
      <c r="I27" s="60"/>
      <c r="J27" s="60"/>
      <c r="K27" s="60"/>
      <c r="L27" s="60"/>
      <c r="M27" s="60"/>
      <c r="N27" s="60"/>
      <c r="O27" s="60"/>
      <c r="P27" s="60"/>
      <c r="Q27" s="60"/>
    </row>
    <row r="28" spans="1:250" x14ac:dyDescent="0.2">
      <c r="A28" s="49">
        <f t="shared" si="0"/>
        <v>2044</v>
      </c>
      <c r="B28" s="103">
        <f t="shared" si="1"/>
        <v>1833500</v>
      </c>
      <c r="C28" s="22">
        <f t="shared" si="2"/>
        <v>888183</v>
      </c>
      <c r="D28" s="242">
        <f t="shared" si="3"/>
        <v>945317</v>
      </c>
      <c r="E28" s="154">
        <f>D28*INDEX(NPV!$C$3:$C$42,MATCH(Safety!$A28,NPV!$B$3:$B$42,0))</f>
        <v>186366.05133013634</v>
      </c>
      <c r="F28" s="60"/>
      <c r="G28" s="60"/>
      <c r="H28" s="60"/>
      <c r="I28" s="60"/>
      <c r="J28" s="60"/>
      <c r="K28" s="60"/>
      <c r="L28" s="60"/>
      <c r="M28" s="60"/>
      <c r="N28" s="60"/>
      <c r="O28" s="60"/>
      <c r="P28" s="60"/>
      <c r="Q28" s="60"/>
    </row>
    <row r="29" spans="1:250" ht="13.5" thickBot="1" x14ac:dyDescent="0.25">
      <c r="A29" s="49">
        <f t="shared" si="0"/>
        <v>2045</v>
      </c>
      <c r="B29" s="104">
        <f t="shared" si="1"/>
        <v>1833500</v>
      </c>
      <c r="C29" s="32">
        <f t="shared" si="2"/>
        <v>888183</v>
      </c>
      <c r="D29" s="243">
        <f t="shared" si="3"/>
        <v>945317</v>
      </c>
      <c r="E29" s="155">
        <f>D29*INDEX(NPV!$C$3:$C$42,MATCH(Safety!$A29,NPV!$B$3:$B$42,0))</f>
        <v>174173.87974779095</v>
      </c>
      <c r="F29" s="60"/>
      <c r="G29" s="60"/>
      <c r="H29" s="60"/>
      <c r="I29" s="60"/>
      <c r="J29" s="60"/>
      <c r="K29" s="60"/>
      <c r="L29" s="60"/>
      <c r="M29" s="60"/>
      <c r="N29" s="60"/>
      <c r="O29" s="60"/>
      <c r="P29" s="60"/>
      <c r="Q29" s="60"/>
    </row>
    <row r="30" spans="1:250" ht="13.5" thickTop="1" x14ac:dyDescent="0.2">
      <c r="A30" s="45" t="s">
        <v>16</v>
      </c>
      <c r="B30" s="105">
        <f>SUM(B10:B29)</f>
        <v>31414900</v>
      </c>
      <c r="C30" s="30">
        <f>SUM(C10:C29)</f>
        <v>15222932</v>
      </c>
      <c r="D30" s="244">
        <f>SUM(D10:D29)</f>
        <v>16191968</v>
      </c>
      <c r="E30" s="156">
        <f>SUM(E10:E29)</f>
        <v>5693051.1146903597</v>
      </c>
      <c r="F30" s="60"/>
      <c r="G30" s="60"/>
      <c r="H30" s="60"/>
      <c r="I30" s="60"/>
      <c r="J30" s="60"/>
      <c r="K30" s="60"/>
      <c r="L30" s="60"/>
      <c r="M30" s="60"/>
      <c r="N30" s="60"/>
      <c r="O30" s="60"/>
      <c r="P30" s="60"/>
      <c r="Q30" s="60"/>
    </row>
    <row r="31" spans="1:250" ht="18" customHeight="1" x14ac:dyDescent="0.3">
      <c r="A31" s="76"/>
      <c r="B31" s="76"/>
      <c r="C31" s="60"/>
      <c r="D31" s="60"/>
      <c r="E31" s="60"/>
      <c r="F31" s="76"/>
      <c r="G31" s="76"/>
      <c r="H31" s="60"/>
      <c r="I31" s="60"/>
      <c r="J31" s="60"/>
      <c r="K31" s="68"/>
      <c r="L31" s="68"/>
      <c r="M31" s="68"/>
      <c r="N31" s="60"/>
      <c r="O31" s="60"/>
      <c r="P31" s="60"/>
      <c r="Q31" s="60"/>
      <c r="IJ31" s="1"/>
      <c r="IK31" s="1"/>
      <c r="IL31" s="1"/>
      <c r="IM31" s="1"/>
      <c r="IN31" s="1"/>
      <c r="IO31" s="1"/>
      <c r="IP31" s="1"/>
    </row>
    <row r="32" spans="1:250" ht="16.5" x14ac:dyDescent="0.3">
      <c r="A32" s="77"/>
      <c r="B32" s="60"/>
      <c r="C32" s="60"/>
      <c r="D32" s="60"/>
      <c r="E32" s="60"/>
      <c r="F32" s="60"/>
      <c r="G32" s="60"/>
      <c r="H32" s="60"/>
      <c r="I32" s="60"/>
      <c r="J32" s="60"/>
      <c r="K32" s="60"/>
      <c r="L32" s="68"/>
      <c r="M32" s="68"/>
      <c r="N32" s="407"/>
      <c r="O32" s="407"/>
      <c r="P32" s="407"/>
      <c r="Q32" s="407"/>
      <c r="R32" s="407"/>
      <c r="S32" s="407"/>
      <c r="T32" s="407"/>
      <c r="IJ32" s="1"/>
      <c r="IK32" s="1"/>
      <c r="IL32" s="1"/>
      <c r="IM32" s="1"/>
      <c r="IN32" s="1"/>
      <c r="IO32" s="1"/>
      <c r="IP32" s="1"/>
    </row>
    <row r="33" spans="1:250" ht="13.9" customHeight="1" x14ac:dyDescent="0.2">
      <c r="A33" s="399" t="s">
        <v>37</v>
      </c>
      <c r="B33" s="399" t="s">
        <v>52</v>
      </c>
      <c r="C33" s="349" t="s">
        <v>53</v>
      </c>
      <c r="D33" s="405"/>
      <c r="E33" s="405"/>
      <c r="F33" s="405"/>
      <c r="G33" s="405"/>
      <c r="H33" s="405"/>
      <c r="I33" s="405"/>
      <c r="J33" s="405"/>
      <c r="K33" s="350"/>
      <c r="L33" s="66"/>
      <c r="M33" s="399" t="s">
        <v>37</v>
      </c>
      <c r="N33" s="345" t="s">
        <v>162</v>
      </c>
      <c r="O33" s="345"/>
      <c r="P33" s="345"/>
      <c r="Q33" s="345"/>
      <c r="R33" s="345"/>
      <c r="S33" s="345"/>
      <c r="T33" s="345"/>
      <c r="II33" s="1"/>
      <c r="IJ33" s="1"/>
      <c r="IK33" s="1"/>
      <c r="IL33" s="1"/>
      <c r="IM33" s="1"/>
      <c r="IN33" s="1"/>
      <c r="IO33" s="1"/>
      <c r="IP33" s="1"/>
    </row>
    <row r="34" spans="1:250" ht="13.15" customHeight="1" x14ac:dyDescent="0.2">
      <c r="A34" s="400"/>
      <c r="B34" s="400"/>
      <c r="C34" s="346" t="s">
        <v>54</v>
      </c>
      <c r="D34" s="346" t="s">
        <v>55</v>
      </c>
      <c r="E34" s="346" t="s">
        <v>56</v>
      </c>
      <c r="F34" s="392" t="s">
        <v>57</v>
      </c>
      <c r="G34" s="406"/>
      <c r="H34" s="406"/>
      <c r="I34" s="406"/>
      <c r="J34" s="393"/>
      <c r="K34" s="346" t="s">
        <v>28</v>
      </c>
      <c r="L34" s="66"/>
      <c r="M34" s="400"/>
      <c r="N34" s="346" t="s">
        <v>56</v>
      </c>
      <c r="O34" s="392" t="s">
        <v>57</v>
      </c>
      <c r="P34" s="406"/>
      <c r="Q34" s="406"/>
      <c r="R34" s="406"/>
      <c r="S34" s="393"/>
      <c r="T34" s="346" t="s">
        <v>28</v>
      </c>
      <c r="II34" s="1"/>
      <c r="IJ34" s="1"/>
      <c r="IK34" s="1"/>
      <c r="IL34" s="1"/>
      <c r="IM34" s="1"/>
      <c r="IN34" s="1"/>
      <c r="IO34" s="1"/>
      <c r="IP34" s="1"/>
    </row>
    <row r="35" spans="1:250" ht="26.25" thickBot="1" x14ac:dyDescent="0.25">
      <c r="A35" s="401"/>
      <c r="B35" s="401"/>
      <c r="C35" s="340"/>
      <c r="D35" s="340"/>
      <c r="E35" s="340"/>
      <c r="F35" s="168" t="s">
        <v>58</v>
      </c>
      <c r="G35" s="168" t="s">
        <v>59</v>
      </c>
      <c r="H35" s="168" t="s">
        <v>60</v>
      </c>
      <c r="I35" s="168" t="s">
        <v>61</v>
      </c>
      <c r="J35" s="167" t="s">
        <v>62</v>
      </c>
      <c r="K35" s="340"/>
      <c r="L35" s="67"/>
      <c r="M35" s="401"/>
      <c r="N35" s="340"/>
      <c r="O35" s="198" t="s">
        <v>58</v>
      </c>
      <c r="P35" s="199" t="s">
        <v>59</v>
      </c>
      <c r="Q35" s="199" t="s">
        <v>60</v>
      </c>
      <c r="R35" s="199" t="s">
        <v>61</v>
      </c>
      <c r="S35" s="200" t="s">
        <v>62</v>
      </c>
      <c r="T35" s="343"/>
      <c r="II35" s="1"/>
      <c r="IJ35" s="1"/>
      <c r="IK35" s="1"/>
      <c r="IL35" s="1"/>
      <c r="IM35" s="1"/>
      <c r="IN35" s="1"/>
      <c r="IO35" s="1"/>
      <c r="IP35" s="1"/>
    </row>
    <row r="36" spans="1:250" ht="13.5" thickTop="1" x14ac:dyDescent="0.2">
      <c r="A36" s="49">
        <f>A10</f>
        <v>2026</v>
      </c>
      <c r="B36" s="50">
        <f t="shared" ref="B36:B55" si="4">$B$116*(1+$B$118)^(A36-$A$116)</f>
        <v>29812.316841368596</v>
      </c>
      <c r="C36" s="8">
        <f t="shared" ref="C36:C55" si="5">ROUND(B36*$B$108,0)</f>
        <v>28</v>
      </c>
      <c r="D36" s="245">
        <f t="shared" ref="D36:D55" si="6">ROUND(C36*$B$104,0)</f>
        <v>56</v>
      </c>
      <c r="E36" s="21">
        <f t="shared" ref="E36:E55" si="7">ROUND(C36*$I$69*$B$104,0)</f>
        <v>41</v>
      </c>
      <c r="F36" s="50">
        <f>ROUND(C36*$I$69,0)</f>
        <v>20</v>
      </c>
      <c r="G36" s="21">
        <f>ROUND(C36*$I$67,0)</f>
        <v>5</v>
      </c>
      <c r="H36" s="246">
        <f>ROUND(C36*$I$65,0)</f>
        <v>3</v>
      </c>
      <c r="I36" s="23">
        <f>ROUND(C36*$I$63,0)</f>
        <v>0</v>
      </c>
      <c r="J36" s="247">
        <f>ROUND(C36*$I$61,0)</f>
        <v>0</v>
      </c>
      <c r="K36" s="22">
        <f t="shared" ref="K36:K55" si="8">ROUND((E36*$B$77)+(F36*$B$82)+(G36*$B$83)+(H36*$B$84)+(I36*$B$85)+(J36*$B$86),0)</f>
        <v>1105900</v>
      </c>
      <c r="L36" s="60"/>
      <c r="M36" s="49">
        <f>A36</f>
        <v>2026</v>
      </c>
      <c r="N36" s="246">
        <f t="shared" ref="N36:N55" si="9">E36*$F$89</f>
        <v>24.119193000000003</v>
      </c>
      <c r="O36" s="8">
        <f t="shared" ref="O36:O55" si="10">F36*$F$89</f>
        <v>11.765460000000001</v>
      </c>
      <c r="P36" s="246">
        <f t="shared" ref="P36:P55" si="11">G36*$F$81</f>
        <v>2.2942647000000003</v>
      </c>
      <c r="Q36" s="8">
        <f t="shared" ref="Q36:Q55" si="12">H36*$F$81</f>
        <v>1.3765588200000001</v>
      </c>
      <c r="R36" s="246">
        <f t="shared" ref="R36:R55" si="13">I36*$F$81</f>
        <v>0</v>
      </c>
      <c r="S36" s="8">
        <f t="shared" ref="S36:S55" si="14">J36*$F$81</f>
        <v>0</v>
      </c>
      <c r="T36" s="103">
        <f t="shared" ref="T36:T55" si="15">ROUND((N36*$B$77)+(O36*$B$82)+(P36*$B$83)+(Q36*$B$84)+(R36*$B$85)+(S36*$B$86),0)</f>
        <v>541949</v>
      </c>
      <c r="II36" s="1"/>
      <c r="IJ36" s="1"/>
      <c r="IK36" s="1"/>
      <c r="IL36" s="1"/>
      <c r="IM36" s="1"/>
      <c r="IN36" s="1"/>
      <c r="IO36" s="1"/>
      <c r="IP36" s="1"/>
    </row>
    <row r="37" spans="1:250" x14ac:dyDescent="0.2">
      <c r="A37" s="49">
        <f t="shared" ref="A37:A55" si="16">A36+1</f>
        <v>2027</v>
      </c>
      <c r="B37" s="50">
        <f t="shared" si="4"/>
        <v>30319.690327647437</v>
      </c>
      <c r="C37" s="8">
        <f t="shared" si="5"/>
        <v>28</v>
      </c>
      <c r="D37" s="245">
        <f t="shared" si="6"/>
        <v>56</v>
      </c>
      <c r="E37" s="21">
        <f t="shared" si="7"/>
        <v>41</v>
      </c>
      <c r="F37" s="50">
        <f t="shared" ref="F37:F38" si="17">ROUND(C37*$I$69,0)</f>
        <v>20</v>
      </c>
      <c r="G37" s="21">
        <f t="shared" ref="G37:G38" si="18">ROUND(C37*$I$67,0)</f>
        <v>5</v>
      </c>
      <c r="H37" s="246">
        <f t="shared" ref="H37:H38" si="19">ROUND(C37*$I$65,0)</f>
        <v>3</v>
      </c>
      <c r="I37" s="23">
        <f t="shared" ref="I37:I38" si="20">ROUND(C37*$I$63,0)</f>
        <v>0</v>
      </c>
      <c r="J37" s="247">
        <f t="shared" ref="J37:J38" si="21">ROUND(C37*$I$61,0)</f>
        <v>0</v>
      </c>
      <c r="K37" s="22">
        <f t="shared" si="8"/>
        <v>1105900</v>
      </c>
      <c r="L37" s="60"/>
      <c r="M37" s="49">
        <f t="shared" ref="M37:M55" si="22">A37</f>
        <v>2027</v>
      </c>
      <c r="N37" s="246">
        <f t="shared" si="9"/>
        <v>24.119193000000003</v>
      </c>
      <c r="O37" s="8">
        <f t="shared" si="10"/>
        <v>11.765460000000001</v>
      </c>
      <c r="P37" s="246">
        <f t="shared" si="11"/>
        <v>2.2942647000000003</v>
      </c>
      <c r="Q37" s="8">
        <f t="shared" si="12"/>
        <v>1.3765588200000001</v>
      </c>
      <c r="R37" s="246">
        <f t="shared" si="13"/>
        <v>0</v>
      </c>
      <c r="S37" s="8">
        <f t="shared" si="14"/>
        <v>0</v>
      </c>
      <c r="T37" s="103">
        <f t="shared" si="15"/>
        <v>541949</v>
      </c>
      <c r="II37" s="1"/>
      <c r="IJ37" s="1"/>
      <c r="IK37" s="1"/>
      <c r="IL37" s="1"/>
      <c r="IM37" s="1"/>
      <c r="IN37" s="1"/>
      <c r="IO37" s="1"/>
      <c r="IP37" s="1"/>
    </row>
    <row r="38" spans="1:250" x14ac:dyDescent="0.2">
      <c r="A38" s="49">
        <f t="shared" si="16"/>
        <v>2028</v>
      </c>
      <c r="B38" s="50">
        <f t="shared" si="4"/>
        <v>30835.698763566343</v>
      </c>
      <c r="C38" s="8">
        <f t="shared" si="5"/>
        <v>29</v>
      </c>
      <c r="D38" s="245">
        <f t="shared" si="6"/>
        <v>58</v>
      </c>
      <c r="E38" s="21">
        <f t="shared" si="7"/>
        <v>42</v>
      </c>
      <c r="F38" s="50">
        <f t="shared" si="17"/>
        <v>21</v>
      </c>
      <c r="G38" s="21">
        <f t="shared" si="18"/>
        <v>5</v>
      </c>
      <c r="H38" s="246">
        <f t="shared" si="19"/>
        <v>3</v>
      </c>
      <c r="I38" s="23">
        <f t="shared" si="20"/>
        <v>0</v>
      </c>
      <c r="J38" s="247">
        <f t="shared" si="21"/>
        <v>0</v>
      </c>
      <c r="K38" s="22">
        <f t="shared" si="8"/>
        <v>1114400</v>
      </c>
      <c r="L38" s="60"/>
      <c r="M38" s="49">
        <f t="shared" si="22"/>
        <v>2028</v>
      </c>
      <c r="N38" s="246">
        <f t="shared" si="9"/>
        <v>24.707466000000004</v>
      </c>
      <c r="O38" s="8">
        <f t="shared" si="10"/>
        <v>12.353733000000002</v>
      </c>
      <c r="P38" s="246">
        <f t="shared" si="11"/>
        <v>2.2942647000000003</v>
      </c>
      <c r="Q38" s="8">
        <f t="shared" si="12"/>
        <v>1.3765588200000001</v>
      </c>
      <c r="R38" s="246">
        <f t="shared" si="13"/>
        <v>0</v>
      </c>
      <c r="S38" s="8">
        <f t="shared" si="14"/>
        <v>0</v>
      </c>
      <c r="T38" s="103">
        <f t="shared" si="15"/>
        <v>546949</v>
      </c>
      <c r="II38" s="1"/>
      <c r="IJ38" s="1"/>
      <c r="IK38" s="1"/>
      <c r="IL38" s="1"/>
      <c r="IM38" s="1"/>
      <c r="IN38" s="1"/>
      <c r="IO38" s="1"/>
      <c r="IP38" s="1"/>
    </row>
    <row r="39" spans="1:250" x14ac:dyDescent="0.2">
      <c r="A39" s="49">
        <f t="shared" si="16"/>
        <v>2029</v>
      </c>
      <c r="B39" s="50">
        <f t="shared" si="4"/>
        <v>31360.489106657194</v>
      </c>
      <c r="C39" s="8">
        <f t="shared" si="5"/>
        <v>29</v>
      </c>
      <c r="D39" s="245">
        <f t="shared" si="6"/>
        <v>58</v>
      </c>
      <c r="E39" s="21">
        <f t="shared" si="7"/>
        <v>42</v>
      </c>
      <c r="F39" s="50">
        <f t="shared" ref="F39:F55" si="23">ROUND(C39*$I$69,0)</f>
        <v>21</v>
      </c>
      <c r="G39" s="21">
        <f t="shared" ref="G39:G55" si="24">ROUND(C39*$I$67,0)</f>
        <v>5</v>
      </c>
      <c r="H39" s="246">
        <f t="shared" ref="H39:H55" si="25">ROUND(C39*$I$65,0)</f>
        <v>3</v>
      </c>
      <c r="I39" s="23">
        <f t="shared" ref="I39:I55" si="26">ROUND(C39*$I$63,0)</f>
        <v>0</v>
      </c>
      <c r="J39" s="247">
        <f t="shared" ref="J39:J55" si="27">ROUND(C39*$I$61,0)</f>
        <v>0</v>
      </c>
      <c r="K39" s="22">
        <f t="shared" si="8"/>
        <v>1114400</v>
      </c>
      <c r="L39" s="60"/>
      <c r="M39" s="49">
        <f t="shared" si="22"/>
        <v>2029</v>
      </c>
      <c r="N39" s="246">
        <f t="shared" si="9"/>
        <v>24.707466000000004</v>
      </c>
      <c r="O39" s="8">
        <f t="shared" si="10"/>
        <v>12.353733000000002</v>
      </c>
      <c r="P39" s="246">
        <f t="shared" si="11"/>
        <v>2.2942647000000003</v>
      </c>
      <c r="Q39" s="8">
        <f t="shared" si="12"/>
        <v>1.3765588200000001</v>
      </c>
      <c r="R39" s="246">
        <f t="shared" si="13"/>
        <v>0</v>
      </c>
      <c r="S39" s="8">
        <f t="shared" si="14"/>
        <v>0</v>
      </c>
      <c r="T39" s="103">
        <f t="shared" si="15"/>
        <v>546949</v>
      </c>
      <c r="II39" s="1"/>
      <c r="IJ39" s="1"/>
      <c r="IK39" s="1"/>
      <c r="IL39" s="1"/>
      <c r="IM39" s="1"/>
      <c r="IN39" s="1"/>
      <c r="IO39" s="1"/>
      <c r="IP39" s="1"/>
    </row>
    <row r="40" spans="1:250" x14ac:dyDescent="0.2">
      <c r="A40" s="49">
        <f t="shared" si="16"/>
        <v>2030</v>
      </c>
      <c r="B40" s="50">
        <f t="shared" si="4"/>
        <v>31894.210815510603</v>
      </c>
      <c r="C40" s="8">
        <f t="shared" si="5"/>
        <v>30</v>
      </c>
      <c r="D40" s="245">
        <f t="shared" si="6"/>
        <v>60</v>
      </c>
      <c r="E40" s="21">
        <f t="shared" si="7"/>
        <v>44</v>
      </c>
      <c r="F40" s="50">
        <f t="shared" si="23"/>
        <v>22</v>
      </c>
      <c r="G40" s="21">
        <f t="shared" si="24"/>
        <v>5</v>
      </c>
      <c r="H40" s="246">
        <f t="shared" si="25"/>
        <v>3</v>
      </c>
      <c r="I40" s="23">
        <f t="shared" si="26"/>
        <v>0</v>
      </c>
      <c r="J40" s="247">
        <f t="shared" si="27"/>
        <v>0</v>
      </c>
      <c r="K40" s="22">
        <f t="shared" si="8"/>
        <v>1127500</v>
      </c>
      <c r="L40" s="60"/>
      <c r="M40" s="49">
        <f t="shared" si="22"/>
        <v>2030</v>
      </c>
      <c r="N40" s="246">
        <f t="shared" si="9"/>
        <v>25.884012000000002</v>
      </c>
      <c r="O40" s="8">
        <f t="shared" si="10"/>
        <v>12.942006000000001</v>
      </c>
      <c r="P40" s="246">
        <f t="shared" si="11"/>
        <v>2.2942647000000003</v>
      </c>
      <c r="Q40" s="8">
        <f t="shared" si="12"/>
        <v>1.3765588200000001</v>
      </c>
      <c r="R40" s="246">
        <f t="shared" si="13"/>
        <v>0</v>
      </c>
      <c r="S40" s="8">
        <f t="shared" si="14"/>
        <v>0</v>
      </c>
      <c r="T40" s="103">
        <f t="shared" si="15"/>
        <v>554656</v>
      </c>
      <c r="II40" s="1"/>
      <c r="IJ40" s="1"/>
      <c r="IK40" s="1"/>
      <c r="IL40" s="1"/>
      <c r="IM40" s="1"/>
      <c r="IN40" s="1"/>
      <c r="IO40" s="1"/>
      <c r="IP40" s="1"/>
    </row>
    <row r="41" spans="1:250" x14ac:dyDescent="0.2">
      <c r="A41" s="49">
        <f t="shared" si="16"/>
        <v>2031</v>
      </c>
      <c r="B41" s="50">
        <f t="shared" si="4"/>
        <v>32437.015892341224</v>
      </c>
      <c r="C41" s="8">
        <f t="shared" si="5"/>
        <v>30</v>
      </c>
      <c r="D41" s="245">
        <f t="shared" si="6"/>
        <v>60</v>
      </c>
      <c r="E41" s="21">
        <f t="shared" si="7"/>
        <v>44</v>
      </c>
      <c r="F41" s="50">
        <f t="shared" si="23"/>
        <v>22</v>
      </c>
      <c r="G41" s="21">
        <f t="shared" si="24"/>
        <v>5</v>
      </c>
      <c r="H41" s="246">
        <f t="shared" si="25"/>
        <v>3</v>
      </c>
      <c r="I41" s="23">
        <f t="shared" si="26"/>
        <v>0</v>
      </c>
      <c r="J41" s="247">
        <f t="shared" si="27"/>
        <v>0</v>
      </c>
      <c r="K41" s="22">
        <f t="shared" si="8"/>
        <v>1127500</v>
      </c>
      <c r="L41" s="60"/>
      <c r="M41" s="49">
        <f t="shared" si="22"/>
        <v>2031</v>
      </c>
      <c r="N41" s="246">
        <f t="shared" si="9"/>
        <v>25.884012000000002</v>
      </c>
      <c r="O41" s="8">
        <f t="shared" si="10"/>
        <v>12.942006000000001</v>
      </c>
      <c r="P41" s="246">
        <f t="shared" si="11"/>
        <v>2.2942647000000003</v>
      </c>
      <c r="Q41" s="8">
        <f t="shared" si="12"/>
        <v>1.3765588200000001</v>
      </c>
      <c r="R41" s="246">
        <f t="shared" si="13"/>
        <v>0</v>
      </c>
      <c r="S41" s="8">
        <f t="shared" si="14"/>
        <v>0</v>
      </c>
      <c r="T41" s="103">
        <f t="shared" si="15"/>
        <v>554656</v>
      </c>
      <c r="II41" s="1"/>
      <c r="IJ41" s="1"/>
      <c r="IK41" s="1"/>
      <c r="IL41" s="1"/>
      <c r="IM41" s="1"/>
      <c r="IN41" s="1"/>
      <c r="IO41" s="1"/>
      <c r="IP41" s="1"/>
    </row>
    <row r="42" spans="1:250" x14ac:dyDescent="0.2">
      <c r="A42" s="49">
        <f t="shared" si="16"/>
        <v>2032</v>
      </c>
      <c r="B42" s="50">
        <f t="shared" si="4"/>
        <v>32989.058926277532</v>
      </c>
      <c r="C42" s="8">
        <f t="shared" si="5"/>
        <v>31</v>
      </c>
      <c r="D42" s="245">
        <f t="shared" si="6"/>
        <v>62</v>
      </c>
      <c r="E42" s="21">
        <f t="shared" si="7"/>
        <v>45</v>
      </c>
      <c r="F42" s="50">
        <f t="shared" si="23"/>
        <v>23</v>
      </c>
      <c r="G42" s="21">
        <f t="shared" si="24"/>
        <v>5</v>
      </c>
      <c r="H42" s="246">
        <f t="shared" si="25"/>
        <v>3</v>
      </c>
      <c r="I42" s="23">
        <f t="shared" si="26"/>
        <v>1</v>
      </c>
      <c r="J42" s="247">
        <f t="shared" si="27"/>
        <v>0</v>
      </c>
      <c r="K42" s="22">
        <f t="shared" si="8"/>
        <v>1690800</v>
      </c>
      <c r="L42" s="60"/>
      <c r="M42" s="49">
        <f t="shared" si="22"/>
        <v>2032</v>
      </c>
      <c r="N42" s="246">
        <f t="shared" si="9"/>
        <v>26.472285000000003</v>
      </c>
      <c r="O42" s="8">
        <f t="shared" si="10"/>
        <v>13.530279</v>
      </c>
      <c r="P42" s="246">
        <f t="shared" si="11"/>
        <v>2.2942647000000003</v>
      </c>
      <c r="Q42" s="8">
        <f t="shared" si="12"/>
        <v>1.3765588200000001</v>
      </c>
      <c r="R42" s="246">
        <f t="shared" si="13"/>
        <v>0.45885294000000004</v>
      </c>
      <c r="S42" s="8">
        <f t="shared" si="14"/>
        <v>0</v>
      </c>
      <c r="T42" s="103">
        <f t="shared" si="15"/>
        <v>814227</v>
      </c>
      <c r="II42" s="1"/>
      <c r="IJ42" s="1"/>
      <c r="IK42" s="1"/>
      <c r="IL42" s="1"/>
      <c r="IM42" s="1"/>
      <c r="IN42" s="1"/>
      <c r="IO42" s="1"/>
      <c r="IP42" s="1"/>
    </row>
    <row r="43" spans="1:250" x14ac:dyDescent="0.2">
      <c r="A43" s="49">
        <f t="shared" si="16"/>
        <v>2033</v>
      </c>
      <c r="B43" s="50">
        <f t="shared" si="4"/>
        <v>33550.497137388236</v>
      </c>
      <c r="C43" s="8">
        <f t="shared" si="5"/>
        <v>31</v>
      </c>
      <c r="D43" s="245">
        <f t="shared" si="6"/>
        <v>62</v>
      </c>
      <c r="E43" s="21">
        <f t="shared" si="7"/>
        <v>45</v>
      </c>
      <c r="F43" s="50">
        <f t="shared" si="23"/>
        <v>23</v>
      </c>
      <c r="G43" s="21">
        <f t="shared" si="24"/>
        <v>5</v>
      </c>
      <c r="H43" s="246">
        <f t="shared" si="25"/>
        <v>3</v>
      </c>
      <c r="I43" s="23">
        <f t="shared" si="26"/>
        <v>1</v>
      </c>
      <c r="J43" s="247">
        <f t="shared" si="27"/>
        <v>0</v>
      </c>
      <c r="K43" s="22">
        <f t="shared" si="8"/>
        <v>1690800</v>
      </c>
      <c r="L43" s="60"/>
      <c r="M43" s="49">
        <f t="shared" si="22"/>
        <v>2033</v>
      </c>
      <c r="N43" s="246">
        <f t="shared" si="9"/>
        <v>26.472285000000003</v>
      </c>
      <c r="O43" s="8">
        <f t="shared" si="10"/>
        <v>13.530279</v>
      </c>
      <c r="P43" s="246">
        <f t="shared" si="11"/>
        <v>2.2942647000000003</v>
      </c>
      <c r="Q43" s="8">
        <f t="shared" si="12"/>
        <v>1.3765588200000001</v>
      </c>
      <c r="R43" s="246">
        <f t="shared" si="13"/>
        <v>0.45885294000000004</v>
      </c>
      <c r="S43" s="8">
        <f t="shared" si="14"/>
        <v>0</v>
      </c>
      <c r="T43" s="103">
        <f t="shared" si="15"/>
        <v>814227</v>
      </c>
      <c r="II43" s="1"/>
      <c r="IJ43" s="1"/>
      <c r="IK43" s="1"/>
      <c r="IL43" s="1"/>
      <c r="IM43" s="1"/>
      <c r="IN43" s="1"/>
      <c r="IO43" s="1"/>
      <c r="IP43" s="1"/>
    </row>
    <row r="44" spans="1:250" x14ac:dyDescent="0.2">
      <c r="A44" s="49">
        <f t="shared" si="16"/>
        <v>2034</v>
      </c>
      <c r="B44" s="50">
        <f t="shared" si="4"/>
        <v>34121.490421458126</v>
      </c>
      <c r="C44" s="8">
        <f t="shared" si="5"/>
        <v>32</v>
      </c>
      <c r="D44" s="245">
        <f t="shared" si="6"/>
        <v>64</v>
      </c>
      <c r="E44" s="21">
        <f t="shared" si="7"/>
        <v>47</v>
      </c>
      <c r="F44" s="50">
        <f t="shared" si="23"/>
        <v>23</v>
      </c>
      <c r="G44" s="21">
        <f t="shared" si="24"/>
        <v>5</v>
      </c>
      <c r="H44" s="246">
        <f t="shared" si="25"/>
        <v>3</v>
      </c>
      <c r="I44" s="23">
        <f t="shared" si="26"/>
        <v>1</v>
      </c>
      <c r="J44" s="247">
        <f t="shared" si="27"/>
        <v>0</v>
      </c>
      <c r="K44" s="22">
        <f t="shared" si="8"/>
        <v>1700000</v>
      </c>
      <c r="L44" s="60"/>
      <c r="M44" s="49">
        <f t="shared" si="22"/>
        <v>2034</v>
      </c>
      <c r="N44" s="246">
        <f t="shared" si="9"/>
        <v>27.648831000000001</v>
      </c>
      <c r="O44" s="8">
        <f t="shared" si="10"/>
        <v>13.530279</v>
      </c>
      <c r="P44" s="246">
        <f t="shared" si="11"/>
        <v>2.2942647000000003</v>
      </c>
      <c r="Q44" s="8">
        <f t="shared" si="12"/>
        <v>1.3765588200000001</v>
      </c>
      <c r="R44" s="246">
        <f t="shared" si="13"/>
        <v>0.45885294000000004</v>
      </c>
      <c r="S44" s="8">
        <f t="shared" si="14"/>
        <v>0</v>
      </c>
      <c r="T44" s="103">
        <f t="shared" si="15"/>
        <v>819640</v>
      </c>
      <c r="II44" s="1"/>
      <c r="IJ44" s="1"/>
      <c r="IK44" s="1"/>
      <c r="IL44" s="1"/>
      <c r="IM44" s="1"/>
      <c r="IN44" s="1"/>
      <c r="IO44" s="1"/>
      <c r="IP44" s="1"/>
    </row>
    <row r="45" spans="1:250" x14ac:dyDescent="0.2">
      <c r="A45" s="49">
        <f t="shared" si="16"/>
        <v>2035</v>
      </c>
      <c r="B45" s="50">
        <f t="shared" si="4"/>
        <v>34702.201395525801</v>
      </c>
      <c r="C45" s="8">
        <f t="shared" si="5"/>
        <v>32</v>
      </c>
      <c r="D45" s="245">
        <f t="shared" si="6"/>
        <v>64</v>
      </c>
      <c r="E45" s="21">
        <f t="shared" si="7"/>
        <v>47</v>
      </c>
      <c r="F45" s="50">
        <f t="shared" si="23"/>
        <v>23</v>
      </c>
      <c r="G45" s="21">
        <f t="shared" si="24"/>
        <v>5</v>
      </c>
      <c r="H45" s="246">
        <f t="shared" si="25"/>
        <v>3</v>
      </c>
      <c r="I45" s="23">
        <f t="shared" si="26"/>
        <v>1</v>
      </c>
      <c r="J45" s="247">
        <f t="shared" si="27"/>
        <v>0</v>
      </c>
      <c r="K45" s="22">
        <f t="shared" si="8"/>
        <v>1700000</v>
      </c>
      <c r="L45" s="60"/>
      <c r="M45" s="49">
        <f t="shared" si="22"/>
        <v>2035</v>
      </c>
      <c r="N45" s="246">
        <f t="shared" si="9"/>
        <v>27.648831000000001</v>
      </c>
      <c r="O45" s="8">
        <f t="shared" si="10"/>
        <v>13.530279</v>
      </c>
      <c r="P45" s="246">
        <f t="shared" si="11"/>
        <v>2.2942647000000003</v>
      </c>
      <c r="Q45" s="8">
        <f t="shared" si="12"/>
        <v>1.3765588200000001</v>
      </c>
      <c r="R45" s="246">
        <f t="shared" si="13"/>
        <v>0.45885294000000004</v>
      </c>
      <c r="S45" s="8">
        <f t="shared" si="14"/>
        <v>0</v>
      </c>
      <c r="T45" s="103">
        <f t="shared" si="15"/>
        <v>819640</v>
      </c>
      <c r="II45" s="1"/>
      <c r="IJ45" s="1"/>
      <c r="IK45" s="1"/>
      <c r="IL45" s="1"/>
      <c r="IM45" s="1"/>
      <c r="IN45" s="1"/>
      <c r="IO45" s="1"/>
      <c r="IP45" s="1"/>
    </row>
    <row r="46" spans="1:250" x14ac:dyDescent="0.2">
      <c r="A46" s="49">
        <f t="shared" si="16"/>
        <v>2036</v>
      </c>
      <c r="B46" s="50">
        <f t="shared" si="4"/>
        <v>35292.795444196534</v>
      </c>
      <c r="C46" s="8">
        <f t="shared" si="5"/>
        <v>33</v>
      </c>
      <c r="D46" s="245">
        <f t="shared" si="6"/>
        <v>66</v>
      </c>
      <c r="E46" s="21">
        <f t="shared" si="7"/>
        <v>48</v>
      </c>
      <c r="F46" s="50">
        <f t="shared" si="23"/>
        <v>24</v>
      </c>
      <c r="G46" s="21">
        <f t="shared" si="24"/>
        <v>5</v>
      </c>
      <c r="H46" s="246">
        <f t="shared" si="25"/>
        <v>3</v>
      </c>
      <c r="I46" s="23">
        <f t="shared" si="26"/>
        <v>1</v>
      </c>
      <c r="J46" s="247">
        <f t="shared" si="27"/>
        <v>0</v>
      </c>
      <c r="K46" s="22">
        <f t="shared" si="8"/>
        <v>1708500</v>
      </c>
      <c r="L46" s="60"/>
      <c r="M46" s="49">
        <f t="shared" si="22"/>
        <v>2036</v>
      </c>
      <c r="N46" s="246">
        <f t="shared" si="9"/>
        <v>28.237104000000002</v>
      </c>
      <c r="O46" s="8">
        <f t="shared" si="10"/>
        <v>14.118552000000001</v>
      </c>
      <c r="P46" s="246">
        <f t="shared" si="11"/>
        <v>2.2942647000000003</v>
      </c>
      <c r="Q46" s="8">
        <f t="shared" si="12"/>
        <v>1.3765588200000001</v>
      </c>
      <c r="R46" s="246">
        <f t="shared" si="13"/>
        <v>0.45885294000000004</v>
      </c>
      <c r="S46" s="8">
        <f t="shared" si="14"/>
        <v>0</v>
      </c>
      <c r="T46" s="103">
        <f t="shared" si="15"/>
        <v>824640</v>
      </c>
      <c r="II46" s="1"/>
      <c r="IJ46" s="1"/>
      <c r="IK46" s="1"/>
      <c r="IL46" s="1"/>
      <c r="IM46" s="1"/>
      <c r="IN46" s="1"/>
      <c r="IO46" s="1"/>
      <c r="IP46" s="1"/>
    </row>
    <row r="47" spans="1:250" x14ac:dyDescent="0.2">
      <c r="A47" s="49">
        <f t="shared" si="16"/>
        <v>2037</v>
      </c>
      <c r="B47" s="50">
        <f t="shared" si="4"/>
        <v>35893.440766743232</v>
      </c>
      <c r="C47" s="8">
        <f t="shared" si="5"/>
        <v>33</v>
      </c>
      <c r="D47" s="245">
        <f t="shared" si="6"/>
        <v>66</v>
      </c>
      <c r="E47" s="21">
        <f t="shared" si="7"/>
        <v>48</v>
      </c>
      <c r="F47" s="50">
        <f t="shared" si="23"/>
        <v>24</v>
      </c>
      <c r="G47" s="21">
        <f t="shared" si="24"/>
        <v>5</v>
      </c>
      <c r="H47" s="246">
        <f t="shared" si="25"/>
        <v>3</v>
      </c>
      <c r="I47" s="23">
        <f t="shared" si="26"/>
        <v>1</v>
      </c>
      <c r="J47" s="247">
        <f t="shared" si="27"/>
        <v>0</v>
      </c>
      <c r="K47" s="22">
        <f t="shared" si="8"/>
        <v>1708500</v>
      </c>
      <c r="L47" s="60"/>
      <c r="M47" s="49">
        <f t="shared" si="22"/>
        <v>2037</v>
      </c>
      <c r="N47" s="246">
        <f t="shared" si="9"/>
        <v>28.237104000000002</v>
      </c>
      <c r="O47" s="8">
        <f t="shared" si="10"/>
        <v>14.118552000000001</v>
      </c>
      <c r="P47" s="246">
        <f t="shared" si="11"/>
        <v>2.2942647000000003</v>
      </c>
      <c r="Q47" s="8">
        <f t="shared" si="12"/>
        <v>1.3765588200000001</v>
      </c>
      <c r="R47" s="246">
        <f t="shared" si="13"/>
        <v>0.45885294000000004</v>
      </c>
      <c r="S47" s="8">
        <f t="shared" si="14"/>
        <v>0</v>
      </c>
      <c r="T47" s="103">
        <f t="shared" si="15"/>
        <v>824640</v>
      </c>
      <c r="II47" s="1"/>
      <c r="IJ47" s="1"/>
      <c r="IK47" s="1"/>
      <c r="IL47" s="1"/>
      <c r="IM47" s="1"/>
      <c r="IN47" s="1"/>
      <c r="IO47" s="1"/>
      <c r="IP47" s="1"/>
    </row>
    <row r="48" spans="1:250" x14ac:dyDescent="0.2">
      <c r="A48" s="49">
        <f t="shared" si="16"/>
        <v>2038</v>
      </c>
      <c r="B48" s="50">
        <f t="shared" si="4"/>
        <v>36504.308425009061</v>
      </c>
      <c r="C48" s="8">
        <f t="shared" si="5"/>
        <v>34</v>
      </c>
      <c r="D48" s="245">
        <f t="shared" si="6"/>
        <v>68</v>
      </c>
      <c r="E48" s="21">
        <f t="shared" si="7"/>
        <v>50</v>
      </c>
      <c r="F48" s="50">
        <f t="shared" si="23"/>
        <v>25</v>
      </c>
      <c r="G48" s="21">
        <f t="shared" si="24"/>
        <v>6</v>
      </c>
      <c r="H48" s="246">
        <f t="shared" si="25"/>
        <v>3</v>
      </c>
      <c r="I48" s="23">
        <f t="shared" si="26"/>
        <v>1</v>
      </c>
      <c r="J48" s="247">
        <f t="shared" si="27"/>
        <v>0</v>
      </c>
      <c r="K48" s="22">
        <f t="shared" si="8"/>
        <v>1798800</v>
      </c>
      <c r="L48" s="60"/>
      <c r="M48" s="49">
        <f t="shared" si="22"/>
        <v>2038</v>
      </c>
      <c r="N48" s="246">
        <f t="shared" si="9"/>
        <v>29.413650000000004</v>
      </c>
      <c r="O48" s="8">
        <f t="shared" si="10"/>
        <v>14.706825000000002</v>
      </c>
      <c r="P48" s="246">
        <f t="shared" si="11"/>
        <v>2.7531176400000001</v>
      </c>
      <c r="Q48" s="8">
        <f t="shared" si="12"/>
        <v>1.3765588200000001</v>
      </c>
      <c r="R48" s="246">
        <f t="shared" si="13"/>
        <v>0.45885294000000004</v>
      </c>
      <c r="S48" s="8">
        <f t="shared" si="14"/>
        <v>0</v>
      </c>
      <c r="T48" s="103">
        <f t="shared" si="15"/>
        <v>867770</v>
      </c>
      <c r="II48" s="1"/>
      <c r="IJ48" s="1"/>
      <c r="IK48" s="1"/>
      <c r="IL48" s="1"/>
      <c r="IM48" s="1"/>
      <c r="IN48" s="1"/>
      <c r="IO48" s="1"/>
      <c r="IP48" s="1"/>
    </row>
    <row r="49" spans="1:250" x14ac:dyDescent="0.2">
      <c r="A49" s="49">
        <f t="shared" si="16"/>
        <v>2039</v>
      </c>
      <c r="B49" s="50">
        <f t="shared" si="4"/>
        <v>37125.572392125301</v>
      </c>
      <c r="C49" s="8">
        <f t="shared" si="5"/>
        <v>34</v>
      </c>
      <c r="D49" s="245">
        <f t="shared" si="6"/>
        <v>68</v>
      </c>
      <c r="E49" s="21">
        <f t="shared" si="7"/>
        <v>50</v>
      </c>
      <c r="F49" s="50">
        <f t="shared" si="23"/>
        <v>25</v>
      </c>
      <c r="G49" s="21">
        <f t="shared" si="24"/>
        <v>6</v>
      </c>
      <c r="H49" s="246">
        <f t="shared" si="25"/>
        <v>3</v>
      </c>
      <c r="I49" s="23">
        <f t="shared" si="26"/>
        <v>1</v>
      </c>
      <c r="J49" s="247">
        <f t="shared" si="27"/>
        <v>0</v>
      </c>
      <c r="K49" s="22">
        <f t="shared" si="8"/>
        <v>1798800</v>
      </c>
      <c r="L49" s="60"/>
      <c r="M49" s="49">
        <f t="shared" si="22"/>
        <v>2039</v>
      </c>
      <c r="N49" s="246">
        <f t="shared" si="9"/>
        <v>29.413650000000004</v>
      </c>
      <c r="O49" s="8">
        <f t="shared" si="10"/>
        <v>14.706825000000002</v>
      </c>
      <c r="P49" s="246">
        <f t="shared" si="11"/>
        <v>2.7531176400000001</v>
      </c>
      <c r="Q49" s="8">
        <f t="shared" si="12"/>
        <v>1.3765588200000001</v>
      </c>
      <c r="R49" s="246">
        <f t="shared" si="13"/>
        <v>0.45885294000000004</v>
      </c>
      <c r="S49" s="8">
        <f t="shared" si="14"/>
        <v>0</v>
      </c>
      <c r="T49" s="103">
        <f t="shared" si="15"/>
        <v>867770</v>
      </c>
      <c r="II49" s="1"/>
      <c r="IJ49" s="1"/>
      <c r="IK49" s="1"/>
      <c r="IL49" s="1"/>
      <c r="IM49" s="1"/>
      <c r="IN49" s="1"/>
      <c r="IO49" s="1"/>
      <c r="IP49" s="1"/>
    </row>
    <row r="50" spans="1:250" x14ac:dyDescent="0.2">
      <c r="A50" s="49">
        <f t="shared" si="16"/>
        <v>2040</v>
      </c>
      <c r="B50" s="50">
        <f t="shared" si="4"/>
        <v>37757.409602058346</v>
      </c>
      <c r="C50" s="8">
        <f t="shared" si="5"/>
        <v>35</v>
      </c>
      <c r="D50" s="245">
        <f t="shared" si="6"/>
        <v>70</v>
      </c>
      <c r="E50" s="21">
        <f t="shared" si="7"/>
        <v>51</v>
      </c>
      <c r="F50" s="50">
        <f t="shared" si="23"/>
        <v>26</v>
      </c>
      <c r="G50" s="21">
        <f t="shared" si="24"/>
        <v>6</v>
      </c>
      <c r="H50" s="246">
        <f t="shared" si="25"/>
        <v>3</v>
      </c>
      <c r="I50" s="23">
        <f t="shared" si="26"/>
        <v>1</v>
      </c>
      <c r="J50" s="247">
        <f t="shared" si="27"/>
        <v>0</v>
      </c>
      <c r="K50" s="22">
        <f t="shared" si="8"/>
        <v>1807300</v>
      </c>
      <c r="L50" s="60"/>
      <c r="M50" s="49">
        <f t="shared" si="22"/>
        <v>2040</v>
      </c>
      <c r="N50" s="246">
        <f t="shared" si="9"/>
        <v>30.001923000000001</v>
      </c>
      <c r="O50" s="8">
        <f t="shared" si="10"/>
        <v>15.295098000000001</v>
      </c>
      <c r="P50" s="246">
        <f t="shared" si="11"/>
        <v>2.7531176400000001</v>
      </c>
      <c r="Q50" s="8">
        <f t="shared" si="12"/>
        <v>1.3765588200000001</v>
      </c>
      <c r="R50" s="246">
        <f t="shared" si="13"/>
        <v>0.45885294000000004</v>
      </c>
      <c r="S50" s="8">
        <f t="shared" si="14"/>
        <v>0</v>
      </c>
      <c r="T50" s="103">
        <f t="shared" si="15"/>
        <v>872770</v>
      </c>
      <c r="II50" s="1"/>
      <c r="IJ50" s="1"/>
      <c r="IK50" s="1"/>
      <c r="IL50" s="1"/>
      <c r="IM50" s="1"/>
      <c r="IN50" s="1"/>
      <c r="IO50" s="1"/>
      <c r="IP50" s="1"/>
    </row>
    <row r="51" spans="1:250" x14ac:dyDescent="0.2">
      <c r="A51" s="49">
        <f t="shared" si="16"/>
        <v>2041</v>
      </c>
      <c r="B51" s="50">
        <f t="shared" si="4"/>
        <v>38399.999999999898</v>
      </c>
      <c r="C51" s="8">
        <f t="shared" si="5"/>
        <v>36</v>
      </c>
      <c r="D51" s="245">
        <f t="shared" si="6"/>
        <v>72</v>
      </c>
      <c r="E51" s="21">
        <f t="shared" si="7"/>
        <v>52</v>
      </c>
      <c r="F51" s="50">
        <f t="shared" si="23"/>
        <v>26</v>
      </c>
      <c r="G51" s="21">
        <f t="shared" si="24"/>
        <v>6</v>
      </c>
      <c r="H51" s="246">
        <f t="shared" si="25"/>
        <v>3</v>
      </c>
      <c r="I51" s="23">
        <f t="shared" si="26"/>
        <v>1</v>
      </c>
      <c r="J51" s="247">
        <f t="shared" si="27"/>
        <v>0</v>
      </c>
      <c r="K51" s="22">
        <f t="shared" si="8"/>
        <v>1811900</v>
      </c>
      <c r="L51" s="60"/>
      <c r="M51" s="49">
        <f t="shared" si="22"/>
        <v>2041</v>
      </c>
      <c r="N51" s="246">
        <f t="shared" si="9"/>
        <v>30.590196000000002</v>
      </c>
      <c r="O51" s="8">
        <f t="shared" si="10"/>
        <v>15.295098000000001</v>
      </c>
      <c r="P51" s="246">
        <f t="shared" si="11"/>
        <v>2.7531176400000001</v>
      </c>
      <c r="Q51" s="8">
        <f t="shared" si="12"/>
        <v>1.3765588200000001</v>
      </c>
      <c r="R51" s="246">
        <f t="shared" si="13"/>
        <v>0.45885294000000004</v>
      </c>
      <c r="S51" s="8">
        <f t="shared" si="14"/>
        <v>0</v>
      </c>
      <c r="T51" s="103">
        <f t="shared" si="15"/>
        <v>875476</v>
      </c>
      <c r="II51" s="1"/>
      <c r="IJ51" s="1"/>
      <c r="IK51" s="1"/>
      <c r="IL51" s="1"/>
      <c r="IM51" s="1"/>
      <c r="IN51" s="1"/>
      <c r="IO51" s="1"/>
      <c r="IP51" s="1"/>
    </row>
    <row r="52" spans="1:250" x14ac:dyDescent="0.2">
      <c r="A52" s="49">
        <f t="shared" si="16"/>
        <v>2042</v>
      </c>
      <c r="B52" s="50">
        <f t="shared" si="4"/>
        <v>39053.526593614799</v>
      </c>
      <c r="C52" s="8">
        <f t="shared" si="5"/>
        <v>36</v>
      </c>
      <c r="D52" s="245">
        <f t="shared" si="6"/>
        <v>72</v>
      </c>
      <c r="E52" s="21">
        <f t="shared" si="7"/>
        <v>52</v>
      </c>
      <c r="F52" s="50">
        <f t="shared" si="23"/>
        <v>26</v>
      </c>
      <c r="G52" s="21">
        <f t="shared" si="24"/>
        <v>6</v>
      </c>
      <c r="H52" s="246">
        <f t="shared" si="25"/>
        <v>3</v>
      </c>
      <c r="I52" s="23">
        <f t="shared" si="26"/>
        <v>1</v>
      </c>
      <c r="J52" s="247">
        <f t="shared" si="27"/>
        <v>0</v>
      </c>
      <c r="K52" s="22">
        <f t="shared" si="8"/>
        <v>1811900</v>
      </c>
      <c r="L52" s="60"/>
      <c r="M52" s="49">
        <f t="shared" si="22"/>
        <v>2042</v>
      </c>
      <c r="N52" s="246">
        <f t="shared" si="9"/>
        <v>30.590196000000002</v>
      </c>
      <c r="O52" s="8">
        <f t="shared" si="10"/>
        <v>15.295098000000001</v>
      </c>
      <c r="P52" s="246">
        <f t="shared" si="11"/>
        <v>2.7531176400000001</v>
      </c>
      <c r="Q52" s="8">
        <f t="shared" si="12"/>
        <v>1.3765588200000001</v>
      </c>
      <c r="R52" s="246">
        <f t="shared" si="13"/>
        <v>0.45885294000000004</v>
      </c>
      <c r="S52" s="8">
        <f t="shared" si="14"/>
        <v>0</v>
      </c>
      <c r="T52" s="103">
        <f t="shared" si="15"/>
        <v>875476</v>
      </c>
      <c r="II52" s="1"/>
      <c r="IJ52" s="1"/>
      <c r="IK52" s="1"/>
      <c r="IL52" s="1"/>
      <c r="IM52" s="1"/>
      <c r="IN52" s="1"/>
      <c r="IO52" s="1"/>
      <c r="IP52" s="1"/>
    </row>
    <row r="53" spans="1:250" x14ac:dyDescent="0.2">
      <c r="A53" s="49">
        <f t="shared" si="16"/>
        <v>2043</v>
      </c>
      <c r="B53" s="50">
        <f t="shared" si="4"/>
        <v>39718.175505160987</v>
      </c>
      <c r="C53" s="8">
        <f t="shared" si="5"/>
        <v>37</v>
      </c>
      <c r="D53" s="245">
        <f t="shared" si="6"/>
        <v>74</v>
      </c>
      <c r="E53" s="21">
        <f t="shared" si="7"/>
        <v>54</v>
      </c>
      <c r="F53" s="50">
        <f t="shared" si="23"/>
        <v>27</v>
      </c>
      <c r="G53" s="21">
        <f t="shared" si="24"/>
        <v>6</v>
      </c>
      <c r="H53" s="246">
        <f t="shared" si="25"/>
        <v>3</v>
      </c>
      <c r="I53" s="23">
        <f t="shared" si="26"/>
        <v>1</v>
      </c>
      <c r="J53" s="247">
        <f t="shared" si="27"/>
        <v>0</v>
      </c>
      <c r="K53" s="22">
        <f t="shared" si="8"/>
        <v>1825000</v>
      </c>
      <c r="L53" s="60"/>
      <c r="M53" s="49">
        <f t="shared" si="22"/>
        <v>2043</v>
      </c>
      <c r="N53" s="246">
        <f t="shared" si="9"/>
        <v>31.766742000000001</v>
      </c>
      <c r="O53" s="8">
        <f t="shared" si="10"/>
        <v>15.883371</v>
      </c>
      <c r="P53" s="246">
        <f t="shared" si="11"/>
        <v>2.7531176400000001</v>
      </c>
      <c r="Q53" s="8">
        <f t="shared" si="12"/>
        <v>1.3765588200000001</v>
      </c>
      <c r="R53" s="246">
        <f t="shared" si="13"/>
        <v>0.45885294000000004</v>
      </c>
      <c r="S53" s="8">
        <f t="shared" si="14"/>
        <v>0</v>
      </c>
      <c r="T53" s="103">
        <f t="shared" si="15"/>
        <v>883182</v>
      </c>
      <c r="II53" s="1"/>
      <c r="IJ53" s="1"/>
      <c r="IK53" s="1"/>
      <c r="IL53" s="1"/>
      <c r="IM53" s="1"/>
      <c r="IN53" s="1"/>
      <c r="IO53" s="1"/>
      <c r="IP53" s="1"/>
    </row>
    <row r="54" spans="1:250" x14ac:dyDescent="0.2">
      <c r="A54" s="49">
        <f t="shared" si="16"/>
        <v>2044</v>
      </c>
      <c r="B54" s="50">
        <f t="shared" si="4"/>
        <v>40394.136024496569</v>
      </c>
      <c r="C54" s="8">
        <f t="shared" si="5"/>
        <v>38</v>
      </c>
      <c r="D54" s="245">
        <f t="shared" si="6"/>
        <v>76</v>
      </c>
      <c r="E54" s="21">
        <f t="shared" si="7"/>
        <v>55</v>
      </c>
      <c r="F54" s="50">
        <f t="shared" si="23"/>
        <v>28</v>
      </c>
      <c r="G54" s="21">
        <f t="shared" si="24"/>
        <v>6</v>
      </c>
      <c r="H54" s="246">
        <f t="shared" si="25"/>
        <v>3</v>
      </c>
      <c r="I54" s="23">
        <f t="shared" si="26"/>
        <v>1</v>
      </c>
      <c r="J54" s="247">
        <f t="shared" si="27"/>
        <v>0</v>
      </c>
      <c r="K54" s="22">
        <f t="shared" si="8"/>
        <v>1833500</v>
      </c>
      <c r="L54" s="60"/>
      <c r="M54" s="49">
        <f t="shared" si="22"/>
        <v>2044</v>
      </c>
      <c r="N54" s="246">
        <f t="shared" si="9"/>
        <v>32.355015000000002</v>
      </c>
      <c r="O54" s="8">
        <f t="shared" si="10"/>
        <v>16.471644000000001</v>
      </c>
      <c r="P54" s="246">
        <f t="shared" si="11"/>
        <v>2.7531176400000001</v>
      </c>
      <c r="Q54" s="8">
        <f t="shared" si="12"/>
        <v>1.3765588200000001</v>
      </c>
      <c r="R54" s="246">
        <f t="shared" si="13"/>
        <v>0.45885294000000004</v>
      </c>
      <c r="S54" s="8">
        <f t="shared" si="14"/>
        <v>0</v>
      </c>
      <c r="T54" s="103">
        <f t="shared" si="15"/>
        <v>888183</v>
      </c>
      <c r="II54" s="1"/>
      <c r="IJ54" s="1"/>
      <c r="IK54" s="1"/>
      <c r="IL54" s="1"/>
      <c r="IM54" s="1"/>
      <c r="IN54" s="1"/>
      <c r="IO54" s="1"/>
      <c r="IP54" s="1"/>
    </row>
    <row r="55" spans="1:250" ht="13.5" thickBot="1" x14ac:dyDescent="0.25">
      <c r="A55" s="49">
        <f t="shared" si="16"/>
        <v>2045</v>
      </c>
      <c r="B55" s="50">
        <f t="shared" si="4"/>
        <v>41081.600662988916</v>
      </c>
      <c r="C55" s="8">
        <f t="shared" si="5"/>
        <v>38</v>
      </c>
      <c r="D55" s="245">
        <f t="shared" si="6"/>
        <v>76</v>
      </c>
      <c r="E55" s="21">
        <f t="shared" si="7"/>
        <v>55</v>
      </c>
      <c r="F55" s="50">
        <f t="shared" si="23"/>
        <v>28</v>
      </c>
      <c r="G55" s="21">
        <f t="shared" si="24"/>
        <v>6</v>
      </c>
      <c r="H55" s="246">
        <f t="shared" si="25"/>
        <v>3</v>
      </c>
      <c r="I55" s="23">
        <f t="shared" si="26"/>
        <v>1</v>
      </c>
      <c r="J55" s="247">
        <f t="shared" si="27"/>
        <v>0</v>
      </c>
      <c r="K55" s="32">
        <f t="shared" si="8"/>
        <v>1833500</v>
      </c>
      <c r="L55" s="60"/>
      <c r="M55" s="49">
        <f t="shared" si="22"/>
        <v>2045</v>
      </c>
      <c r="N55" s="256">
        <f t="shared" si="9"/>
        <v>32.355015000000002</v>
      </c>
      <c r="O55" s="31">
        <f t="shared" si="10"/>
        <v>16.471644000000001</v>
      </c>
      <c r="P55" s="256">
        <f t="shared" si="11"/>
        <v>2.7531176400000001</v>
      </c>
      <c r="Q55" s="31">
        <f t="shared" si="12"/>
        <v>1.3765588200000001</v>
      </c>
      <c r="R55" s="256">
        <f t="shared" si="13"/>
        <v>0.45885294000000004</v>
      </c>
      <c r="S55" s="31">
        <f t="shared" si="14"/>
        <v>0</v>
      </c>
      <c r="T55" s="104">
        <f t="shared" si="15"/>
        <v>888183</v>
      </c>
      <c r="II55" s="1"/>
      <c r="IJ55" s="1"/>
      <c r="IK55" s="1"/>
      <c r="IL55" s="1"/>
      <c r="IM55" s="1"/>
      <c r="IN55" s="1"/>
      <c r="IO55" s="1"/>
      <c r="IP55" s="1"/>
    </row>
    <row r="56" spans="1:250" ht="13.5" thickTop="1" x14ac:dyDescent="0.2">
      <c r="A56" s="379" t="s">
        <v>16</v>
      </c>
      <c r="B56" s="380"/>
      <c r="C56" s="380"/>
      <c r="D56" s="380"/>
      <c r="E56" s="380"/>
      <c r="F56" s="380"/>
      <c r="G56" s="380"/>
      <c r="H56" s="380"/>
      <c r="I56" s="380"/>
      <c r="J56" s="381"/>
      <c r="K56" s="255">
        <f>SUM(K36:K55)</f>
        <v>31414900</v>
      </c>
      <c r="L56" s="60"/>
      <c r="M56" s="376" t="s">
        <v>16</v>
      </c>
      <c r="N56" s="377"/>
      <c r="O56" s="377"/>
      <c r="P56" s="377"/>
      <c r="Q56" s="377"/>
      <c r="R56" s="377"/>
      <c r="S56" s="378"/>
      <c r="T56" s="248">
        <f>SUM(T36:T55)</f>
        <v>15222932</v>
      </c>
      <c r="II56" s="1"/>
      <c r="IJ56" s="1"/>
      <c r="IK56" s="1"/>
      <c r="IL56" s="1"/>
      <c r="IM56" s="1"/>
      <c r="IN56" s="1"/>
      <c r="IO56" s="1"/>
      <c r="IP56" s="1"/>
    </row>
    <row r="57" spans="1:250" x14ac:dyDescent="0.2">
      <c r="A57" s="60"/>
      <c r="B57" s="60"/>
      <c r="C57" s="60"/>
      <c r="D57" s="60"/>
      <c r="E57" s="60"/>
      <c r="F57" s="60"/>
      <c r="G57" s="60"/>
      <c r="H57" s="60"/>
      <c r="I57" s="60"/>
      <c r="J57" s="60"/>
      <c r="K57" s="60"/>
      <c r="L57" s="60"/>
      <c r="M57" s="60"/>
      <c r="N57" s="60"/>
      <c r="O57" s="60"/>
      <c r="P57" s="60"/>
      <c r="Q57" s="60"/>
      <c r="IJ57" s="1"/>
      <c r="IK57" s="1"/>
      <c r="IL57" s="1"/>
      <c r="IM57" s="1"/>
      <c r="IN57" s="1"/>
      <c r="IO57" s="1"/>
      <c r="IP57" s="1"/>
    </row>
    <row r="58" spans="1:250" x14ac:dyDescent="0.2">
      <c r="A58" s="356" t="s">
        <v>63</v>
      </c>
      <c r="B58" s="368"/>
      <c r="C58" s="368"/>
      <c r="D58" s="368"/>
      <c r="E58" s="368"/>
      <c r="F58" s="368"/>
      <c r="G58" s="368"/>
      <c r="H58" s="368"/>
      <c r="I58" s="369"/>
      <c r="J58" s="60"/>
      <c r="K58" s="60"/>
      <c r="L58" s="48"/>
      <c r="M58" s="48"/>
      <c r="N58" s="60"/>
      <c r="O58" s="60"/>
      <c r="P58" s="60"/>
      <c r="Q58" s="60"/>
      <c r="IJ58" s="1"/>
      <c r="IK58" s="1"/>
      <c r="IL58" s="1"/>
      <c r="IM58" s="1"/>
      <c r="IN58" s="1"/>
      <c r="IO58" s="1"/>
      <c r="IP58" s="1"/>
    </row>
    <row r="59" spans="1:250" x14ac:dyDescent="0.2">
      <c r="A59" s="356" t="s">
        <v>64</v>
      </c>
      <c r="B59" s="368"/>
      <c r="C59" s="368"/>
      <c r="D59" s="368"/>
      <c r="E59" s="368"/>
      <c r="F59" s="368"/>
      <c r="G59" s="368"/>
      <c r="H59" s="368"/>
      <c r="I59" s="369"/>
      <c r="J59" s="60"/>
      <c r="K59" s="60"/>
      <c r="L59" s="63"/>
      <c r="M59" s="63"/>
      <c r="N59" s="60"/>
      <c r="O59" s="67"/>
      <c r="P59" s="67"/>
      <c r="Q59" s="67"/>
      <c r="R59" s="67"/>
      <c r="S59" s="67"/>
      <c r="T59" s="67"/>
      <c r="U59" s="67"/>
      <c r="V59" s="67"/>
      <c r="W59" s="67"/>
    </row>
    <row r="60" spans="1:250" x14ac:dyDescent="0.2">
      <c r="A60" s="382"/>
      <c r="B60" s="382"/>
      <c r="C60" s="14">
        <v>2017</v>
      </c>
      <c r="D60" s="14">
        <v>2018</v>
      </c>
      <c r="E60" s="14">
        <v>2019</v>
      </c>
      <c r="F60" s="14">
        <v>2020</v>
      </c>
      <c r="G60" s="14">
        <v>2021</v>
      </c>
      <c r="H60" s="345" t="s">
        <v>65</v>
      </c>
      <c r="I60" s="345"/>
      <c r="J60" s="60"/>
      <c r="K60" s="69"/>
      <c r="L60" s="69"/>
      <c r="M60" s="69"/>
      <c r="N60" s="65"/>
      <c r="O60" s="65"/>
      <c r="P60" s="65"/>
      <c r="Q60" s="65"/>
      <c r="R60" s="70"/>
      <c r="S60" s="70"/>
      <c r="IM60" s="1"/>
      <c r="IN60" s="1"/>
      <c r="IO60" s="1"/>
      <c r="IP60" s="1"/>
    </row>
    <row r="61" spans="1:250" x14ac:dyDescent="0.2">
      <c r="A61" s="383" t="s">
        <v>62</v>
      </c>
      <c r="B61" s="51" t="s">
        <v>66</v>
      </c>
      <c r="C61" s="9">
        <v>0</v>
      </c>
      <c r="D61" s="18">
        <v>0</v>
      </c>
      <c r="E61" s="9">
        <v>0</v>
      </c>
      <c r="F61" s="18">
        <v>0</v>
      </c>
      <c r="G61" s="9">
        <v>0</v>
      </c>
      <c r="H61" s="18">
        <f t="shared" ref="H61:H70" si="28">SUM(C61:G61)</f>
        <v>0</v>
      </c>
      <c r="I61" s="10">
        <f>H61/$H$71</f>
        <v>0</v>
      </c>
      <c r="J61" s="60"/>
      <c r="K61" s="69"/>
      <c r="L61" s="69"/>
      <c r="M61" s="69"/>
      <c r="N61" s="64"/>
      <c r="O61" s="64"/>
      <c r="P61" s="64"/>
      <c r="Q61" s="64"/>
      <c r="R61" s="72"/>
      <c r="S61" s="71"/>
      <c r="IM61" s="1"/>
      <c r="IN61" s="1"/>
      <c r="IO61" s="1"/>
      <c r="IP61" s="1"/>
    </row>
    <row r="62" spans="1:250" x14ac:dyDescent="0.2">
      <c r="A62" s="383"/>
      <c r="B62" s="52" t="s">
        <v>67</v>
      </c>
      <c r="C62" s="11">
        <v>0</v>
      </c>
      <c r="D62" s="19">
        <v>0</v>
      </c>
      <c r="E62" s="11">
        <v>0</v>
      </c>
      <c r="F62" s="19">
        <v>0</v>
      </c>
      <c r="G62" s="11">
        <v>0</v>
      </c>
      <c r="H62" s="19">
        <f>SUM(C62:G62)</f>
        <v>0</v>
      </c>
      <c r="I62" s="12">
        <f>H62/$H$72</f>
        <v>0</v>
      </c>
      <c r="J62" s="60"/>
      <c r="K62" s="69"/>
      <c r="L62" s="69"/>
      <c r="M62" s="69"/>
      <c r="N62" s="64"/>
      <c r="O62" s="64"/>
      <c r="P62" s="64"/>
      <c r="Q62" s="64"/>
      <c r="R62" s="72"/>
      <c r="S62" s="71"/>
      <c r="IM62" s="1"/>
      <c r="IN62" s="1"/>
      <c r="IO62" s="1"/>
      <c r="IP62" s="1"/>
    </row>
    <row r="63" spans="1:250" ht="12.75" customHeight="1" x14ac:dyDescent="0.2">
      <c r="A63" s="383" t="s">
        <v>68</v>
      </c>
      <c r="B63" s="51" t="s">
        <v>66</v>
      </c>
      <c r="C63" s="9">
        <v>0</v>
      </c>
      <c r="D63" s="18">
        <v>0</v>
      </c>
      <c r="E63" s="9">
        <v>0</v>
      </c>
      <c r="F63" s="18">
        <v>1</v>
      </c>
      <c r="G63" s="9">
        <v>1</v>
      </c>
      <c r="H63" s="18">
        <f t="shared" si="28"/>
        <v>2</v>
      </c>
      <c r="I63" s="10">
        <f>H63/$H$71</f>
        <v>1.6260162601626018E-2</v>
      </c>
      <c r="J63" s="60"/>
      <c r="K63" s="63"/>
      <c r="L63" s="69"/>
      <c r="M63" s="69"/>
      <c r="N63" s="64"/>
      <c r="O63" s="64"/>
      <c r="P63" s="64"/>
      <c r="Q63" s="64"/>
      <c r="R63" s="72"/>
      <c r="S63" s="71"/>
      <c r="IM63" s="1"/>
      <c r="IN63" s="1"/>
      <c r="IO63" s="1"/>
      <c r="IP63" s="1"/>
    </row>
    <row r="64" spans="1:250" x14ac:dyDescent="0.2">
      <c r="A64" s="383"/>
      <c r="B64" s="52" t="s">
        <v>67</v>
      </c>
      <c r="C64" s="11">
        <v>0</v>
      </c>
      <c r="D64" s="19">
        <v>0</v>
      </c>
      <c r="E64" s="11">
        <v>0</v>
      </c>
      <c r="F64" s="19">
        <v>1</v>
      </c>
      <c r="G64" s="11">
        <v>1</v>
      </c>
      <c r="H64" s="19">
        <f t="shared" si="28"/>
        <v>2</v>
      </c>
      <c r="I64" s="12">
        <f>H64/$H$72</f>
        <v>4.2553191489361701E-2</v>
      </c>
      <c r="J64" s="60"/>
      <c r="K64" s="64"/>
      <c r="L64" s="60"/>
      <c r="M64" s="60"/>
      <c r="N64" s="64"/>
      <c r="O64" s="64"/>
      <c r="P64" s="64"/>
      <c r="Q64" s="64"/>
      <c r="R64" s="72"/>
      <c r="S64" s="71"/>
      <c r="IM64" s="1"/>
      <c r="IN64" s="1"/>
      <c r="IO64" s="1"/>
      <c r="IP64" s="1"/>
    </row>
    <row r="65" spans="1:250" ht="12.75" customHeight="1" x14ac:dyDescent="0.2">
      <c r="A65" s="383" t="s">
        <v>69</v>
      </c>
      <c r="B65" s="51" t="s">
        <v>66</v>
      </c>
      <c r="C65" s="9">
        <v>2</v>
      </c>
      <c r="D65" s="18">
        <v>4</v>
      </c>
      <c r="E65" s="9">
        <v>3</v>
      </c>
      <c r="F65" s="18">
        <v>2</v>
      </c>
      <c r="G65" s="9">
        <v>0</v>
      </c>
      <c r="H65" s="18">
        <f t="shared" si="28"/>
        <v>11</v>
      </c>
      <c r="I65" s="10">
        <f>H65/$H$71</f>
        <v>8.943089430894309E-2</v>
      </c>
      <c r="J65" s="73"/>
      <c r="K65" s="70"/>
      <c r="L65" s="70"/>
      <c r="M65" s="70"/>
      <c r="N65" s="64"/>
      <c r="O65" s="64"/>
      <c r="P65" s="64"/>
      <c r="Q65" s="64"/>
      <c r="R65" s="72"/>
      <c r="S65" s="71"/>
      <c r="IM65" s="1"/>
      <c r="IN65" s="1"/>
      <c r="IO65" s="1"/>
      <c r="IP65" s="1"/>
    </row>
    <row r="66" spans="1:250" x14ac:dyDescent="0.2">
      <c r="A66" s="383"/>
      <c r="B66" s="52" t="s">
        <v>67</v>
      </c>
      <c r="C66" s="11">
        <v>2</v>
      </c>
      <c r="D66" s="19">
        <v>6</v>
      </c>
      <c r="E66" s="11">
        <v>3</v>
      </c>
      <c r="F66" s="19">
        <v>2</v>
      </c>
      <c r="G66" s="11">
        <v>0</v>
      </c>
      <c r="H66" s="19">
        <f t="shared" si="28"/>
        <v>13</v>
      </c>
      <c r="I66" s="12">
        <f>H66/$H$72</f>
        <v>0.27659574468085107</v>
      </c>
      <c r="J66" s="73"/>
      <c r="K66" s="70"/>
      <c r="L66" s="70"/>
      <c r="M66" s="70"/>
      <c r="N66" s="64"/>
      <c r="O66" s="64"/>
      <c r="P66" s="64"/>
      <c r="Q66" s="64"/>
      <c r="R66" s="72"/>
      <c r="S66" s="71"/>
      <c r="IM66" s="1"/>
      <c r="IN66" s="1"/>
      <c r="IO66" s="1"/>
      <c r="IP66" s="1"/>
    </row>
    <row r="67" spans="1:250" x14ac:dyDescent="0.2">
      <c r="A67" s="383" t="s">
        <v>70</v>
      </c>
      <c r="B67" s="51" t="s">
        <v>66</v>
      </c>
      <c r="C67" s="9">
        <v>2</v>
      </c>
      <c r="D67" s="18">
        <v>4</v>
      </c>
      <c r="E67" s="9">
        <v>7</v>
      </c>
      <c r="F67" s="18">
        <v>5</v>
      </c>
      <c r="G67" s="9">
        <v>2</v>
      </c>
      <c r="H67" s="18">
        <f t="shared" si="28"/>
        <v>20</v>
      </c>
      <c r="I67" s="10">
        <f>H67/$H$71</f>
        <v>0.16260162601626016</v>
      </c>
      <c r="J67" s="73"/>
      <c r="K67" s="70"/>
      <c r="L67" s="70"/>
      <c r="M67" s="70"/>
      <c r="N67" s="64"/>
      <c r="O67" s="64"/>
      <c r="P67" s="64"/>
      <c r="Q67" s="64"/>
      <c r="R67" s="64"/>
      <c r="S67" s="72"/>
      <c r="T67" s="71"/>
      <c r="IN67" s="1"/>
      <c r="IO67" s="1"/>
      <c r="IP67" s="1"/>
    </row>
    <row r="68" spans="1:250" x14ac:dyDescent="0.2">
      <c r="A68" s="383"/>
      <c r="B68" s="52" t="s">
        <v>67</v>
      </c>
      <c r="C68" s="11">
        <v>2</v>
      </c>
      <c r="D68" s="19">
        <v>7</v>
      </c>
      <c r="E68" s="11">
        <v>9</v>
      </c>
      <c r="F68" s="19">
        <v>11</v>
      </c>
      <c r="G68" s="11">
        <v>3</v>
      </c>
      <c r="H68" s="19">
        <f t="shared" si="28"/>
        <v>32</v>
      </c>
      <c r="I68" s="12">
        <f>H68/$H$72</f>
        <v>0.68085106382978722</v>
      </c>
      <c r="J68" s="73"/>
      <c r="K68" s="70"/>
      <c r="L68" s="70"/>
      <c r="M68" s="70"/>
      <c r="N68" s="60"/>
      <c r="O68" s="66"/>
      <c r="P68" s="60"/>
      <c r="Q68" s="64"/>
      <c r="R68" s="64"/>
      <c r="S68" s="64"/>
      <c r="T68" s="64"/>
      <c r="U68" s="64"/>
      <c r="V68" s="72"/>
      <c r="W68" s="71"/>
    </row>
    <row r="69" spans="1:250" x14ac:dyDescent="0.2">
      <c r="A69" s="383" t="s">
        <v>71</v>
      </c>
      <c r="B69" s="51" t="s">
        <v>66</v>
      </c>
      <c r="C69" s="9">
        <v>24</v>
      </c>
      <c r="D69" s="18">
        <v>16</v>
      </c>
      <c r="E69" s="9">
        <v>16</v>
      </c>
      <c r="F69" s="18">
        <v>19</v>
      </c>
      <c r="G69" s="9">
        <v>15</v>
      </c>
      <c r="H69" s="18">
        <f t="shared" si="28"/>
        <v>90</v>
      </c>
      <c r="I69" s="10">
        <f>H69/$H$71</f>
        <v>0.73170731707317072</v>
      </c>
      <c r="J69" s="60"/>
      <c r="K69" s="60"/>
      <c r="L69" s="66"/>
      <c r="M69" s="66"/>
      <c r="N69" s="60"/>
      <c r="O69" s="66"/>
      <c r="P69" s="60"/>
      <c r="Q69" s="64"/>
      <c r="R69" s="64"/>
      <c r="S69" s="64"/>
      <c r="T69" s="64"/>
      <c r="U69" s="64"/>
      <c r="V69" s="72"/>
      <c r="W69" s="71"/>
    </row>
    <row r="70" spans="1:250" x14ac:dyDescent="0.2">
      <c r="A70" s="383"/>
      <c r="B70" s="52" t="s">
        <v>67</v>
      </c>
      <c r="C70" s="11">
        <v>0</v>
      </c>
      <c r="D70" s="19">
        <v>0</v>
      </c>
      <c r="E70" s="11">
        <v>0</v>
      </c>
      <c r="F70" s="19">
        <v>0</v>
      </c>
      <c r="G70" s="11">
        <v>0</v>
      </c>
      <c r="H70" s="19">
        <f t="shared" si="28"/>
        <v>0</v>
      </c>
      <c r="I70" s="12">
        <f>H70/$H$72</f>
        <v>0</v>
      </c>
      <c r="J70" s="74"/>
      <c r="K70" s="60"/>
      <c r="L70" s="66"/>
      <c r="M70" s="66"/>
      <c r="N70" s="60"/>
      <c r="O70" s="66"/>
      <c r="P70" s="60"/>
      <c r="Q70" s="64"/>
      <c r="R70" s="64"/>
      <c r="S70" s="64"/>
      <c r="T70" s="64"/>
      <c r="U70" s="64"/>
      <c r="V70" s="72"/>
      <c r="W70" s="71"/>
    </row>
    <row r="71" spans="1:250" x14ac:dyDescent="0.2">
      <c r="A71" s="383" t="s">
        <v>16</v>
      </c>
      <c r="B71" s="51" t="s">
        <v>66</v>
      </c>
      <c r="C71" s="13">
        <f>SUM(C61,C63,C65,C67,C69)</f>
        <v>28</v>
      </c>
      <c r="D71" s="20">
        <f>SUM(D61,D63,D65,D67,D69)</f>
        <v>24</v>
      </c>
      <c r="E71" s="13">
        <f t="shared" ref="E71:G72" si="29">SUM(E61,E63,E65,E67,E69)</f>
        <v>26</v>
      </c>
      <c r="F71" s="20">
        <f t="shared" si="29"/>
        <v>27</v>
      </c>
      <c r="G71" s="13">
        <f t="shared" si="29"/>
        <v>18</v>
      </c>
      <c r="H71" s="18">
        <f>SUM(C71:G71)</f>
        <v>123</v>
      </c>
      <c r="I71" s="10">
        <f>H71/$H$71</f>
        <v>1</v>
      </c>
      <c r="J71" s="60"/>
      <c r="K71" s="60"/>
      <c r="L71" s="66"/>
      <c r="M71" s="66"/>
      <c r="N71" s="60"/>
      <c r="O71" s="66"/>
      <c r="P71" s="60"/>
      <c r="Q71" s="64"/>
      <c r="R71" s="64"/>
      <c r="S71" s="64"/>
      <c r="T71" s="64"/>
      <c r="U71" s="64"/>
      <c r="V71" s="72"/>
      <c r="W71" s="71"/>
    </row>
    <row r="72" spans="1:250" x14ac:dyDescent="0.2">
      <c r="A72" s="402"/>
      <c r="B72" s="145" t="s">
        <v>67</v>
      </c>
      <c r="C72" s="189">
        <f>SUM(C62,C64,C66,C68,C70)</f>
        <v>4</v>
      </c>
      <c r="D72" s="190">
        <f>SUM(D62,D64,D66,D68,D70)</f>
        <v>13</v>
      </c>
      <c r="E72" s="189">
        <f t="shared" si="29"/>
        <v>12</v>
      </c>
      <c r="F72" s="190">
        <f t="shared" si="29"/>
        <v>14</v>
      </c>
      <c r="G72" s="189">
        <f t="shared" si="29"/>
        <v>4</v>
      </c>
      <c r="H72" s="191">
        <f>SUM(C72:G72)</f>
        <v>47</v>
      </c>
      <c r="I72" s="12">
        <f>H72/$H$72</f>
        <v>1</v>
      </c>
      <c r="J72" s="60"/>
      <c r="K72" s="60"/>
      <c r="L72" s="66"/>
      <c r="M72" s="66"/>
      <c r="N72" s="60"/>
      <c r="O72" s="66"/>
      <c r="P72" s="60"/>
      <c r="Q72" s="64"/>
      <c r="R72" s="64"/>
      <c r="S72" s="64"/>
      <c r="T72" s="64"/>
      <c r="U72" s="64"/>
      <c r="V72" s="72"/>
      <c r="W72" s="71"/>
    </row>
    <row r="73" spans="1:250" x14ac:dyDescent="0.2">
      <c r="A73" s="384" t="s">
        <v>169</v>
      </c>
      <c r="B73" s="385"/>
      <c r="C73" s="385"/>
      <c r="D73" s="385"/>
      <c r="E73" s="385"/>
      <c r="F73" s="385"/>
      <c r="G73" s="385"/>
      <c r="H73" s="385"/>
      <c r="I73" s="386"/>
      <c r="J73" s="60"/>
      <c r="K73" s="60"/>
      <c r="L73" s="67"/>
      <c r="M73" s="67"/>
      <c r="N73" s="60"/>
      <c r="O73" s="67"/>
      <c r="P73" s="67"/>
      <c r="Q73" s="67"/>
      <c r="R73" s="67"/>
      <c r="S73" s="67"/>
      <c r="T73" s="67"/>
      <c r="U73" s="67"/>
      <c r="V73" s="67"/>
      <c r="W73" s="67"/>
    </row>
    <row r="74" spans="1:250" x14ac:dyDescent="0.2">
      <c r="A74" s="62"/>
      <c r="B74" s="62"/>
      <c r="C74" s="62"/>
      <c r="D74" s="62"/>
      <c r="E74" s="48"/>
      <c r="F74" s="48"/>
      <c r="G74" s="48"/>
      <c r="H74" s="48"/>
      <c r="I74" s="62"/>
      <c r="J74" s="62"/>
      <c r="K74" s="60"/>
      <c r="L74" s="60"/>
      <c r="M74" s="60"/>
      <c r="N74" s="60"/>
      <c r="O74" s="60"/>
      <c r="P74" s="60"/>
      <c r="Q74" s="60"/>
    </row>
    <row r="75" spans="1:250" x14ac:dyDescent="0.2">
      <c r="A75" s="357" t="s">
        <v>72</v>
      </c>
      <c r="B75" s="357"/>
      <c r="C75" s="60"/>
      <c r="D75" s="387" t="s">
        <v>153</v>
      </c>
      <c r="E75" s="388"/>
      <c r="F75" s="388"/>
      <c r="G75" s="388"/>
      <c r="H75" s="389"/>
      <c r="I75" s="60"/>
      <c r="J75" s="60"/>
      <c r="K75" s="60"/>
      <c r="L75" s="60"/>
      <c r="M75" s="60"/>
      <c r="N75" s="60"/>
      <c r="O75" s="60"/>
      <c r="P75" s="60"/>
      <c r="Q75" s="60"/>
    </row>
    <row r="76" spans="1:250" ht="17.45" customHeight="1" x14ac:dyDescent="0.2">
      <c r="A76" s="15"/>
      <c r="B76" s="219" t="s">
        <v>73</v>
      </c>
      <c r="C76" s="60"/>
      <c r="D76" s="390" t="s">
        <v>154</v>
      </c>
      <c r="E76" s="390" t="s">
        <v>155</v>
      </c>
      <c r="F76" s="391" t="s">
        <v>156</v>
      </c>
      <c r="G76" s="408" t="s">
        <v>157</v>
      </c>
      <c r="H76" s="409"/>
      <c r="I76" s="60"/>
      <c r="J76" s="62"/>
      <c r="K76" s="60"/>
      <c r="L76" s="60"/>
      <c r="M76" s="60"/>
      <c r="N76" s="60"/>
      <c r="O76" s="60"/>
      <c r="P76" s="60"/>
      <c r="Q76" s="60"/>
    </row>
    <row r="77" spans="1:250" x14ac:dyDescent="0.2">
      <c r="A77" s="146" t="s">
        <v>74</v>
      </c>
      <c r="B77" s="312">
        <v>4600</v>
      </c>
      <c r="C77" s="60"/>
      <c r="D77" s="390"/>
      <c r="E77" s="390"/>
      <c r="F77" s="391"/>
      <c r="G77" s="213" t="s">
        <v>158</v>
      </c>
      <c r="H77" s="213" t="s">
        <v>159</v>
      </c>
      <c r="I77" s="60"/>
      <c r="J77" s="60"/>
      <c r="K77" s="60"/>
      <c r="L77" s="60"/>
      <c r="M77" s="60"/>
      <c r="N77" s="60"/>
      <c r="O77" s="60"/>
      <c r="P77" s="60"/>
      <c r="Q77" s="60"/>
    </row>
    <row r="78" spans="1:250" ht="13.9" customHeight="1" x14ac:dyDescent="0.3">
      <c r="A78" s="394" t="s">
        <v>75</v>
      </c>
      <c r="B78" s="394"/>
      <c r="C78" s="60"/>
      <c r="D78" s="212" t="s">
        <v>166</v>
      </c>
      <c r="E78" s="205">
        <v>6657</v>
      </c>
      <c r="F78" s="206">
        <v>0.77100000000000002</v>
      </c>
      <c r="G78" s="207" t="s">
        <v>160</v>
      </c>
      <c r="H78" s="206" t="s">
        <v>160</v>
      </c>
      <c r="I78" s="60"/>
      <c r="J78" s="62"/>
      <c r="K78" s="60"/>
      <c r="L78" s="60"/>
      <c r="M78" s="60"/>
      <c r="N78" s="60"/>
      <c r="O78" s="60"/>
      <c r="P78" s="60"/>
      <c r="Q78" s="60"/>
    </row>
    <row r="79" spans="1:250" ht="30" customHeight="1" x14ac:dyDescent="0.3">
      <c r="A79" s="59"/>
      <c r="B79" s="59"/>
      <c r="C79" s="60"/>
      <c r="D79" s="212" t="s">
        <v>167</v>
      </c>
      <c r="E79" s="205">
        <v>6649</v>
      </c>
      <c r="F79" s="206">
        <v>0.76300000000000001</v>
      </c>
      <c r="G79" s="208" t="s">
        <v>160</v>
      </c>
      <c r="H79" s="206" t="s">
        <v>160</v>
      </c>
      <c r="I79" s="60"/>
      <c r="J79" s="60"/>
      <c r="K79" s="60"/>
      <c r="L79" s="60"/>
      <c r="M79" s="60"/>
      <c r="N79" s="60"/>
      <c r="O79" s="60"/>
      <c r="P79" s="60"/>
      <c r="Q79" s="60"/>
    </row>
    <row r="80" spans="1:250" ht="14.25" x14ac:dyDescent="0.3">
      <c r="A80" s="356" t="s">
        <v>76</v>
      </c>
      <c r="B80" s="369"/>
      <c r="C80" s="60"/>
      <c r="D80" s="212" t="s">
        <v>215</v>
      </c>
      <c r="E80" s="217">
        <v>5550</v>
      </c>
      <c r="F80" s="211">
        <v>0.78</v>
      </c>
      <c r="G80" s="218" t="s">
        <v>160</v>
      </c>
      <c r="H80" s="211" t="s">
        <v>168</v>
      </c>
      <c r="I80" s="60"/>
      <c r="J80" s="62"/>
      <c r="K80" s="60"/>
      <c r="L80" s="60"/>
      <c r="M80" s="60"/>
      <c r="N80" s="60"/>
      <c r="O80" s="60"/>
      <c r="P80" s="60"/>
      <c r="Q80" s="60"/>
    </row>
    <row r="81" spans="1:17" ht="13.9" customHeight="1" x14ac:dyDescent="0.3">
      <c r="A81" s="219" t="s">
        <v>77</v>
      </c>
      <c r="B81" s="219" t="s">
        <v>78</v>
      </c>
      <c r="C81" s="60"/>
      <c r="D81" s="410" t="s">
        <v>16</v>
      </c>
      <c r="E81" s="411"/>
      <c r="F81" s="209">
        <f>F78*F79*F80</f>
        <v>0.45885294000000004</v>
      </c>
      <c r="G81" s="412"/>
      <c r="H81" s="412"/>
      <c r="I81" s="252"/>
      <c r="J81" s="60"/>
      <c r="K81" s="60"/>
      <c r="L81" s="60"/>
      <c r="M81" s="60"/>
      <c r="N81" s="60"/>
      <c r="O81" s="60"/>
      <c r="P81" s="60"/>
      <c r="Q81" s="60"/>
    </row>
    <row r="82" spans="1:17" ht="20.25" x14ac:dyDescent="0.3">
      <c r="A82" s="147" t="s">
        <v>79</v>
      </c>
      <c r="B82" s="313">
        <v>3900</v>
      </c>
      <c r="C82" s="60"/>
      <c r="D82" s="413" t="s">
        <v>161</v>
      </c>
      <c r="E82" s="414"/>
      <c r="F82" s="414"/>
      <c r="G82" s="414"/>
      <c r="H82" s="415"/>
      <c r="I82" s="252"/>
      <c r="J82" s="62"/>
      <c r="K82" s="60"/>
      <c r="L82" s="60"/>
      <c r="M82" s="60"/>
      <c r="N82" s="60"/>
      <c r="O82" s="60"/>
      <c r="P82" s="60"/>
      <c r="Q82" s="60"/>
    </row>
    <row r="83" spans="1:17" ht="20.25" x14ac:dyDescent="0.3">
      <c r="A83" s="148" t="s">
        <v>80</v>
      </c>
      <c r="B83" s="314">
        <v>77200</v>
      </c>
      <c r="C83" s="60"/>
      <c r="D83" s="70"/>
      <c r="E83" s="60"/>
      <c r="F83" s="48"/>
      <c r="G83" s="48"/>
      <c r="H83" s="60"/>
      <c r="I83" s="252"/>
      <c r="J83" s="60"/>
      <c r="K83" s="60"/>
      <c r="L83" s="60"/>
      <c r="M83" s="60"/>
      <c r="N83" s="60"/>
      <c r="O83" s="60"/>
      <c r="P83" s="60"/>
      <c r="Q83" s="60"/>
    </row>
    <row r="84" spans="1:17" ht="20.25" x14ac:dyDescent="0.3">
      <c r="A84" s="148" t="s">
        <v>81</v>
      </c>
      <c r="B84" s="314">
        <v>151100</v>
      </c>
      <c r="C84" s="60"/>
      <c r="D84" s="408" t="s">
        <v>170</v>
      </c>
      <c r="E84" s="416"/>
      <c r="F84" s="416"/>
      <c r="G84" s="416"/>
      <c r="H84" s="409"/>
      <c r="I84" s="252"/>
      <c r="J84" s="60"/>
      <c r="K84" s="60"/>
      <c r="L84" s="60"/>
      <c r="M84" s="60"/>
      <c r="N84" s="60"/>
      <c r="O84" s="60"/>
      <c r="P84" s="60"/>
      <c r="Q84" s="60"/>
    </row>
    <row r="85" spans="1:17" x14ac:dyDescent="0.2">
      <c r="A85" s="148" t="s">
        <v>82</v>
      </c>
      <c r="B85" s="314">
        <v>554800</v>
      </c>
      <c r="C85" s="60"/>
      <c r="D85" s="390" t="s">
        <v>154</v>
      </c>
      <c r="E85" s="390" t="s">
        <v>155</v>
      </c>
      <c r="F85" s="391" t="s">
        <v>156</v>
      </c>
      <c r="G85" s="408" t="s">
        <v>157</v>
      </c>
      <c r="H85" s="409"/>
      <c r="I85" s="60"/>
      <c r="J85" s="60"/>
      <c r="K85" s="60"/>
      <c r="L85" s="60"/>
      <c r="M85" s="60"/>
      <c r="N85" s="60"/>
      <c r="O85" s="60"/>
      <c r="P85" s="60"/>
      <c r="Q85" s="60"/>
    </row>
    <row r="86" spans="1:17" x14ac:dyDescent="0.2">
      <c r="A86" s="148" t="s">
        <v>83</v>
      </c>
      <c r="B86" s="314">
        <v>11600000</v>
      </c>
      <c r="C86" s="60"/>
      <c r="D86" s="390"/>
      <c r="E86" s="390"/>
      <c r="F86" s="391"/>
      <c r="G86" s="213" t="s">
        <v>158</v>
      </c>
      <c r="H86" s="213" t="s">
        <v>159</v>
      </c>
      <c r="I86" s="60"/>
      <c r="J86" s="62"/>
      <c r="K86" s="60"/>
      <c r="L86" s="60"/>
      <c r="M86" s="60"/>
      <c r="N86" s="60"/>
      <c r="O86" s="60"/>
      <c r="P86" s="60"/>
      <c r="Q86" s="60"/>
    </row>
    <row r="87" spans="1:17" ht="27" x14ac:dyDescent="0.3">
      <c r="A87" s="149" t="s">
        <v>84</v>
      </c>
      <c r="B87" s="315">
        <v>210300</v>
      </c>
      <c r="C87" s="60"/>
      <c r="D87" s="212" t="s">
        <v>166</v>
      </c>
      <c r="E87" s="205">
        <v>6657</v>
      </c>
      <c r="F87" s="206">
        <v>0.77100000000000002</v>
      </c>
      <c r="G87" s="207" t="s">
        <v>160</v>
      </c>
      <c r="H87" s="206" t="s">
        <v>160</v>
      </c>
      <c r="I87" s="60"/>
      <c r="J87" s="60"/>
      <c r="K87" s="60"/>
      <c r="L87" s="60"/>
      <c r="M87" s="60"/>
      <c r="N87" s="60"/>
      <c r="O87" s="60"/>
      <c r="P87" s="60"/>
      <c r="Q87" s="60"/>
    </row>
    <row r="88" spans="1:17" ht="28.5" x14ac:dyDescent="0.3">
      <c r="A88" s="150" t="s">
        <v>85</v>
      </c>
      <c r="B88" s="316">
        <v>159800</v>
      </c>
      <c r="C88" s="60"/>
      <c r="D88" s="212" t="s">
        <v>167</v>
      </c>
      <c r="E88" s="205">
        <v>6649</v>
      </c>
      <c r="F88" s="206">
        <v>0.76300000000000001</v>
      </c>
      <c r="G88" s="208" t="s">
        <v>160</v>
      </c>
      <c r="H88" s="206" t="s">
        <v>160</v>
      </c>
      <c r="I88" s="60"/>
      <c r="J88" s="60"/>
      <c r="K88" s="60"/>
      <c r="L88" s="60"/>
      <c r="M88" s="60"/>
      <c r="N88" s="60"/>
      <c r="O88" s="60"/>
      <c r="P88" s="60"/>
      <c r="Q88" s="60"/>
    </row>
    <row r="89" spans="1:17" ht="13.9" customHeight="1" x14ac:dyDescent="0.2">
      <c r="A89" s="394" t="s">
        <v>75</v>
      </c>
      <c r="B89" s="394"/>
      <c r="C89" s="60"/>
      <c r="D89" s="417" t="s">
        <v>16</v>
      </c>
      <c r="E89" s="418"/>
      <c r="F89" s="209">
        <f>F87*F88</f>
        <v>0.58827300000000005</v>
      </c>
      <c r="G89" s="210"/>
      <c r="H89" s="211"/>
      <c r="I89" s="60"/>
      <c r="J89" s="60"/>
      <c r="K89" s="60"/>
      <c r="L89" s="60"/>
      <c r="M89" s="60"/>
      <c r="N89" s="60"/>
      <c r="O89" s="60"/>
      <c r="P89" s="60"/>
      <c r="Q89" s="60"/>
    </row>
    <row r="90" spans="1:17" x14ac:dyDescent="0.2">
      <c r="A90" s="59"/>
      <c r="B90" s="59"/>
      <c r="C90" s="60"/>
      <c r="D90" s="413" t="s">
        <v>161</v>
      </c>
      <c r="E90" s="414"/>
      <c r="F90" s="414"/>
      <c r="G90" s="414"/>
      <c r="H90" s="415"/>
      <c r="I90" s="60"/>
      <c r="J90" s="60"/>
      <c r="K90" s="60"/>
      <c r="L90" s="60"/>
      <c r="M90" s="60"/>
      <c r="N90" s="60"/>
      <c r="O90" s="60"/>
      <c r="P90" s="60"/>
      <c r="Q90" s="60"/>
    </row>
    <row r="91" spans="1:17" ht="27" customHeight="1" x14ac:dyDescent="0.2">
      <c r="A91" s="395" t="s">
        <v>86</v>
      </c>
      <c r="B91" s="395"/>
      <c r="C91" s="60"/>
      <c r="D91" s="70"/>
      <c r="E91" s="60"/>
      <c r="F91" s="60"/>
      <c r="G91" s="60"/>
      <c r="H91" s="60"/>
      <c r="I91" s="60"/>
      <c r="J91" s="60"/>
      <c r="K91" s="60"/>
      <c r="L91" s="60"/>
      <c r="M91" s="60"/>
      <c r="N91" s="60"/>
      <c r="O91" s="60"/>
      <c r="P91" s="60"/>
      <c r="Q91" s="60"/>
    </row>
    <row r="92" spans="1:17" x14ac:dyDescent="0.2">
      <c r="A92" s="220" t="s">
        <v>87</v>
      </c>
      <c r="B92" s="220" t="s">
        <v>88</v>
      </c>
      <c r="C92" s="60"/>
      <c r="D92" s="70"/>
      <c r="E92" s="60"/>
      <c r="F92" s="60"/>
      <c r="G92" s="60"/>
      <c r="H92" s="60"/>
      <c r="I92" s="60"/>
      <c r="J92" s="60"/>
      <c r="K92" s="60"/>
      <c r="L92" s="60"/>
      <c r="M92" s="60"/>
      <c r="N92" s="60"/>
      <c r="O92" s="60"/>
      <c r="P92" s="60"/>
      <c r="Q92" s="60"/>
    </row>
    <row r="93" spans="1:17" x14ac:dyDescent="0.2">
      <c r="A93" s="151" t="s">
        <v>89</v>
      </c>
      <c r="B93" s="310">
        <v>1.67</v>
      </c>
      <c r="C93" s="60"/>
      <c r="D93" s="70"/>
      <c r="E93" s="60"/>
      <c r="F93" s="60"/>
      <c r="G93" s="60"/>
      <c r="H93" s="60"/>
      <c r="I93" s="60"/>
      <c r="J93" s="60"/>
      <c r="K93" s="60"/>
      <c r="L93" s="60"/>
      <c r="M93" s="60"/>
      <c r="N93" s="60"/>
      <c r="O93" s="60"/>
      <c r="P93" s="60"/>
      <c r="Q93" s="60"/>
    </row>
    <row r="94" spans="1:17" x14ac:dyDescent="0.2">
      <c r="A94" s="152" t="s">
        <v>90</v>
      </c>
      <c r="B94" s="311">
        <v>1</v>
      </c>
      <c r="C94" s="60"/>
      <c r="D94" s="70"/>
      <c r="E94" s="60"/>
      <c r="F94" s="60"/>
      <c r="G94" s="60"/>
      <c r="H94" s="60"/>
      <c r="I94" s="60"/>
      <c r="J94" s="60"/>
      <c r="K94" s="60"/>
      <c r="L94" s="60"/>
      <c r="M94" s="60"/>
      <c r="N94" s="60"/>
      <c r="O94" s="60"/>
      <c r="P94" s="60"/>
      <c r="Q94" s="60"/>
    </row>
    <row r="95" spans="1:17" ht="13.9" customHeight="1" x14ac:dyDescent="0.2">
      <c r="A95" s="394" t="s">
        <v>75</v>
      </c>
      <c r="B95" s="394"/>
      <c r="C95" s="60"/>
      <c r="D95" s="70"/>
      <c r="E95" s="60"/>
      <c r="F95" s="60"/>
      <c r="G95" s="60"/>
      <c r="H95" s="60"/>
      <c r="I95" s="60"/>
      <c r="J95" s="60"/>
      <c r="K95" s="60"/>
      <c r="L95" s="60"/>
      <c r="M95" s="60"/>
      <c r="N95" s="60"/>
      <c r="O95" s="60"/>
      <c r="P95" s="60"/>
      <c r="Q95" s="60"/>
    </row>
    <row r="96" spans="1:17" x14ac:dyDescent="0.2">
      <c r="A96" s="60"/>
      <c r="B96" s="60"/>
      <c r="C96" s="60"/>
      <c r="D96" s="70"/>
      <c r="E96" s="60"/>
      <c r="F96" s="60"/>
      <c r="G96" s="60"/>
      <c r="H96" s="60"/>
      <c r="I96" s="60"/>
      <c r="J96" s="60"/>
      <c r="K96" s="60"/>
      <c r="L96" s="60"/>
      <c r="M96" s="60"/>
      <c r="N96" s="60"/>
      <c r="O96" s="60"/>
      <c r="P96" s="60"/>
      <c r="Q96" s="60"/>
    </row>
    <row r="97" spans="1:17" x14ac:dyDescent="0.2">
      <c r="A97" s="395" t="s">
        <v>91</v>
      </c>
      <c r="B97" s="395"/>
      <c r="C97" s="60"/>
      <c r="D97" s="70"/>
      <c r="E97" s="60"/>
      <c r="F97" s="60"/>
      <c r="G97" s="60"/>
      <c r="H97" s="60"/>
      <c r="I97" s="60"/>
      <c r="J97" s="60"/>
      <c r="K97" s="60"/>
      <c r="L97" s="60"/>
      <c r="M97" s="60"/>
      <c r="N97" s="60"/>
      <c r="O97" s="60"/>
      <c r="P97" s="60"/>
      <c r="Q97" s="60"/>
    </row>
    <row r="98" spans="1:17" x14ac:dyDescent="0.2">
      <c r="A98" s="231" t="s">
        <v>174</v>
      </c>
      <c r="B98" s="231" t="s">
        <v>179</v>
      </c>
      <c r="C98" s="60"/>
      <c r="D98" s="70"/>
      <c r="E98" s="60"/>
      <c r="F98" s="60"/>
      <c r="G98" s="60"/>
      <c r="H98" s="60"/>
      <c r="I98" s="60"/>
      <c r="J98" s="60"/>
      <c r="K98" s="60"/>
      <c r="L98" s="60"/>
      <c r="M98" s="60"/>
      <c r="N98" s="60"/>
      <c r="O98" s="60"/>
      <c r="P98" s="60"/>
      <c r="Q98" s="60"/>
    </row>
    <row r="99" spans="1:17" x14ac:dyDescent="0.2">
      <c r="A99" s="249">
        <v>1</v>
      </c>
      <c r="B99" s="317">
        <v>18</v>
      </c>
      <c r="C99" s="60"/>
      <c r="D99" s="70"/>
      <c r="E99" s="60"/>
      <c r="F99" s="60"/>
      <c r="G99" s="60"/>
      <c r="H99" s="60"/>
      <c r="I99" s="60"/>
      <c r="J99" s="60"/>
      <c r="K99" s="60"/>
      <c r="L99" s="60"/>
      <c r="M99" s="60"/>
      <c r="N99" s="60"/>
      <c r="O99" s="60"/>
      <c r="P99" s="60"/>
      <c r="Q99" s="60"/>
    </row>
    <row r="100" spans="1:17" x14ac:dyDescent="0.2">
      <c r="A100" s="49">
        <v>2</v>
      </c>
      <c r="B100" s="318">
        <v>91</v>
      </c>
      <c r="C100" s="60"/>
      <c r="D100" s="70"/>
      <c r="E100" s="60"/>
      <c r="F100" s="60"/>
      <c r="G100" s="60"/>
      <c r="H100" s="60"/>
      <c r="I100" s="60"/>
      <c r="J100" s="60"/>
      <c r="K100" s="60"/>
      <c r="L100" s="60"/>
      <c r="M100" s="60"/>
      <c r="N100" s="60"/>
      <c r="O100" s="60"/>
      <c r="P100" s="60"/>
      <c r="Q100" s="60"/>
    </row>
    <row r="101" spans="1:17" x14ac:dyDescent="0.2">
      <c r="A101" s="49">
        <v>3</v>
      </c>
      <c r="B101" s="318">
        <v>11</v>
      </c>
      <c r="C101" s="60"/>
      <c r="D101" s="70"/>
      <c r="E101" s="60"/>
      <c r="F101" s="60"/>
      <c r="G101" s="60"/>
      <c r="H101" s="60"/>
      <c r="I101" s="60"/>
      <c r="J101" s="60"/>
      <c r="K101" s="60"/>
      <c r="L101" s="60"/>
      <c r="M101" s="60"/>
      <c r="N101" s="60"/>
      <c r="O101" s="60"/>
      <c r="P101" s="60"/>
      <c r="Q101" s="60"/>
    </row>
    <row r="102" spans="1:17" x14ac:dyDescent="0.2">
      <c r="A102" s="49">
        <v>4</v>
      </c>
      <c r="B102" s="318">
        <v>3</v>
      </c>
      <c r="C102" s="60"/>
      <c r="D102" s="70"/>
      <c r="E102" s="60"/>
      <c r="F102" s="60"/>
      <c r="G102" s="60"/>
      <c r="H102" s="60"/>
      <c r="I102" s="60"/>
      <c r="J102" s="60"/>
      <c r="K102" s="60"/>
      <c r="L102" s="60"/>
      <c r="M102" s="60"/>
      <c r="N102" s="60"/>
      <c r="O102" s="60"/>
      <c r="P102" s="60"/>
      <c r="Q102" s="60"/>
    </row>
    <row r="103" spans="1:17" x14ac:dyDescent="0.2">
      <c r="A103" s="250" t="s">
        <v>16</v>
      </c>
      <c r="B103" s="319">
        <f>SUM(B99:B102)</f>
        <v>123</v>
      </c>
      <c r="C103" s="60"/>
      <c r="D103" s="70"/>
      <c r="E103" s="60"/>
      <c r="F103" s="60"/>
      <c r="G103" s="60"/>
      <c r="H103" s="60"/>
      <c r="I103" s="60"/>
      <c r="J103" s="60"/>
      <c r="K103" s="60"/>
      <c r="L103" s="60"/>
      <c r="M103" s="60"/>
      <c r="N103" s="60"/>
      <c r="O103" s="60"/>
      <c r="P103" s="60"/>
      <c r="Q103" s="60"/>
    </row>
    <row r="104" spans="1:17" x14ac:dyDescent="0.2">
      <c r="A104" s="251" t="s">
        <v>150</v>
      </c>
      <c r="B104" s="202">
        <f>SUMPRODUCT(A99:A102,B99:B102)/B103</f>
        <v>1.9918699186991871</v>
      </c>
      <c r="C104" s="60"/>
      <c r="D104" s="70"/>
      <c r="E104" s="60"/>
      <c r="F104" s="60"/>
      <c r="G104" s="60"/>
      <c r="H104" s="60"/>
      <c r="I104" s="60"/>
      <c r="J104" s="60"/>
      <c r="K104" s="60"/>
      <c r="L104" s="60"/>
      <c r="M104" s="60"/>
      <c r="N104" s="60"/>
      <c r="O104" s="60"/>
      <c r="P104" s="60"/>
      <c r="Q104" s="60"/>
    </row>
    <row r="105" spans="1:17" x14ac:dyDescent="0.2">
      <c r="A105" s="396" t="s">
        <v>169</v>
      </c>
      <c r="B105" s="396"/>
      <c r="C105" s="60"/>
      <c r="D105" s="70"/>
      <c r="E105" s="60"/>
      <c r="F105" s="60"/>
      <c r="G105" s="60"/>
      <c r="H105" s="60"/>
      <c r="I105" s="60"/>
      <c r="J105" s="60"/>
      <c r="K105" s="60"/>
      <c r="L105" s="60"/>
      <c r="M105" s="60"/>
      <c r="N105" s="60"/>
      <c r="O105" s="60"/>
      <c r="P105" s="60"/>
      <c r="Q105" s="60"/>
    </row>
    <row r="106" spans="1:17" x14ac:dyDescent="0.2">
      <c r="A106" s="65"/>
      <c r="B106" s="65"/>
      <c r="C106" s="60"/>
      <c r="D106" s="70"/>
      <c r="E106" s="60"/>
      <c r="F106" s="60"/>
      <c r="G106" s="60"/>
      <c r="H106" s="60"/>
      <c r="I106" s="60"/>
      <c r="J106" s="60"/>
      <c r="K106" s="60"/>
      <c r="L106" s="60"/>
      <c r="M106" s="60"/>
      <c r="N106" s="60"/>
      <c r="O106" s="60"/>
      <c r="P106" s="60"/>
      <c r="Q106" s="60"/>
    </row>
    <row r="107" spans="1:17" x14ac:dyDescent="0.2">
      <c r="A107" s="392" t="s">
        <v>92</v>
      </c>
      <c r="B107" s="393"/>
      <c r="C107" s="60"/>
      <c r="D107" s="70"/>
      <c r="E107" s="60"/>
      <c r="F107" s="60"/>
      <c r="G107" s="60"/>
      <c r="H107" s="60"/>
      <c r="I107" s="60"/>
      <c r="J107" s="60"/>
      <c r="K107" s="60"/>
      <c r="L107" s="60"/>
      <c r="M107" s="60"/>
      <c r="N107" s="60"/>
      <c r="O107" s="60"/>
      <c r="P107" s="60"/>
      <c r="Q107" s="60"/>
    </row>
    <row r="108" spans="1:17" x14ac:dyDescent="0.2">
      <c r="A108" s="151" t="s">
        <v>175</v>
      </c>
      <c r="B108" s="17">
        <f>(H71/5)/AVERAGE(B112:B116)</f>
        <v>9.2837195260019631E-4</v>
      </c>
      <c r="C108" s="60"/>
      <c r="D108" s="70"/>
      <c r="E108" s="60"/>
      <c r="F108" s="60"/>
      <c r="G108" s="60"/>
      <c r="H108" s="60"/>
      <c r="I108" s="60"/>
      <c r="J108" s="60"/>
      <c r="K108" s="60"/>
      <c r="L108" s="60"/>
      <c r="M108" s="60"/>
      <c r="N108" s="60"/>
      <c r="O108" s="60"/>
      <c r="P108" s="60"/>
      <c r="Q108" s="60"/>
    </row>
    <row r="109" spans="1:17" x14ac:dyDescent="0.2">
      <c r="A109" s="397" t="s">
        <v>45</v>
      </c>
      <c r="B109" s="398"/>
      <c r="C109" s="60"/>
      <c r="D109" s="70"/>
      <c r="E109" s="60"/>
      <c r="F109" s="60"/>
      <c r="G109" s="60"/>
      <c r="H109" s="60"/>
      <c r="I109" s="60"/>
      <c r="J109" s="60"/>
      <c r="K109" s="60"/>
      <c r="L109" s="60"/>
      <c r="M109" s="60"/>
      <c r="N109" s="60"/>
      <c r="O109" s="60"/>
      <c r="P109" s="60"/>
      <c r="Q109" s="60"/>
    </row>
    <row r="110" spans="1:17" x14ac:dyDescent="0.2">
      <c r="A110" s="59"/>
      <c r="B110" s="59"/>
      <c r="C110" s="60"/>
      <c r="D110" s="70"/>
      <c r="E110" s="60"/>
      <c r="F110" s="60"/>
      <c r="G110" s="60"/>
      <c r="H110" s="60"/>
      <c r="I110" s="60"/>
      <c r="J110" s="60"/>
      <c r="K110" s="60"/>
      <c r="L110" s="60"/>
      <c r="M110" s="60"/>
      <c r="N110" s="60"/>
      <c r="O110" s="60"/>
      <c r="P110" s="60"/>
      <c r="Q110" s="60"/>
    </row>
    <row r="111" spans="1:17" ht="13.9" customHeight="1" x14ac:dyDescent="0.2">
      <c r="A111" s="356" t="s">
        <v>172</v>
      </c>
      <c r="B111" s="369"/>
      <c r="C111" s="60"/>
      <c r="D111" s="70"/>
      <c r="E111" s="60"/>
      <c r="F111" s="60"/>
      <c r="G111" s="60"/>
      <c r="H111" s="60"/>
      <c r="I111" s="60"/>
      <c r="J111" s="60"/>
      <c r="K111" s="60"/>
      <c r="L111" s="60"/>
      <c r="M111" s="60"/>
      <c r="N111" s="60"/>
      <c r="O111" s="60"/>
      <c r="P111" s="60"/>
      <c r="Q111" s="60"/>
    </row>
    <row r="112" spans="1:17" x14ac:dyDescent="0.2">
      <c r="A112" s="228">
        <f>C60</f>
        <v>2017</v>
      </c>
      <c r="B112" s="320">
        <f t="shared" ref="B112:B114" si="30">ROUND($B$116*(1+$B$118)^(A112-$A$116),0)</f>
        <v>25611</v>
      </c>
      <c r="C112" s="60"/>
      <c r="D112" s="70"/>
      <c r="E112" s="60"/>
      <c r="F112" s="60"/>
      <c r="G112" s="60"/>
      <c r="H112" s="60"/>
      <c r="I112" s="60"/>
      <c r="J112" s="60"/>
      <c r="K112" s="60"/>
      <c r="L112" s="60"/>
      <c r="M112" s="60"/>
      <c r="N112" s="60"/>
      <c r="O112" s="60"/>
      <c r="P112" s="60"/>
      <c r="Q112" s="60"/>
    </row>
    <row r="113" spans="1:17" x14ac:dyDescent="0.2">
      <c r="A113" s="228">
        <f>A112+1</f>
        <v>2018</v>
      </c>
      <c r="B113" s="320">
        <f t="shared" si="30"/>
        <v>26047</v>
      </c>
      <c r="C113" s="60"/>
      <c r="D113" s="70"/>
      <c r="E113" s="60"/>
      <c r="F113" s="60"/>
      <c r="G113" s="60"/>
      <c r="H113" s="60"/>
      <c r="I113" s="60"/>
      <c r="J113" s="60"/>
      <c r="K113" s="60"/>
      <c r="L113" s="60"/>
      <c r="M113" s="60"/>
      <c r="N113" s="60"/>
      <c r="O113" s="60"/>
      <c r="P113" s="60"/>
      <c r="Q113" s="60"/>
    </row>
    <row r="114" spans="1:17" x14ac:dyDescent="0.2">
      <c r="A114" s="228">
        <f t="shared" ref="A114:A116" si="31">A113+1</f>
        <v>2019</v>
      </c>
      <c r="B114" s="320">
        <f t="shared" si="30"/>
        <v>26491</v>
      </c>
      <c r="C114" s="60"/>
      <c r="D114" s="70"/>
      <c r="E114" s="60"/>
      <c r="F114" s="60"/>
      <c r="G114" s="60"/>
      <c r="H114" s="60"/>
      <c r="I114" s="60"/>
      <c r="J114" s="60"/>
      <c r="K114" s="60"/>
      <c r="L114" s="60"/>
      <c r="M114" s="60"/>
      <c r="N114" s="60"/>
      <c r="O114" s="60"/>
      <c r="P114" s="60"/>
      <c r="Q114" s="60"/>
    </row>
    <row r="115" spans="1:17" x14ac:dyDescent="0.2">
      <c r="A115" s="228">
        <f t="shared" si="31"/>
        <v>2020</v>
      </c>
      <c r="B115" s="320">
        <f>ROUND($B$116*(1+$B$118)^(A115-$A$116),0)</f>
        <v>26941</v>
      </c>
      <c r="C115" s="60"/>
      <c r="D115" s="70"/>
      <c r="E115" s="60"/>
      <c r="F115" s="60"/>
      <c r="G115" s="60"/>
      <c r="H115" s="60"/>
      <c r="I115" s="60"/>
      <c r="J115" s="60"/>
      <c r="K115" s="60"/>
      <c r="L115" s="60"/>
      <c r="M115" s="60"/>
      <c r="N115" s="60"/>
      <c r="O115" s="60"/>
      <c r="P115" s="60"/>
      <c r="Q115" s="60"/>
    </row>
    <row r="116" spans="1:17" x14ac:dyDescent="0.2">
      <c r="A116" s="228">
        <f t="shared" si="31"/>
        <v>2021</v>
      </c>
      <c r="B116" s="320">
        <f>'Travel Time'!B97</f>
        <v>27400</v>
      </c>
      <c r="C116" s="60"/>
      <c r="D116" s="70"/>
      <c r="E116" s="60"/>
      <c r="F116" s="60"/>
      <c r="G116" s="60"/>
      <c r="H116" s="60"/>
      <c r="I116" s="60"/>
      <c r="J116" s="60"/>
      <c r="K116" s="60"/>
      <c r="L116" s="60"/>
      <c r="M116" s="60"/>
      <c r="N116" s="60"/>
      <c r="O116" s="60"/>
      <c r="P116" s="60"/>
      <c r="Q116" s="60"/>
    </row>
    <row r="117" spans="1:17" x14ac:dyDescent="0.2">
      <c r="A117" s="228">
        <v>2022</v>
      </c>
      <c r="B117" s="320">
        <f>ROUND($B$116*(1+$B$118)^(A117-$A$116),0)</f>
        <v>27866</v>
      </c>
      <c r="C117" s="60"/>
      <c r="D117" s="70"/>
      <c r="E117" s="60"/>
      <c r="F117" s="60"/>
      <c r="G117" s="60"/>
      <c r="H117" s="60"/>
      <c r="I117" s="60"/>
      <c r="J117" s="60"/>
      <c r="K117" s="60"/>
      <c r="L117" s="60"/>
      <c r="M117" s="60"/>
      <c r="N117" s="60"/>
      <c r="O117" s="60"/>
      <c r="P117" s="60"/>
      <c r="Q117" s="60"/>
    </row>
    <row r="118" spans="1:17" x14ac:dyDescent="0.2">
      <c r="A118" s="228" t="s">
        <v>165</v>
      </c>
      <c r="B118" s="16">
        <f>'Travel Time'!B101</f>
        <v>1.7018921708721324E-2</v>
      </c>
      <c r="C118" s="60"/>
      <c r="D118" s="70"/>
      <c r="E118" s="60"/>
      <c r="F118" s="60"/>
      <c r="G118" s="60"/>
      <c r="H118" s="60"/>
      <c r="I118" s="60"/>
      <c r="J118" s="60"/>
      <c r="K118" s="60"/>
      <c r="L118" s="60"/>
      <c r="M118" s="60"/>
      <c r="N118" s="60"/>
      <c r="O118" s="60"/>
      <c r="P118" s="60"/>
      <c r="Q118" s="60"/>
    </row>
    <row r="119" spans="1:17" x14ac:dyDescent="0.2">
      <c r="A119" s="384" t="s">
        <v>45</v>
      </c>
      <c r="B119" s="386"/>
      <c r="C119" s="60"/>
      <c r="D119" s="70"/>
      <c r="E119" s="60"/>
      <c r="F119" s="60"/>
      <c r="G119" s="60"/>
      <c r="H119" s="60"/>
      <c r="I119" s="60"/>
      <c r="J119" s="60"/>
      <c r="K119" s="60"/>
      <c r="L119" s="60"/>
      <c r="M119" s="60"/>
      <c r="N119" s="60"/>
      <c r="O119" s="60"/>
      <c r="P119" s="60"/>
      <c r="Q119" s="60"/>
    </row>
    <row r="120" spans="1:17" x14ac:dyDescent="0.2">
      <c r="A120" s="58"/>
      <c r="B120" s="59"/>
      <c r="C120" s="60"/>
      <c r="D120" s="70"/>
      <c r="E120" s="60"/>
      <c r="F120" s="60"/>
      <c r="G120" s="60"/>
      <c r="H120" s="60"/>
      <c r="I120" s="60"/>
      <c r="J120" s="60"/>
      <c r="K120" s="60"/>
      <c r="L120" s="60"/>
      <c r="M120" s="60"/>
      <c r="N120" s="60"/>
      <c r="O120" s="60"/>
      <c r="P120" s="60"/>
      <c r="Q120" s="60"/>
    </row>
    <row r="121" spans="1:17" ht="41.45" customHeight="1" x14ac:dyDescent="0.2">
      <c r="A121" s="58"/>
      <c r="B121" s="59"/>
      <c r="C121" s="60"/>
      <c r="D121" s="70"/>
      <c r="E121" s="60"/>
      <c r="F121" s="60"/>
      <c r="G121" s="60"/>
      <c r="H121" s="60"/>
      <c r="I121" s="60"/>
      <c r="J121" s="60"/>
      <c r="K121" s="60"/>
      <c r="L121" s="60"/>
      <c r="M121" s="60"/>
      <c r="N121" s="60"/>
      <c r="O121" s="60"/>
      <c r="P121" s="60"/>
      <c r="Q121" s="60"/>
    </row>
    <row r="122" spans="1:17" x14ac:dyDescent="0.2">
      <c r="A122" s="58"/>
      <c r="B122" s="59"/>
      <c r="C122" s="60"/>
      <c r="D122" s="70"/>
      <c r="E122" s="60"/>
      <c r="F122" s="60"/>
      <c r="G122" s="60"/>
      <c r="H122" s="60"/>
      <c r="I122" s="60"/>
      <c r="J122" s="60"/>
      <c r="K122" s="60"/>
      <c r="L122" s="60"/>
      <c r="M122" s="60"/>
      <c r="N122" s="60"/>
      <c r="O122" s="60"/>
      <c r="P122" s="60"/>
      <c r="Q122" s="60"/>
    </row>
    <row r="123" spans="1:17" x14ac:dyDescent="0.2">
      <c r="A123" s="58"/>
      <c r="B123" s="59"/>
      <c r="C123" s="60"/>
      <c r="D123" s="70"/>
      <c r="E123" s="60"/>
      <c r="F123" s="60"/>
      <c r="G123" s="60"/>
      <c r="H123" s="60"/>
      <c r="I123" s="60"/>
      <c r="J123" s="60"/>
      <c r="K123" s="60"/>
      <c r="L123" s="60"/>
      <c r="M123" s="60"/>
      <c r="N123" s="60"/>
      <c r="O123" s="60"/>
      <c r="P123" s="60"/>
      <c r="Q123" s="60"/>
    </row>
    <row r="124" spans="1:17" x14ac:dyDescent="0.2">
      <c r="A124" s="58"/>
      <c r="B124" s="59"/>
      <c r="C124" s="60"/>
      <c r="D124" s="70"/>
      <c r="E124" s="60"/>
      <c r="F124" s="60"/>
      <c r="G124" s="60"/>
      <c r="H124" s="60"/>
      <c r="I124" s="60"/>
      <c r="J124" s="60"/>
      <c r="K124" s="60"/>
      <c r="L124" s="60"/>
      <c r="M124" s="60"/>
      <c r="N124" s="60"/>
      <c r="O124" s="60"/>
      <c r="P124" s="60"/>
      <c r="Q124" s="60"/>
    </row>
    <row r="125" spans="1:17" ht="21" customHeight="1" x14ac:dyDescent="0.2">
      <c r="A125" s="58"/>
      <c r="B125" s="59"/>
      <c r="C125" s="60"/>
      <c r="D125" s="70"/>
      <c r="E125" s="60"/>
      <c r="F125" s="60"/>
      <c r="G125" s="60"/>
      <c r="H125" s="60"/>
      <c r="I125" s="60"/>
      <c r="J125" s="60"/>
      <c r="K125" s="60"/>
      <c r="L125" s="60"/>
      <c r="M125" s="60"/>
      <c r="N125" s="60"/>
      <c r="O125" s="60"/>
      <c r="P125" s="60"/>
      <c r="Q125" s="60"/>
    </row>
    <row r="126" spans="1:17" s="60" customFormat="1" x14ac:dyDescent="0.2">
      <c r="A126" s="58"/>
      <c r="B126" s="59"/>
      <c r="D126" s="70"/>
    </row>
    <row r="127" spans="1:17" s="60" customFormat="1" x14ac:dyDescent="0.2">
      <c r="A127" s="58"/>
      <c r="B127" s="59"/>
      <c r="D127" s="70"/>
    </row>
    <row r="128" spans="1:17" s="60" customFormat="1" x14ac:dyDescent="0.2">
      <c r="A128" s="58"/>
      <c r="B128" s="59"/>
      <c r="D128" s="70"/>
    </row>
    <row r="129" spans="4:20" s="60" customFormat="1" x14ac:dyDescent="0.2">
      <c r="D129" s="70"/>
    </row>
    <row r="130" spans="4:20" s="60" customFormat="1" x14ac:dyDescent="0.2">
      <c r="T130" s="75"/>
    </row>
    <row r="131" spans="4:20" s="60" customFormat="1" x14ac:dyDescent="0.2">
      <c r="O131" s="61"/>
      <c r="T131" s="75"/>
    </row>
    <row r="132" spans="4:20" s="60" customFormat="1" x14ac:dyDescent="0.2"/>
    <row r="133" spans="4:20" s="60" customFormat="1" x14ac:dyDescent="0.2"/>
    <row r="134" spans="4:20" s="60" customFormat="1" x14ac:dyDescent="0.2"/>
    <row r="135" spans="4:20" s="60" customFormat="1" x14ac:dyDescent="0.2"/>
    <row r="136" spans="4:20" s="60" customFormat="1" x14ac:dyDescent="0.2"/>
    <row r="137" spans="4:20" s="60" customFormat="1" x14ac:dyDescent="0.2"/>
    <row r="138" spans="4:20" s="60" customFormat="1" x14ac:dyDescent="0.2"/>
    <row r="139" spans="4:20" s="60" customFormat="1" x14ac:dyDescent="0.2"/>
    <row r="140" spans="4:20" s="60" customFormat="1" x14ac:dyDescent="0.2"/>
    <row r="141" spans="4:20" s="60" customFormat="1" x14ac:dyDescent="0.2"/>
    <row r="142" spans="4:20" s="60" customFormat="1" x14ac:dyDescent="0.2"/>
    <row r="143" spans="4:20" s="60" customFormat="1" x14ac:dyDescent="0.2"/>
    <row r="144" spans="4:20" s="60" customFormat="1" x14ac:dyDescent="0.2"/>
    <row r="145" s="60" customFormat="1" x14ac:dyDescent="0.2"/>
    <row r="146" s="60" customFormat="1" x14ac:dyDescent="0.2"/>
    <row r="147" s="60" customFormat="1" x14ac:dyDescent="0.2"/>
    <row r="148" s="60" customFormat="1" x14ac:dyDescent="0.2"/>
    <row r="149" s="60" customFormat="1" x14ac:dyDescent="0.2"/>
    <row r="150" s="60" customFormat="1" x14ac:dyDescent="0.2"/>
    <row r="151" s="60" customFormat="1" x14ac:dyDescent="0.2"/>
    <row r="152" s="60" customFormat="1" x14ac:dyDescent="0.2"/>
    <row r="153" s="60" customFormat="1" x14ac:dyDescent="0.2"/>
    <row r="154" s="60" customFormat="1" x14ac:dyDescent="0.2"/>
    <row r="155" s="60" customFormat="1" x14ac:dyDescent="0.2"/>
    <row r="156" s="60" customFormat="1" x14ac:dyDescent="0.2"/>
    <row r="157" s="60" customFormat="1" x14ac:dyDescent="0.2"/>
    <row r="158" s="60" customFormat="1" x14ac:dyDescent="0.2"/>
    <row r="159" s="60" customFormat="1" x14ac:dyDescent="0.2"/>
    <row r="160" s="60" customFormat="1" x14ac:dyDescent="0.2"/>
    <row r="161" s="60" customFormat="1" x14ac:dyDescent="0.2"/>
    <row r="162" s="60" customFormat="1" x14ac:dyDescent="0.2"/>
    <row r="163" s="60" customFormat="1" x14ac:dyDescent="0.2"/>
    <row r="164" s="60" customFormat="1" x14ac:dyDescent="0.2"/>
    <row r="165" s="60" customFormat="1" x14ac:dyDescent="0.2"/>
    <row r="166" s="60" customFormat="1" x14ac:dyDescent="0.2"/>
    <row r="167" s="60" customFormat="1" x14ac:dyDescent="0.2"/>
    <row r="168" s="60" customFormat="1" x14ac:dyDescent="0.2"/>
    <row r="169" s="60" customFormat="1" x14ac:dyDescent="0.2"/>
    <row r="170" s="60" customFormat="1" x14ac:dyDescent="0.2"/>
    <row r="171" s="60" customFormat="1" x14ac:dyDescent="0.2"/>
    <row r="172" s="60" customFormat="1" x14ac:dyDescent="0.2"/>
    <row r="173" s="60" customFormat="1" x14ac:dyDescent="0.2"/>
    <row r="174" s="60" customFormat="1" x14ac:dyDescent="0.2"/>
    <row r="175" s="60" customFormat="1" x14ac:dyDescent="0.2"/>
    <row r="176" s="60" customFormat="1" x14ac:dyDescent="0.2"/>
    <row r="177" s="60" customFormat="1" x14ac:dyDescent="0.2"/>
    <row r="178" s="60" customFormat="1" x14ac:dyDescent="0.2"/>
    <row r="179" s="60" customFormat="1" x14ac:dyDescent="0.2"/>
    <row r="180" s="60" customFormat="1" x14ac:dyDescent="0.2"/>
    <row r="181" s="60" customFormat="1" x14ac:dyDescent="0.2"/>
    <row r="182" s="60" customFormat="1" x14ac:dyDescent="0.2"/>
    <row r="183" s="60" customFormat="1" x14ac:dyDescent="0.2"/>
    <row r="184" s="60" customFormat="1" x14ac:dyDescent="0.2"/>
    <row r="185" s="60" customFormat="1" x14ac:dyDescent="0.2"/>
    <row r="186" s="60" customFormat="1" x14ac:dyDescent="0.2"/>
    <row r="187" s="60" customFormat="1" x14ac:dyDescent="0.2"/>
    <row r="188" s="60" customFormat="1" x14ac:dyDescent="0.2"/>
    <row r="189" s="60" customFormat="1" x14ac:dyDescent="0.2"/>
    <row r="190" s="60" customFormat="1" x14ac:dyDescent="0.2"/>
    <row r="191" s="60" customFormat="1" x14ac:dyDescent="0.2"/>
    <row r="192" s="60" customFormat="1" x14ac:dyDescent="0.2"/>
    <row r="193" s="60" customFormat="1" x14ac:dyDescent="0.2"/>
    <row r="194" s="60" customFormat="1" x14ac:dyDescent="0.2"/>
    <row r="195" s="60" customFormat="1" x14ac:dyDescent="0.2"/>
    <row r="196" s="60" customFormat="1" x14ac:dyDescent="0.2"/>
    <row r="197" s="60" customFormat="1" x14ac:dyDescent="0.2"/>
    <row r="198" s="60" customFormat="1" x14ac:dyDescent="0.2"/>
    <row r="199" s="60" customFormat="1" x14ac:dyDescent="0.2"/>
    <row r="200" s="60" customFormat="1" x14ac:dyDescent="0.2"/>
    <row r="201" s="60" customFormat="1" x14ac:dyDescent="0.2"/>
    <row r="202" s="60" customFormat="1" x14ac:dyDescent="0.2"/>
    <row r="203" s="60" customFormat="1" x14ac:dyDescent="0.2"/>
    <row r="204" s="60" customFormat="1" x14ac:dyDescent="0.2"/>
    <row r="205" s="60" customFormat="1" x14ac:dyDescent="0.2"/>
    <row r="206" s="60" customFormat="1" x14ac:dyDescent="0.2"/>
    <row r="207" s="60" customFormat="1" x14ac:dyDescent="0.2"/>
    <row r="208" s="60" customFormat="1" x14ac:dyDescent="0.2"/>
    <row r="209" s="60" customFormat="1" x14ac:dyDescent="0.2"/>
    <row r="210" s="60" customFormat="1" x14ac:dyDescent="0.2"/>
    <row r="211" s="60" customFormat="1" x14ac:dyDescent="0.2"/>
    <row r="212" s="60" customFormat="1" x14ac:dyDescent="0.2"/>
    <row r="213" s="60" customFormat="1" x14ac:dyDescent="0.2"/>
    <row r="214" s="60" customFormat="1" x14ac:dyDescent="0.2"/>
    <row r="215" s="60" customFormat="1" x14ac:dyDescent="0.2"/>
    <row r="216" s="60" customFormat="1" x14ac:dyDescent="0.2"/>
    <row r="217" s="60" customFormat="1" x14ac:dyDescent="0.2"/>
    <row r="218" s="60" customFormat="1" x14ac:dyDescent="0.2"/>
    <row r="219" s="60" customFormat="1" x14ac:dyDescent="0.2"/>
    <row r="220" s="60" customFormat="1" x14ac:dyDescent="0.2"/>
    <row r="221" s="60" customFormat="1" x14ac:dyDescent="0.2"/>
    <row r="222" s="60" customFormat="1" x14ac:dyDescent="0.2"/>
    <row r="223" s="60" customFormat="1" x14ac:dyDescent="0.2"/>
    <row r="224" s="60" customFormat="1" x14ac:dyDescent="0.2"/>
    <row r="225" s="60" customFormat="1" x14ac:dyDescent="0.2"/>
    <row r="226" s="60" customFormat="1" x14ac:dyDescent="0.2"/>
    <row r="227" s="60" customFormat="1" x14ac:dyDescent="0.2"/>
    <row r="228" s="60" customFormat="1" x14ac:dyDescent="0.2"/>
    <row r="229" s="60" customFormat="1" x14ac:dyDescent="0.2"/>
    <row r="230" s="60" customFormat="1" x14ac:dyDescent="0.2"/>
    <row r="231" s="60" customFormat="1" x14ac:dyDescent="0.2"/>
    <row r="232" s="60" customFormat="1" x14ac:dyDescent="0.2"/>
    <row r="233" s="60" customFormat="1" x14ac:dyDescent="0.2"/>
    <row r="234" s="60" customFormat="1" x14ac:dyDescent="0.2"/>
    <row r="235" s="60" customFormat="1" x14ac:dyDescent="0.2"/>
    <row r="236" s="60" customFormat="1" x14ac:dyDescent="0.2"/>
    <row r="237" s="60" customFormat="1" x14ac:dyDescent="0.2"/>
    <row r="238" s="60" customFormat="1" x14ac:dyDescent="0.2"/>
    <row r="239" s="60" customFormat="1" x14ac:dyDescent="0.2"/>
    <row r="240" s="60" customFormat="1" x14ac:dyDescent="0.2"/>
    <row r="241" s="60" customFormat="1" x14ac:dyDescent="0.2"/>
    <row r="242" s="60" customFormat="1" x14ac:dyDescent="0.2"/>
    <row r="243" s="60" customFormat="1" x14ac:dyDescent="0.2"/>
    <row r="244" s="60" customFormat="1" x14ac:dyDescent="0.2"/>
    <row r="245" s="60" customFormat="1" x14ac:dyDescent="0.2"/>
    <row r="246" s="60" customFormat="1" x14ac:dyDescent="0.2"/>
    <row r="247" s="60" customFormat="1" x14ac:dyDescent="0.2"/>
    <row r="248" s="60" customFormat="1" x14ac:dyDescent="0.2"/>
    <row r="249" s="60" customFormat="1" x14ac:dyDescent="0.2"/>
    <row r="250" s="60" customFormat="1" x14ac:dyDescent="0.2"/>
    <row r="251" s="60" customFormat="1" x14ac:dyDescent="0.2"/>
    <row r="252" s="60" customFormat="1" x14ac:dyDescent="0.2"/>
    <row r="253" s="60" customFormat="1" x14ac:dyDescent="0.2"/>
    <row r="254" s="60" customFormat="1" x14ac:dyDescent="0.2"/>
    <row r="255" s="60" customFormat="1" x14ac:dyDescent="0.2"/>
    <row r="256" s="60" customFormat="1" x14ac:dyDescent="0.2"/>
    <row r="257" s="60" customFormat="1" x14ac:dyDescent="0.2"/>
    <row r="258" s="60" customFormat="1" x14ac:dyDescent="0.2"/>
    <row r="259" s="60" customFormat="1" x14ac:dyDescent="0.2"/>
    <row r="260" s="60" customFormat="1" x14ac:dyDescent="0.2"/>
    <row r="261" s="60" customFormat="1" x14ac:dyDescent="0.2"/>
    <row r="262" s="60" customFormat="1" x14ac:dyDescent="0.2"/>
    <row r="263" s="60" customFormat="1" x14ac:dyDescent="0.2"/>
    <row r="264" s="60" customFormat="1" x14ac:dyDescent="0.2"/>
    <row r="265" s="60" customFormat="1" x14ac:dyDescent="0.2"/>
    <row r="266" s="60" customFormat="1" x14ac:dyDescent="0.2"/>
    <row r="267" s="60" customFormat="1" x14ac:dyDescent="0.2"/>
    <row r="268" s="60" customFormat="1" x14ac:dyDescent="0.2"/>
    <row r="269" s="60" customFormat="1" x14ac:dyDescent="0.2"/>
    <row r="270" s="60" customFormat="1" x14ac:dyDescent="0.2"/>
    <row r="271" s="60" customFormat="1" x14ac:dyDescent="0.2"/>
    <row r="272" s="60" customFormat="1" x14ac:dyDescent="0.2"/>
    <row r="273" s="60" customFormat="1" x14ac:dyDescent="0.2"/>
    <row r="274" s="60" customFormat="1" x14ac:dyDescent="0.2"/>
    <row r="275" s="60" customFormat="1" x14ac:dyDescent="0.2"/>
    <row r="276" s="60" customFormat="1" x14ac:dyDescent="0.2"/>
    <row r="277" s="60" customFormat="1" x14ac:dyDescent="0.2"/>
    <row r="278" s="60" customFormat="1" x14ac:dyDescent="0.2"/>
    <row r="279" s="60" customFormat="1" x14ac:dyDescent="0.2"/>
    <row r="280" s="60" customFormat="1" x14ac:dyDescent="0.2"/>
    <row r="281" s="60" customFormat="1" x14ac:dyDescent="0.2"/>
    <row r="282" s="60" customFormat="1" x14ac:dyDescent="0.2"/>
    <row r="283" s="60" customFormat="1" x14ac:dyDescent="0.2"/>
    <row r="284" s="60" customFormat="1" x14ac:dyDescent="0.2"/>
    <row r="285" s="60" customFormat="1" x14ac:dyDescent="0.2"/>
    <row r="286" s="60" customFormat="1" x14ac:dyDescent="0.2"/>
    <row r="287" s="60" customFormat="1" x14ac:dyDescent="0.2"/>
    <row r="288" s="60" customFormat="1" x14ac:dyDescent="0.2"/>
    <row r="289" s="60" customFormat="1" x14ac:dyDescent="0.2"/>
    <row r="290" s="60" customFormat="1" x14ac:dyDescent="0.2"/>
    <row r="291" s="60" customFormat="1" x14ac:dyDescent="0.2"/>
    <row r="292" s="60" customFormat="1" x14ac:dyDescent="0.2"/>
    <row r="293" s="60" customFormat="1" x14ac:dyDescent="0.2"/>
    <row r="294" s="60" customFormat="1" x14ac:dyDescent="0.2"/>
    <row r="295" s="60" customFormat="1" x14ac:dyDescent="0.2"/>
    <row r="296" s="60" customFormat="1" x14ac:dyDescent="0.2"/>
    <row r="297" s="60" customFormat="1" x14ac:dyDescent="0.2"/>
    <row r="298" s="60" customFormat="1" x14ac:dyDescent="0.2"/>
    <row r="299" s="60" customFormat="1" x14ac:dyDescent="0.2"/>
    <row r="300" s="60" customFormat="1" x14ac:dyDescent="0.2"/>
    <row r="301" s="60" customFormat="1" x14ac:dyDescent="0.2"/>
    <row r="302" s="60" customFormat="1" x14ac:dyDescent="0.2"/>
    <row r="303" s="60" customFormat="1" x14ac:dyDescent="0.2"/>
    <row r="304" s="60" customFormat="1" x14ac:dyDescent="0.2"/>
    <row r="305" s="60" customFormat="1" x14ac:dyDescent="0.2"/>
    <row r="306" s="60" customFormat="1" x14ac:dyDescent="0.2"/>
    <row r="307" s="60" customFormat="1" x14ac:dyDescent="0.2"/>
    <row r="308" s="60" customFormat="1" x14ac:dyDescent="0.2"/>
    <row r="309" s="60" customFormat="1" x14ac:dyDescent="0.2"/>
    <row r="310" s="60" customFormat="1" x14ac:dyDescent="0.2"/>
    <row r="311" s="60" customFormat="1" x14ac:dyDescent="0.2"/>
    <row r="312" s="60" customFormat="1" x14ac:dyDescent="0.2"/>
    <row r="313" s="60" customFormat="1" x14ac:dyDescent="0.2"/>
    <row r="314" s="60" customFormat="1" x14ac:dyDescent="0.2"/>
    <row r="315" s="60" customFormat="1" x14ac:dyDescent="0.2"/>
    <row r="316" s="60" customFormat="1" x14ac:dyDescent="0.2"/>
    <row r="317" s="60" customFormat="1" x14ac:dyDescent="0.2"/>
    <row r="318" s="60" customFormat="1" x14ac:dyDescent="0.2"/>
    <row r="319" s="60" customFormat="1" x14ac:dyDescent="0.2"/>
    <row r="320" s="60" customFormat="1" x14ac:dyDescent="0.2"/>
    <row r="321" s="60" customFormat="1" x14ac:dyDescent="0.2"/>
    <row r="322" s="60" customFormat="1" x14ac:dyDescent="0.2"/>
    <row r="323" s="60" customFormat="1" x14ac:dyDescent="0.2"/>
    <row r="324" s="60" customFormat="1" x14ac:dyDescent="0.2"/>
    <row r="325" s="60" customFormat="1" x14ac:dyDescent="0.2"/>
    <row r="326" s="60" customFormat="1" x14ac:dyDescent="0.2"/>
    <row r="327" s="60" customFormat="1" x14ac:dyDescent="0.2"/>
    <row r="328" s="60" customFormat="1" x14ac:dyDescent="0.2"/>
    <row r="329" s="60" customFormat="1" x14ac:dyDescent="0.2"/>
    <row r="330" s="60" customFormat="1" x14ac:dyDescent="0.2"/>
    <row r="331" s="60" customFormat="1" x14ac:dyDescent="0.2"/>
    <row r="332" s="60" customFormat="1" x14ac:dyDescent="0.2"/>
    <row r="333" s="60" customFormat="1" x14ac:dyDescent="0.2"/>
    <row r="334" s="60" customFormat="1" x14ac:dyDescent="0.2"/>
    <row r="335" s="60" customFormat="1" x14ac:dyDescent="0.2"/>
    <row r="336" s="60" customFormat="1" x14ac:dyDescent="0.2"/>
    <row r="337" s="60" customFormat="1" x14ac:dyDescent="0.2"/>
    <row r="338" s="60" customFormat="1" x14ac:dyDescent="0.2"/>
    <row r="339" s="60" customFormat="1" x14ac:dyDescent="0.2"/>
    <row r="340" s="60" customFormat="1" x14ac:dyDescent="0.2"/>
    <row r="341" s="60" customFormat="1" x14ac:dyDescent="0.2"/>
    <row r="342" s="60" customFormat="1" x14ac:dyDescent="0.2"/>
    <row r="343" s="60" customFormat="1" x14ac:dyDescent="0.2"/>
    <row r="344" s="60" customFormat="1" x14ac:dyDescent="0.2"/>
    <row r="345" s="60" customFormat="1" x14ac:dyDescent="0.2"/>
    <row r="346" s="60" customFormat="1" x14ac:dyDescent="0.2"/>
    <row r="347" s="60" customFormat="1" x14ac:dyDescent="0.2"/>
    <row r="348" s="60" customFormat="1" x14ac:dyDescent="0.2"/>
    <row r="349" s="60" customFormat="1" x14ac:dyDescent="0.2"/>
    <row r="350" s="60" customFormat="1" x14ac:dyDescent="0.2"/>
    <row r="351" s="60" customFormat="1" x14ac:dyDescent="0.2"/>
    <row r="352" s="60" customFormat="1" x14ac:dyDescent="0.2"/>
    <row r="353" s="60" customFormat="1" x14ac:dyDescent="0.2"/>
    <row r="354" s="60" customFormat="1" x14ac:dyDescent="0.2"/>
    <row r="355" s="60" customFormat="1" x14ac:dyDescent="0.2"/>
    <row r="356" s="60" customFormat="1" x14ac:dyDescent="0.2"/>
    <row r="357" s="60" customFormat="1" x14ac:dyDescent="0.2"/>
    <row r="358" s="60" customFormat="1" x14ac:dyDescent="0.2"/>
    <row r="359" s="60" customFormat="1" x14ac:dyDescent="0.2"/>
    <row r="360" s="60" customFormat="1" x14ac:dyDescent="0.2"/>
    <row r="361" s="60" customFormat="1" x14ac:dyDescent="0.2"/>
    <row r="362" s="60" customFormat="1" x14ac:dyDescent="0.2"/>
    <row r="363" s="60" customFormat="1" x14ac:dyDescent="0.2"/>
    <row r="364" s="60" customFormat="1" x14ac:dyDescent="0.2"/>
    <row r="365" s="60" customFormat="1" x14ac:dyDescent="0.2"/>
    <row r="366" s="60" customFormat="1" x14ac:dyDescent="0.2"/>
    <row r="367" s="60" customFormat="1" x14ac:dyDescent="0.2"/>
    <row r="368" s="60" customFormat="1" x14ac:dyDescent="0.2"/>
    <row r="369" s="60" customFormat="1" x14ac:dyDescent="0.2"/>
    <row r="370" s="60" customFormat="1" x14ac:dyDescent="0.2"/>
    <row r="371" s="60" customFormat="1" x14ac:dyDescent="0.2"/>
    <row r="372" s="60" customFormat="1" x14ac:dyDescent="0.2"/>
    <row r="373" s="60" customFormat="1" x14ac:dyDescent="0.2"/>
    <row r="374" s="60" customFormat="1" x14ac:dyDescent="0.2"/>
    <row r="375" s="60" customFormat="1" x14ac:dyDescent="0.2"/>
    <row r="376" s="60" customFormat="1" x14ac:dyDescent="0.2"/>
    <row r="377" s="60" customFormat="1" x14ac:dyDescent="0.2"/>
    <row r="378" s="60" customFormat="1" x14ac:dyDescent="0.2"/>
    <row r="379" s="60" customFormat="1" x14ac:dyDescent="0.2"/>
    <row r="380" s="60" customFormat="1" x14ac:dyDescent="0.2"/>
    <row r="381" s="60" customFormat="1" x14ac:dyDescent="0.2"/>
    <row r="382" s="60" customFormat="1" x14ac:dyDescent="0.2"/>
    <row r="383" s="60" customFormat="1" x14ac:dyDescent="0.2"/>
    <row r="384" s="60" customFormat="1" x14ac:dyDescent="0.2"/>
    <row r="385" s="60" customFormat="1" x14ac:dyDescent="0.2"/>
    <row r="386" s="60" customFormat="1" x14ac:dyDescent="0.2"/>
    <row r="387" s="60" customFormat="1" x14ac:dyDescent="0.2"/>
    <row r="388" s="60" customFormat="1" x14ac:dyDescent="0.2"/>
    <row r="389" s="60" customFormat="1" x14ac:dyDescent="0.2"/>
    <row r="390" s="60" customFormat="1" x14ac:dyDescent="0.2"/>
    <row r="391" s="60" customFormat="1" x14ac:dyDescent="0.2"/>
    <row r="392" s="60" customFormat="1" x14ac:dyDescent="0.2"/>
    <row r="393" s="60" customFormat="1" x14ac:dyDescent="0.2"/>
    <row r="394" s="60" customFormat="1" x14ac:dyDescent="0.2"/>
    <row r="395" s="60" customFormat="1" x14ac:dyDescent="0.2"/>
    <row r="396" s="60" customFormat="1" x14ac:dyDescent="0.2"/>
    <row r="397" s="60" customFormat="1" x14ac:dyDescent="0.2"/>
    <row r="398" s="60" customFormat="1" x14ac:dyDescent="0.2"/>
    <row r="399" s="60" customFormat="1" x14ac:dyDescent="0.2"/>
    <row r="400" s="60" customFormat="1" x14ac:dyDescent="0.2"/>
    <row r="401" s="60" customFormat="1" x14ac:dyDescent="0.2"/>
    <row r="402" s="60" customFormat="1" x14ac:dyDescent="0.2"/>
    <row r="403" s="60" customFormat="1" x14ac:dyDescent="0.2"/>
    <row r="404" s="60" customFormat="1" x14ac:dyDescent="0.2"/>
    <row r="405" s="60" customFormat="1" x14ac:dyDescent="0.2"/>
    <row r="406" s="60" customFormat="1" x14ac:dyDescent="0.2"/>
    <row r="407" s="60" customFormat="1" x14ac:dyDescent="0.2"/>
    <row r="408" s="60" customFormat="1" x14ac:dyDescent="0.2"/>
    <row r="409" s="60" customFormat="1" x14ac:dyDescent="0.2"/>
    <row r="410" s="60" customFormat="1" x14ac:dyDescent="0.2"/>
    <row r="411" s="60" customFormat="1" x14ac:dyDescent="0.2"/>
    <row r="412" s="60" customFormat="1" x14ac:dyDescent="0.2"/>
    <row r="413" s="60" customFormat="1" x14ac:dyDescent="0.2"/>
    <row r="414" s="60" customFormat="1" x14ac:dyDescent="0.2"/>
    <row r="415" s="60" customFormat="1" x14ac:dyDescent="0.2"/>
    <row r="416" s="60" customFormat="1" x14ac:dyDescent="0.2"/>
    <row r="417" s="60" customFormat="1" x14ac:dyDescent="0.2"/>
    <row r="418" s="60" customFormat="1" x14ac:dyDescent="0.2"/>
    <row r="419" s="60" customFormat="1" x14ac:dyDescent="0.2"/>
    <row r="420" s="60" customFormat="1" x14ac:dyDescent="0.2"/>
    <row r="421" s="60" customFormat="1" x14ac:dyDescent="0.2"/>
    <row r="422" s="60" customFormat="1" x14ac:dyDescent="0.2"/>
    <row r="423" s="60" customFormat="1" x14ac:dyDescent="0.2"/>
    <row r="424" s="60" customFormat="1" x14ac:dyDescent="0.2"/>
    <row r="425" s="60" customFormat="1" x14ac:dyDescent="0.2"/>
    <row r="426" s="60" customFormat="1" x14ac:dyDescent="0.2"/>
    <row r="427" s="60" customFormat="1" x14ac:dyDescent="0.2"/>
    <row r="428" s="60" customFormat="1" x14ac:dyDescent="0.2"/>
    <row r="429" s="60" customFormat="1" x14ac:dyDescent="0.2"/>
    <row r="430" s="60" customFormat="1" x14ac:dyDescent="0.2"/>
    <row r="431" s="60" customFormat="1" x14ac:dyDescent="0.2"/>
    <row r="432" s="60" customFormat="1" x14ac:dyDescent="0.2"/>
    <row r="433" s="60" customFormat="1" x14ac:dyDescent="0.2"/>
    <row r="434" s="60" customFormat="1" x14ac:dyDescent="0.2"/>
    <row r="435" s="60" customFormat="1" x14ac:dyDescent="0.2"/>
    <row r="436" s="60" customFormat="1" x14ac:dyDescent="0.2"/>
    <row r="437" s="60" customFormat="1" x14ac:dyDescent="0.2"/>
    <row r="438" s="60" customFormat="1" x14ac:dyDescent="0.2"/>
    <row r="439" s="60" customFormat="1" x14ac:dyDescent="0.2"/>
    <row r="440" s="60" customFormat="1" x14ac:dyDescent="0.2"/>
    <row r="441" s="60" customFormat="1" x14ac:dyDescent="0.2"/>
    <row r="442" s="60" customFormat="1" x14ac:dyDescent="0.2"/>
    <row r="443" s="60" customFormat="1" x14ac:dyDescent="0.2"/>
    <row r="444" s="60" customFormat="1" x14ac:dyDescent="0.2"/>
    <row r="445" s="60" customFormat="1" x14ac:dyDescent="0.2"/>
    <row r="446" s="60" customFormat="1" x14ac:dyDescent="0.2"/>
    <row r="447" s="60" customFormat="1" x14ac:dyDescent="0.2"/>
    <row r="448" s="60" customFormat="1" x14ac:dyDescent="0.2"/>
    <row r="449" s="60" customFormat="1" x14ac:dyDescent="0.2"/>
    <row r="450" s="60" customFormat="1" x14ac:dyDescent="0.2"/>
    <row r="451" s="60" customFormat="1" x14ac:dyDescent="0.2"/>
    <row r="452" s="60" customFormat="1" x14ac:dyDescent="0.2"/>
    <row r="453" s="60" customFormat="1" x14ac:dyDescent="0.2"/>
    <row r="454" s="60" customFormat="1" x14ac:dyDescent="0.2"/>
    <row r="455" s="60" customFormat="1" x14ac:dyDescent="0.2"/>
    <row r="456" s="60" customFormat="1" x14ac:dyDescent="0.2"/>
    <row r="457" s="60" customFormat="1" x14ac:dyDescent="0.2"/>
    <row r="458" s="60" customFormat="1" x14ac:dyDescent="0.2"/>
    <row r="459" s="60" customFormat="1" x14ac:dyDescent="0.2"/>
    <row r="460" s="60" customFormat="1" x14ac:dyDescent="0.2"/>
    <row r="461" s="60" customFormat="1" x14ac:dyDescent="0.2"/>
    <row r="462" s="60" customFormat="1" x14ac:dyDescent="0.2"/>
    <row r="463" s="60" customFormat="1" x14ac:dyDescent="0.2"/>
    <row r="464" s="60" customFormat="1" x14ac:dyDescent="0.2"/>
    <row r="465" s="60" customFormat="1" x14ac:dyDescent="0.2"/>
    <row r="466" s="60" customFormat="1" x14ac:dyDescent="0.2"/>
    <row r="467" s="60" customFormat="1" x14ac:dyDescent="0.2"/>
    <row r="468" s="60" customFormat="1" x14ac:dyDescent="0.2"/>
    <row r="469" s="60" customFormat="1" x14ac:dyDescent="0.2"/>
    <row r="470" s="60" customFormat="1" x14ac:dyDescent="0.2"/>
    <row r="471" s="60" customFormat="1" x14ac:dyDescent="0.2"/>
    <row r="472" s="60" customFormat="1" x14ac:dyDescent="0.2"/>
    <row r="473" s="60" customFormat="1" x14ac:dyDescent="0.2"/>
    <row r="474" s="60" customFormat="1" x14ac:dyDescent="0.2"/>
    <row r="475" s="60" customFormat="1" x14ac:dyDescent="0.2"/>
    <row r="476" s="60" customFormat="1" x14ac:dyDescent="0.2"/>
    <row r="477" s="60" customFormat="1" x14ac:dyDescent="0.2"/>
    <row r="478" s="60" customFormat="1" x14ac:dyDescent="0.2"/>
    <row r="479" s="60" customFormat="1" x14ac:dyDescent="0.2"/>
    <row r="480" s="60" customFormat="1" x14ac:dyDescent="0.2"/>
    <row r="481" s="60" customFormat="1" x14ac:dyDescent="0.2"/>
    <row r="482" s="60" customFormat="1" x14ac:dyDescent="0.2"/>
    <row r="483" s="60" customFormat="1" x14ac:dyDescent="0.2"/>
    <row r="484" s="60" customFormat="1" x14ac:dyDescent="0.2"/>
    <row r="485" s="60" customFormat="1" x14ac:dyDescent="0.2"/>
    <row r="486" s="60" customFormat="1" x14ac:dyDescent="0.2"/>
    <row r="487" s="60" customFormat="1" x14ac:dyDescent="0.2"/>
    <row r="488" s="60" customFormat="1" x14ac:dyDescent="0.2"/>
    <row r="489" s="60" customFormat="1" x14ac:dyDescent="0.2"/>
    <row r="490" s="60" customFormat="1" x14ac:dyDescent="0.2"/>
    <row r="491" s="60" customFormat="1" x14ac:dyDescent="0.2"/>
    <row r="492" s="60" customFormat="1" x14ac:dyDescent="0.2"/>
    <row r="493" s="60" customFormat="1" x14ac:dyDescent="0.2"/>
    <row r="494" s="60" customFormat="1" x14ac:dyDescent="0.2"/>
    <row r="495" s="60" customFormat="1" x14ac:dyDescent="0.2"/>
    <row r="496" s="60" customFormat="1" x14ac:dyDescent="0.2"/>
    <row r="497" s="60" customFormat="1" x14ac:dyDescent="0.2"/>
    <row r="498" s="60" customFormat="1" x14ac:dyDescent="0.2"/>
    <row r="499" s="60" customFormat="1" x14ac:dyDescent="0.2"/>
    <row r="500" s="60" customFormat="1" x14ac:dyDescent="0.2"/>
    <row r="501" s="60" customFormat="1" x14ac:dyDescent="0.2"/>
    <row r="502" s="60" customFormat="1" x14ac:dyDescent="0.2"/>
    <row r="503" s="60" customFormat="1" x14ac:dyDescent="0.2"/>
    <row r="504" s="60" customFormat="1" x14ac:dyDescent="0.2"/>
    <row r="505" s="60" customFormat="1" x14ac:dyDescent="0.2"/>
    <row r="506" s="60" customFormat="1" x14ac:dyDescent="0.2"/>
    <row r="507" s="60" customFormat="1" x14ac:dyDescent="0.2"/>
    <row r="508" s="60" customFormat="1" x14ac:dyDescent="0.2"/>
    <row r="509" s="60" customFormat="1" x14ac:dyDescent="0.2"/>
    <row r="510" s="60" customFormat="1" x14ac:dyDescent="0.2"/>
    <row r="511" s="60" customFormat="1" x14ac:dyDescent="0.2"/>
    <row r="512" s="60" customFormat="1" x14ac:dyDescent="0.2"/>
    <row r="513" s="60" customFormat="1" x14ac:dyDescent="0.2"/>
    <row r="514" s="60" customFormat="1" x14ac:dyDescent="0.2"/>
    <row r="515" s="60" customFormat="1" x14ac:dyDescent="0.2"/>
    <row r="516" s="60" customFormat="1" x14ac:dyDescent="0.2"/>
    <row r="517" s="60" customFormat="1" x14ac:dyDescent="0.2"/>
    <row r="518" s="60" customFormat="1" x14ac:dyDescent="0.2"/>
    <row r="519" s="60" customFormat="1" x14ac:dyDescent="0.2"/>
    <row r="520" s="60" customFormat="1" x14ac:dyDescent="0.2"/>
    <row r="521" s="60" customFormat="1" x14ac:dyDescent="0.2"/>
    <row r="522" s="60" customFormat="1" x14ac:dyDescent="0.2"/>
    <row r="523" s="60" customFormat="1" x14ac:dyDescent="0.2"/>
    <row r="524" s="60" customFormat="1" x14ac:dyDescent="0.2"/>
    <row r="525" s="60" customFormat="1" x14ac:dyDescent="0.2"/>
    <row r="526" s="60" customFormat="1" x14ac:dyDescent="0.2"/>
    <row r="527" s="60" customFormat="1" x14ac:dyDescent="0.2"/>
    <row r="528" s="60" customFormat="1" x14ac:dyDescent="0.2"/>
    <row r="529" s="60" customFormat="1" x14ac:dyDescent="0.2"/>
    <row r="530" s="60" customFormat="1" x14ac:dyDescent="0.2"/>
    <row r="531" s="60" customFormat="1" x14ac:dyDescent="0.2"/>
    <row r="532" s="60" customFormat="1" x14ac:dyDescent="0.2"/>
    <row r="533" s="60" customFormat="1" x14ac:dyDescent="0.2"/>
    <row r="534" s="60" customFormat="1" x14ac:dyDescent="0.2"/>
    <row r="535" s="60" customFormat="1" x14ac:dyDescent="0.2"/>
    <row r="536" s="60" customFormat="1" x14ac:dyDescent="0.2"/>
    <row r="537" s="60" customFormat="1" x14ac:dyDescent="0.2"/>
    <row r="538" s="60" customFormat="1" x14ac:dyDescent="0.2"/>
    <row r="539" s="60" customFormat="1" x14ac:dyDescent="0.2"/>
    <row r="540" s="60" customFormat="1" x14ac:dyDescent="0.2"/>
    <row r="541" s="60" customFormat="1" x14ac:dyDescent="0.2"/>
    <row r="542" s="60" customFormat="1" x14ac:dyDescent="0.2"/>
    <row r="543" s="60" customFormat="1" x14ac:dyDescent="0.2"/>
    <row r="544" s="60" customFormat="1" x14ac:dyDescent="0.2"/>
    <row r="545" s="60" customFormat="1" x14ac:dyDescent="0.2"/>
    <row r="546" s="60" customFormat="1" x14ac:dyDescent="0.2"/>
    <row r="547" s="60" customFormat="1" x14ac:dyDescent="0.2"/>
    <row r="548" s="60" customFormat="1" x14ac:dyDescent="0.2"/>
    <row r="549" s="60" customFormat="1" x14ac:dyDescent="0.2"/>
    <row r="550" s="60" customFormat="1" x14ac:dyDescent="0.2"/>
    <row r="551" s="60" customFormat="1" x14ac:dyDescent="0.2"/>
    <row r="552" s="60" customFormat="1" x14ac:dyDescent="0.2"/>
    <row r="553" s="60" customFormat="1" x14ac:dyDescent="0.2"/>
    <row r="554" s="60" customFormat="1" x14ac:dyDescent="0.2"/>
    <row r="555" s="60" customFormat="1" x14ac:dyDescent="0.2"/>
    <row r="556" s="60" customFormat="1" x14ac:dyDescent="0.2"/>
    <row r="557" s="60" customFormat="1" x14ac:dyDescent="0.2"/>
    <row r="558" s="60" customFormat="1" x14ac:dyDescent="0.2"/>
    <row r="559" s="60" customFormat="1" x14ac:dyDescent="0.2"/>
    <row r="560" s="60" customFormat="1" x14ac:dyDescent="0.2"/>
    <row r="561" s="60" customFormat="1" x14ac:dyDescent="0.2"/>
    <row r="562" s="60" customFormat="1" x14ac:dyDescent="0.2"/>
    <row r="563" s="60" customFormat="1" x14ac:dyDescent="0.2"/>
    <row r="564" s="60" customFormat="1" x14ac:dyDescent="0.2"/>
    <row r="565" s="60" customFormat="1" x14ac:dyDescent="0.2"/>
    <row r="566" s="60" customFormat="1" x14ac:dyDescent="0.2"/>
    <row r="567" s="60" customFormat="1" x14ac:dyDescent="0.2"/>
    <row r="568" s="60" customFormat="1" x14ac:dyDescent="0.2"/>
    <row r="569" s="60" customFormat="1" x14ac:dyDescent="0.2"/>
    <row r="570" s="60" customFormat="1" x14ac:dyDescent="0.2"/>
    <row r="571" s="60" customFormat="1" x14ac:dyDescent="0.2"/>
    <row r="572" s="60" customFormat="1" x14ac:dyDescent="0.2"/>
    <row r="573" s="60" customFormat="1" x14ac:dyDescent="0.2"/>
    <row r="574" s="60" customFormat="1" x14ac:dyDescent="0.2"/>
    <row r="575" s="60" customFormat="1" x14ac:dyDescent="0.2"/>
    <row r="576" s="60" customFormat="1" x14ac:dyDescent="0.2"/>
    <row r="577" s="60" customFormat="1" x14ac:dyDescent="0.2"/>
    <row r="578" s="60" customFormat="1" x14ac:dyDescent="0.2"/>
    <row r="579" s="60" customFormat="1" x14ac:dyDescent="0.2"/>
    <row r="580" s="60" customFormat="1" x14ac:dyDescent="0.2"/>
    <row r="581" s="60" customFormat="1" x14ac:dyDescent="0.2"/>
    <row r="582" s="60" customFormat="1" x14ac:dyDescent="0.2"/>
    <row r="583" s="60" customFormat="1" x14ac:dyDescent="0.2"/>
    <row r="584" s="60" customFormat="1" x14ac:dyDescent="0.2"/>
    <row r="585" s="60" customFormat="1" x14ac:dyDescent="0.2"/>
    <row r="586" s="60" customFormat="1" x14ac:dyDescent="0.2"/>
    <row r="587" s="60" customFormat="1" x14ac:dyDescent="0.2"/>
    <row r="588" s="60" customFormat="1" x14ac:dyDescent="0.2"/>
    <row r="589" s="60" customFormat="1" x14ac:dyDescent="0.2"/>
    <row r="590" s="60" customFormat="1" x14ac:dyDescent="0.2"/>
    <row r="591" s="60" customFormat="1" x14ac:dyDescent="0.2"/>
    <row r="592" s="60" customFormat="1" x14ac:dyDescent="0.2"/>
    <row r="593" s="60" customFormat="1" x14ac:dyDescent="0.2"/>
    <row r="594" s="60" customFormat="1" x14ac:dyDescent="0.2"/>
    <row r="595" s="60" customFormat="1" x14ac:dyDescent="0.2"/>
    <row r="596" s="60" customFormat="1" x14ac:dyDescent="0.2"/>
    <row r="597" s="60" customFormat="1" x14ac:dyDescent="0.2"/>
    <row r="598" s="60" customFormat="1" x14ac:dyDescent="0.2"/>
    <row r="599" s="60" customFormat="1" x14ac:dyDescent="0.2"/>
    <row r="600" s="60" customFormat="1" x14ac:dyDescent="0.2"/>
    <row r="601" s="60" customFormat="1" x14ac:dyDescent="0.2"/>
    <row r="602" s="60" customFormat="1" x14ac:dyDescent="0.2"/>
    <row r="603" s="60" customFormat="1" x14ac:dyDescent="0.2"/>
    <row r="604" s="60" customFormat="1" x14ac:dyDescent="0.2"/>
    <row r="605" s="60" customFormat="1" x14ac:dyDescent="0.2"/>
    <row r="606" s="60" customFormat="1" x14ac:dyDescent="0.2"/>
    <row r="607" s="60" customFormat="1" x14ac:dyDescent="0.2"/>
    <row r="608" s="60" customFormat="1" x14ac:dyDescent="0.2"/>
    <row r="609" s="60" customFormat="1" x14ac:dyDescent="0.2"/>
    <row r="610" s="60" customFormat="1" x14ac:dyDescent="0.2"/>
    <row r="611" s="60" customFormat="1" x14ac:dyDescent="0.2"/>
    <row r="612" s="60" customFormat="1" x14ac:dyDescent="0.2"/>
    <row r="613" s="60" customFormat="1" x14ac:dyDescent="0.2"/>
    <row r="614" s="60" customFormat="1" x14ac:dyDescent="0.2"/>
    <row r="615" s="60" customFormat="1" x14ac:dyDescent="0.2"/>
    <row r="616" s="60" customFormat="1" x14ac:dyDescent="0.2"/>
    <row r="617" s="60" customFormat="1" x14ac:dyDescent="0.2"/>
    <row r="618" s="60" customFormat="1" x14ac:dyDescent="0.2"/>
    <row r="619" s="60" customFormat="1" x14ac:dyDescent="0.2"/>
    <row r="620" s="60" customFormat="1" x14ac:dyDescent="0.2"/>
    <row r="621" s="60" customFormat="1" x14ac:dyDescent="0.2"/>
    <row r="622" s="60" customFormat="1" x14ac:dyDescent="0.2"/>
    <row r="623" s="60" customFormat="1" x14ac:dyDescent="0.2"/>
    <row r="624" s="60" customFormat="1" x14ac:dyDescent="0.2"/>
    <row r="625" s="60" customFormat="1" x14ac:dyDescent="0.2"/>
    <row r="626" s="60" customFormat="1" x14ac:dyDescent="0.2"/>
    <row r="627" s="60" customFormat="1" x14ac:dyDescent="0.2"/>
    <row r="628" s="60" customFormat="1" x14ac:dyDescent="0.2"/>
    <row r="629" s="60" customFormat="1" x14ac:dyDescent="0.2"/>
    <row r="630" s="60" customFormat="1" x14ac:dyDescent="0.2"/>
    <row r="631" s="60" customFormat="1" x14ac:dyDescent="0.2"/>
    <row r="632" s="60" customFormat="1" x14ac:dyDescent="0.2"/>
    <row r="633" s="60" customFormat="1" x14ac:dyDescent="0.2"/>
    <row r="634" s="60" customFormat="1" x14ac:dyDescent="0.2"/>
    <row r="635" s="60" customFormat="1" x14ac:dyDescent="0.2"/>
    <row r="636" s="60" customFormat="1" x14ac:dyDescent="0.2"/>
    <row r="637" s="60" customFormat="1" x14ac:dyDescent="0.2"/>
    <row r="638" s="60" customFormat="1" x14ac:dyDescent="0.2"/>
    <row r="639" s="60" customFormat="1" x14ac:dyDescent="0.2"/>
    <row r="640" s="60" customFormat="1" x14ac:dyDescent="0.2"/>
    <row r="641" s="60" customFormat="1" x14ac:dyDescent="0.2"/>
    <row r="642" s="60" customFormat="1" x14ac:dyDescent="0.2"/>
    <row r="643" s="60" customFormat="1" x14ac:dyDescent="0.2"/>
    <row r="644" s="60" customFormat="1" x14ac:dyDescent="0.2"/>
    <row r="645" s="60" customFormat="1" x14ac:dyDescent="0.2"/>
    <row r="646" s="60" customFormat="1" x14ac:dyDescent="0.2"/>
    <row r="647" s="60" customFormat="1" x14ac:dyDescent="0.2"/>
    <row r="648" s="60" customFormat="1" x14ac:dyDescent="0.2"/>
    <row r="649" s="60" customFormat="1" x14ac:dyDescent="0.2"/>
    <row r="650" s="60" customFormat="1" x14ac:dyDescent="0.2"/>
    <row r="651" s="60" customFormat="1" x14ac:dyDescent="0.2"/>
    <row r="652" s="60" customFormat="1" x14ac:dyDescent="0.2"/>
    <row r="653" s="60" customFormat="1" x14ac:dyDescent="0.2"/>
    <row r="654" s="60" customFormat="1" x14ac:dyDescent="0.2"/>
    <row r="655" s="60" customFormat="1" x14ac:dyDescent="0.2"/>
    <row r="656" s="60" customFormat="1" x14ac:dyDescent="0.2"/>
    <row r="657" s="60" customFormat="1" x14ac:dyDescent="0.2"/>
    <row r="658" s="60" customFormat="1" x14ac:dyDescent="0.2"/>
    <row r="659" s="60" customFormat="1" x14ac:dyDescent="0.2"/>
    <row r="660" s="60" customFormat="1" x14ac:dyDescent="0.2"/>
    <row r="661" s="60" customFormat="1" x14ac:dyDescent="0.2"/>
    <row r="662" s="60" customFormat="1" x14ac:dyDescent="0.2"/>
    <row r="663" s="60" customFormat="1" x14ac:dyDescent="0.2"/>
    <row r="664" s="60" customFormat="1" x14ac:dyDescent="0.2"/>
    <row r="665" s="60" customFormat="1" x14ac:dyDescent="0.2"/>
    <row r="666" s="60" customFormat="1" x14ac:dyDescent="0.2"/>
    <row r="667" s="60" customFormat="1" x14ac:dyDescent="0.2"/>
    <row r="668" s="60" customFormat="1" x14ac:dyDescent="0.2"/>
    <row r="669" s="60" customFormat="1" x14ac:dyDescent="0.2"/>
    <row r="670" s="60" customFormat="1" x14ac:dyDescent="0.2"/>
    <row r="671" s="60" customFormat="1" x14ac:dyDescent="0.2"/>
    <row r="672" s="60" customFormat="1" x14ac:dyDescent="0.2"/>
    <row r="673" spans="1:8" s="60" customFormat="1" x14ac:dyDescent="0.2"/>
    <row r="674" spans="1:8" s="60" customFormat="1" x14ac:dyDescent="0.2"/>
    <row r="675" spans="1:8" s="60" customFormat="1" x14ac:dyDescent="0.2"/>
    <row r="676" spans="1:8" s="60" customFormat="1" x14ac:dyDescent="0.2"/>
    <row r="677" spans="1:8" s="60" customFormat="1" x14ac:dyDescent="0.2"/>
    <row r="678" spans="1:8" s="60" customFormat="1" x14ac:dyDescent="0.2"/>
    <row r="679" spans="1:8" s="60" customFormat="1" x14ac:dyDescent="0.2"/>
    <row r="680" spans="1:8" s="60" customFormat="1" x14ac:dyDescent="0.2"/>
    <row r="681" spans="1:8" s="60" customFormat="1" x14ac:dyDescent="0.2">
      <c r="D681" s="1"/>
      <c r="E681" s="1"/>
      <c r="F681" s="1"/>
      <c r="G681" s="1"/>
      <c r="H681" s="1"/>
    </row>
    <row r="682" spans="1:8" s="60" customFormat="1" x14ac:dyDescent="0.2">
      <c r="D682" s="1"/>
      <c r="E682" s="1"/>
      <c r="F682" s="1"/>
      <c r="G682" s="1"/>
      <c r="H682" s="1"/>
    </row>
    <row r="683" spans="1:8" s="60" customFormat="1" x14ac:dyDescent="0.2">
      <c r="D683" s="1"/>
      <c r="E683" s="1"/>
      <c r="F683" s="1"/>
      <c r="G683" s="1"/>
      <c r="H683" s="1"/>
    </row>
    <row r="684" spans="1:8" s="60" customFormat="1" x14ac:dyDescent="0.2">
      <c r="A684" s="1"/>
      <c r="B684" s="1"/>
      <c r="C684" s="1"/>
      <c r="D684" s="1"/>
      <c r="E684" s="1"/>
      <c r="F684" s="1"/>
      <c r="G684" s="1"/>
      <c r="H684" s="1"/>
    </row>
  </sheetData>
  <mergeCells count="66">
    <mergeCell ref="G76:H76"/>
    <mergeCell ref="D81:E81"/>
    <mergeCell ref="G81:H81"/>
    <mergeCell ref="D90:H90"/>
    <mergeCell ref="D84:H84"/>
    <mergeCell ref="D85:D86"/>
    <mergeCell ref="E85:E86"/>
    <mergeCell ref="F85:F86"/>
    <mergeCell ref="G85:H85"/>
    <mergeCell ref="D89:E89"/>
    <mergeCell ref="D82:H82"/>
    <mergeCell ref="N32:T32"/>
    <mergeCell ref="N33:T33"/>
    <mergeCell ref="N34:N35"/>
    <mergeCell ref="O34:S34"/>
    <mergeCell ref="T34:T35"/>
    <mergeCell ref="M33:M35"/>
    <mergeCell ref="C33:K33"/>
    <mergeCell ref="C34:C35"/>
    <mergeCell ref="D34:D35"/>
    <mergeCell ref="E34:E35"/>
    <mergeCell ref="F34:J34"/>
    <mergeCell ref="K34:K35"/>
    <mergeCell ref="A1:D1"/>
    <mergeCell ref="C2:D2"/>
    <mergeCell ref="C3:D3"/>
    <mergeCell ref="A2:B2"/>
    <mergeCell ref="A3:B3"/>
    <mergeCell ref="A6:E6"/>
    <mergeCell ref="B8:B9"/>
    <mergeCell ref="C8:C9"/>
    <mergeCell ref="D7:D9"/>
    <mergeCell ref="E7:E9"/>
    <mergeCell ref="A7:A9"/>
    <mergeCell ref="A119:B119"/>
    <mergeCell ref="A111:B111"/>
    <mergeCell ref="B7:C7"/>
    <mergeCell ref="A107:B107"/>
    <mergeCell ref="A89:B89"/>
    <mergeCell ref="A97:B97"/>
    <mergeCell ref="A91:B91"/>
    <mergeCell ref="A95:B95"/>
    <mergeCell ref="A105:B105"/>
    <mergeCell ref="A109:B109"/>
    <mergeCell ref="A33:A35"/>
    <mergeCell ref="B33:B35"/>
    <mergeCell ref="A59:I59"/>
    <mergeCell ref="A71:A72"/>
    <mergeCell ref="A78:B78"/>
    <mergeCell ref="H60:I60"/>
    <mergeCell ref="A80:B80"/>
    <mergeCell ref="A75:B75"/>
    <mergeCell ref="M56:S56"/>
    <mergeCell ref="A56:J56"/>
    <mergeCell ref="A58:I58"/>
    <mergeCell ref="A60:B60"/>
    <mergeCell ref="A69:A70"/>
    <mergeCell ref="A61:A62"/>
    <mergeCell ref="A63:A64"/>
    <mergeCell ref="A65:A66"/>
    <mergeCell ref="A67:A68"/>
    <mergeCell ref="A73:I73"/>
    <mergeCell ref="D75:H75"/>
    <mergeCell ref="D76:D77"/>
    <mergeCell ref="E76:E77"/>
    <mergeCell ref="F76:F77"/>
  </mergeCells>
  <pageMargins left="0.25" right="0.25"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AF9C1-7ACB-4B37-9664-FA0AE41C20C2}">
  <sheetPr>
    <pageSetUpPr fitToPage="1"/>
  </sheetPr>
  <dimension ref="A1:DA596"/>
  <sheetViews>
    <sheetView topLeftCell="A99" zoomScale="85" zoomScaleNormal="85" workbookViewId="0">
      <selection activeCell="B103" sqref="B103"/>
    </sheetView>
  </sheetViews>
  <sheetFormatPr defaultColWidth="8.85546875" defaultRowHeight="12.75" x14ac:dyDescent="0.2"/>
  <cols>
    <col min="1" max="1" width="37.7109375" style="33" customWidth="1"/>
    <col min="2" max="3" width="15.140625" style="33" customWidth="1"/>
    <col min="4" max="4" width="9.7109375" style="33" customWidth="1"/>
    <col min="5" max="5" width="8.7109375" style="33" bestFit="1" customWidth="1"/>
    <col min="6" max="6" width="10.28515625" style="33" customWidth="1"/>
    <col min="7" max="7" width="8.85546875" style="33" bestFit="1" customWidth="1"/>
    <col min="8" max="8" width="9.5703125" style="33" customWidth="1"/>
    <col min="9" max="9" width="8.7109375" style="33" bestFit="1" customWidth="1"/>
    <col min="10" max="10" width="11" style="33" bestFit="1" customWidth="1"/>
    <col min="11" max="11" width="9.85546875" style="33" bestFit="1" customWidth="1"/>
    <col min="12" max="12" width="11" style="33" bestFit="1" customWidth="1"/>
    <col min="13" max="13" width="14.85546875" style="33" bestFit="1" customWidth="1"/>
    <col min="14" max="14" width="9.28515625" style="33" customWidth="1"/>
    <col min="15" max="15" width="9.7109375" style="33" customWidth="1"/>
    <col min="16" max="16" width="14.42578125" style="33" customWidth="1"/>
    <col min="17" max="17" width="11" style="33" bestFit="1" customWidth="1"/>
    <col min="18" max="18" width="9.140625" style="33" bestFit="1" customWidth="1"/>
    <col min="19" max="19" width="19" style="33" bestFit="1" customWidth="1"/>
    <col min="20" max="20" width="12.85546875" style="33" customWidth="1"/>
    <col min="21" max="21" width="13.42578125" style="33" customWidth="1"/>
    <col min="22" max="23" width="11.7109375" style="33" customWidth="1"/>
    <col min="24" max="24" width="11.5703125" style="33" customWidth="1"/>
    <col min="25" max="25" width="13.140625" style="33" customWidth="1"/>
    <col min="26" max="26" width="12.42578125" style="33" customWidth="1"/>
    <col min="27" max="27" width="10.7109375" style="33" customWidth="1"/>
    <col min="28" max="28" width="16.140625" style="33" customWidth="1"/>
    <col min="29" max="31" width="15.7109375" style="33" customWidth="1"/>
    <col min="32" max="78" width="8.85546875" style="33"/>
    <col min="79" max="104" width="8.85546875" style="78"/>
    <col min="105" max="16384" width="8.85546875" style="33"/>
  </cols>
  <sheetData>
    <row r="1" spans="1:104" ht="18" customHeight="1" x14ac:dyDescent="0.2">
      <c r="A1" s="454" t="s">
        <v>93</v>
      </c>
      <c r="B1" s="454"/>
      <c r="C1" s="454"/>
      <c r="D1" s="454"/>
      <c r="E1" s="454"/>
      <c r="F1" s="370"/>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row>
    <row r="2" spans="1:104" ht="15.75" x14ac:dyDescent="0.2">
      <c r="A2" s="370" t="s">
        <v>94</v>
      </c>
      <c r="B2" s="370"/>
      <c r="C2" s="370" t="s">
        <v>24</v>
      </c>
      <c r="D2" s="370"/>
      <c r="E2" s="454" t="s">
        <v>25</v>
      </c>
      <c r="F2" s="370"/>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104" ht="18" customHeight="1" x14ac:dyDescent="0.3">
      <c r="A3" s="404" t="s">
        <v>95</v>
      </c>
      <c r="B3" s="404"/>
      <c r="C3" s="403">
        <f>J31</f>
        <v>1570612.2260882664</v>
      </c>
      <c r="D3" s="403"/>
      <c r="E3" s="447">
        <f>J58</f>
        <v>161234439.62009999</v>
      </c>
      <c r="F3" s="403"/>
      <c r="G3" s="78"/>
      <c r="H3" s="141"/>
      <c r="I3" s="141"/>
      <c r="J3" s="141"/>
      <c r="K3" s="141"/>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104" ht="16.5" x14ac:dyDescent="0.3">
      <c r="A4" s="404" t="s">
        <v>96</v>
      </c>
      <c r="B4" s="404"/>
      <c r="C4" s="403">
        <f>K31</f>
        <v>465682.88614940632</v>
      </c>
      <c r="D4" s="403"/>
      <c r="E4" s="447">
        <f>K58</f>
        <v>47805637.790031262</v>
      </c>
      <c r="F4" s="403"/>
      <c r="G4" s="78"/>
      <c r="H4" s="141"/>
      <c r="I4" s="141"/>
      <c r="J4" s="141"/>
      <c r="K4" s="141"/>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104" x14ac:dyDescent="0.2">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104" ht="18" x14ac:dyDescent="0.25">
      <c r="A6" s="118" t="s">
        <v>24</v>
      </c>
      <c r="B6" s="78"/>
      <c r="C6" s="83"/>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row>
    <row r="7" spans="1:104" x14ac:dyDescent="0.2">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row>
    <row r="8" spans="1:104" ht="13.15" customHeight="1" x14ac:dyDescent="0.2">
      <c r="A8" s="427" t="s">
        <v>37</v>
      </c>
      <c r="B8" s="449" t="s">
        <v>100</v>
      </c>
      <c r="C8" s="450"/>
      <c r="D8" s="426" t="s">
        <v>184</v>
      </c>
      <c r="E8" s="448"/>
      <c r="F8" s="426" t="s">
        <v>185</v>
      </c>
      <c r="G8" s="448"/>
      <c r="H8" s="446" t="s">
        <v>97</v>
      </c>
      <c r="I8" s="446"/>
      <c r="J8" s="446" t="s">
        <v>98</v>
      </c>
      <c r="K8" s="446" t="s">
        <v>99</v>
      </c>
      <c r="L8" s="372" t="s">
        <v>214</v>
      </c>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W8" s="33"/>
      <c r="CX8" s="33"/>
      <c r="CY8" s="33"/>
      <c r="CZ8" s="33"/>
    </row>
    <row r="9" spans="1:104" ht="26.45" customHeight="1" x14ac:dyDescent="0.2">
      <c r="A9" s="427"/>
      <c r="B9" s="451"/>
      <c r="C9" s="452"/>
      <c r="D9" s="453" t="s">
        <v>101</v>
      </c>
      <c r="E9" s="453"/>
      <c r="F9" s="453" t="s">
        <v>101</v>
      </c>
      <c r="G9" s="453"/>
      <c r="H9" s="446" t="s">
        <v>89</v>
      </c>
      <c r="I9" s="446" t="s">
        <v>90</v>
      </c>
      <c r="J9" s="446"/>
      <c r="K9" s="446"/>
      <c r="L9" s="374"/>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S9" s="33"/>
      <c r="CT9" s="33"/>
      <c r="CU9" s="33"/>
      <c r="CV9" s="33"/>
      <c r="CW9" s="33"/>
      <c r="CX9" s="33"/>
      <c r="CY9" s="33"/>
      <c r="CZ9" s="33"/>
    </row>
    <row r="10" spans="1:104" ht="40.5" customHeight="1" thickBot="1" x14ac:dyDescent="0.25">
      <c r="A10" s="428"/>
      <c r="B10" s="34" t="s">
        <v>89</v>
      </c>
      <c r="C10" s="34" t="s">
        <v>90</v>
      </c>
      <c r="D10" s="34" t="s">
        <v>89</v>
      </c>
      <c r="E10" s="34" t="s">
        <v>90</v>
      </c>
      <c r="F10" s="34" t="s">
        <v>89</v>
      </c>
      <c r="G10" s="34" t="s">
        <v>90</v>
      </c>
      <c r="H10" s="446"/>
      <c r="I10" s="446"/>
      <c r="J10" s="446"/>
      <c r="K10" s="446"/>
      <c r="L10" s="373"/>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S10" s="33"/>
      <c r="CT10" s="33"/>
      <c r="CU10" s="33"/>
      <c r="CV10" s="33"/>
      <c r="CW10" s="33"/>
      <c r="CX10" s="33"/>
      <c r="CY10" s="33"/>
      <c r="CZ10" s="33"/>
    </row>
    <row r="11" spans="1:104" ht="13.5" thickTop="1" x14ac:dyDescent="0.2">
      <c r="A11" s="35">
        <v>2026</v>
      </c>
      <c r="B11" s="119">
        <f t="shared" ref="B11:B30" si="0">INDEX($D$64:$D$88,MATCH($A11,$A$64:$A$88,0))</f>
        <v>22657</v>
      </c>
      <c r="C11" s="36">
        <f t="shared" ref="C11:C30" si="1">INDEX($C$64:$C$88,MATCH($A11,$A$64:$A$88,0))</f>
        <v>7155</v>
      </c>
      <c r="D11" s="119">
        <f t="shared" ref="D11:D30" si="2">INDEX($H$64:$H$88,MATCH($A11,$A$64:$A$88,0))</f>
        <v>2454.5213333333331</v>
      </c>
      <c r="E11" s="36">
        <f t="shared" ref="E11:E30" si="3">INDEX($G$64:$G$88,MATCH($A11,$A$64:$A$88,0))</f>
        <v>775.11199999999997</v>
      </c>
      <c r="F11" s="119">
        <f t="shared" ref="F11:F30" si="4">INDEX($J$64:$J$88,MATCH($A11,$A$64:$A$88,0))</f>
        <v>1132.8560000000002</v>
      </c>
      <c r="G11" s="36">
        <f t="shared" ref="G11:G30" si="5">INDEX($I$64:$I$88,MATCH($A11,$A$64:$A$88,0))</f>
        <v>357.74400000000003</v>
      </c>
      <c r="H11" s="119">
        <f>(D11-F11)</f>
        <v>1321.6653333333329</v>
      </c>
      <c r="I11" s="38">
        <f>(E11-G11)</f>
        <v>417.36799999999994</v>
      </c>
      <c r="J11" s="160">
        <f>((H11*$B$116*$B$123)+(I11*$B$115*$B$124))*L11</f>
        <v>21057.439879466663</v>
      </c>
      <c r="K11" s="197">
        <f>J11*INDEX(NPV!$C$3:$C$42,MATCH('Travel Time'!$A11,NPV!$B$3:$B$42,0))</f>
        <v>14031.461317166331</v>
      </c>
      <c r="L11" s="262">
        <f>(A11-2018)*($L$23/($A$23-2018))</f>
        <v>0.4</v>
      </c>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S11" s="33"/>
      <c r="CT11" s="33"/>
      <c r="CU11" s="33"/>
      <c r="CV11" s="33"/>
      <c r="CW11" s="33"/>
      <c r="CX11" s="33"/>
      <c r="CY11" s="33"/>
      <c r="CZ11" s="33"/>
    </row>
    <row r="12" spans="1:104" x14ac:dyDescent="0.2">
      <c r="A12" s="37">
        <f t="shared" ref="A12:A30" si="6">A11+1</f>
        <v>2027</v>
      </c>
      <c r="B12" s="119">
        <f t="shared" si="0"/>
        <v>23043</v>
      </c>
      <c r="C12" s="36">
        <f t="shared" si="1"/>
        <v>7277</v>
      </c>
      <c r="D12" s="119">
        <f t="shared" si="2"/>
        <v>2496.3466666666664</v>
      </c>
      <c r="E12" s="36">
        <f t="shared" si="3"/>
        <v>788.31999999999994</v>
      </c>
      <c r="F12" s="119">
        <f t="shared" si="4"/>
        <v>1152.1600000000001</v>
      </c>
      <c r="G12" s="36">
        <f t="shared" si="5"/>
        <v>363.84</v>
      </c>
      <c r="H12" s="119">
        <f t="shared" ref="H12:H30" si="7">(D12-F12)</f>
        <v>1344.1866666666663</v>
      </c>
      <c r="I12" s="38">
        <f t="shared" ref="I12:I30" si="8">(E12-G12)</f>
        <v>424.47999999999996</v>
      </c>
      <c r="J12" s="160">
        <f t="shared" ref="J12:J30" si="9">((H12*$B$116*$B$123)+(I12*$B$115*$B$124))*L12</f>
        <v>24093.293783999994</v>
      </c>
      <c r="K12" s="161">
        <f>J12*INDEX(NPV!$C$3:$C$42,MATCH('Travel Time'!$A12,NPV!$B$3:$B$42,0))</f>
        <v>15004.092485135619</v>
      </c>
      <c r="L12" s="262">
        <f t="shared" ref="L12:L22" si="10">(A12-2018)*($L$23/($A$23-2018))</f>
        <v>0.45</v>
      </c>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S12" s="33"/>
      <c r="CT12" s="33"/>
      <c r="CU12" s="33"/>
      <c r="CV12" s="33"/>
      <c r="CW12" s="33"/>
      <c r="CX12" s="33"/>
      <c r="CY12" s="33"/>
      <c r="CZ12" s="33"/>
    </row>
    <row r="13" spans="1:104" x14ac:dyDescent="0.2">
      <c r="A13" s="37">
        <f t="shared" si="6"/>
        <v>2028</v>
      </c>
      <c r="B13" s="119">
        <f t="shared" si="0"/>
        <v>23435</v>
      </c>
      <c r="C13" s="36">
        <f t="shared" si="1"/>
        <v>7401</v>
      </c>
      <c r="D13" s="119">
        <f t="shared" si="2"/>
        <v>2538.8306666666667</v>
      </c>
      <c r="E13" s="36">
        <f t="shared" si="3"/>
        <v>801.73599999999999</v>
      </c>
      <c r="F13" s="119">
        <f t="shared" si="4"/>
        <v>1171.768</v>
      </c>
      <c r="G13" s="36">
        <f t="shared" si="5"/>
        <v>370.03200000000004</v>
      </c>
      <c r="H13" s="119">
        <f t="shared" si="7"/>
        <v>1367.0626666666667</v>
      </c>
      <c r="I13" s="38">
        <f t="shared" si="8"/>
        <v>431.70399999999995</v>
      </c>
      <c r="J13" s="160">
        <f t="shared" si="9"/>
        <v>27225.916414666666</v>
      </c>
      <c r="K13" s="161">
        <f>J13*INDEX(NPV!$C$3:$C$42,MATCH('Travel Time'!$A13,NPV!$B$3:$B$42,0))</f>
        <v>15845.731233462728</v>
      </c>
      <c r="L13" s="262">
        <f t="shared" si="10"/>
        <v>0.5</v>
      </c>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S13" s="33"/>
      <c r="CT13" s="33"/>
      <c r="CU13" s="33"/>
      <c r="CV13" s="33"/>
      <c r="CW13" s="33"/>
      <c r="CX13" s="33"/>
      <c r="CY13" s="33"/>
      <c r="CZ13" s="33"/>
    </row>
    <row r="14" spans="1:104" x14ac:dyDescent="0.2">
      <c r="A14" s="37">
        <f t="shared" si="6"/>
        <v>2029</v>
      </c>
      <c r="B14" s="119">
        <f t="shared" si="0"/>
        <v>23834</v>
      </c>
      <c r="C14" s="36">
        <f t="shared" si="1"/>
        <v>7526</v>
      </c>
      <c r="D14" s="119">
        <f t="shared" si="2"/>
        <v>2581.9733333333334</v>
      </c>
      <c r="E14" s="36">
        <f t="shared" si="3"/>
        <v>815.3599999999999</v>
      </c>
      <c r="F14" s="119">
        <f t="shared" si="4"/>
        <v>1191.68</v>
      </c>
      <c r="G14" s="36">
        <f t="shared" si="5"/>
        <v>376.32</v>
      </c>
      <c r="H14" s="119">
        <f t="shared" si="7"/>
        <v>1390.2933333333333</v>
      </c>
      <c r="I14" s="38">
        <f t="shared" si="8"/>
        <v>439.03999999999991</v>
      </c>
      <c r="J14" s="160">
        <f t="shared" si="9"/>
        <v>30457.426794666666</v>
      </c>
      <c r="K14" s="161">
        <f>J14*INDEX(NPV!$C$3:$C$42,MATCH('Travel Time'!$A14,NPV!$B$3:$B$42,0))</f>
        <v>16566.822145905753</v>
      </c>
      <c r="L14" s="262">
        <f t="shared" si="10"/>
        <v>0.55000000000000004</v>
      </c>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S14" s="33"/>
      <c r="CT14" s="33"/>
      <c r="CU14" s="33"/>
      <c r="CV14" s="33"/>
      <c r="CW14" s="33"/>
      <c r="CX14" s="33"/>
      <c r="CY14" s="33"/>
      <c r="CZ14" s="33"/>
    </row>
    <row r="15" spans="1:104" x14ac:dyDescent="0.2">
      <c r="A15" s="37">
        <f t="shared" si="6"/>
        <v>2030</v>
      </c>
      <c r="B15" s="119">
        <f t="shared" si="0"/>
        <v>24239</v>
      </c>
      <c r="C15" s="36">
        <f t="shared" si="1"/>
        <v>7655</v>
      </c>
      <c r="D15" s="119">
        <f t="shared" si="2"/>
        <v>2625.9393333333328</v>
      </c>
      <c r="E15" s="36">
        <f t="shared" si="3"/>
        <v>829.24399999999991</v>
      </c>
      <c r="F15" s="119">
        <f t="shared" si="4"/>
        <v>1211.972</v>
      </c>
      <c r="G15" s="36">
        <f t="shared" si="5"/>
        <v>382.72800000000001</v>
      </c>
      <c r="H15" s="119">
        <f t="shared" si="7"/>
        <v>1413.9673333333328</v>
      </c>
      <c r="I15" s="38">
        <f t="shared" si="8"/>
        <v>446.51599999999991</v>
      </c>
      <c r="J15" s="160">
        <f t="shared" si="9"/>
        <v>33792.062970399995</v>
      </c>
      <c r="K15" s="161">
        <f>J15*INDEX(NPV!$C$3:$C$42,MATCH('Travel Time'!$A15,NPV!$B$3:$B$42,0))</f>
        <v>17178.171290774648</v>
      </c>
      <c r="L15" s="262">
        <f t="shared" si="10"/>
        <v>0.60000000000000009</v>
      </c>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S15" s="33"/>
      <c r="CT15" s="33"/>
      <c r="CU15" s="33"/>
      <c r="CV15" s="33"/>
      <c r="CW15" s="33"/>
      <c r="CX15" s="33"/>
      <c r="CY15" s="33"/>
      <c r="CZ15" s="33"/>
    </row>
    <row r="16" spans="1:104" x14ac:dyDescent="0.2">
      <c r="A16" s="37">
        <f t="shared" si="6"/>
        <v>2031</v>
      </c>
      <c r="B16" s="119">
        <f t="shared" si="0"/>
        <v>24652</v>
      </c>
      <c r="C16" s="36">
        <f t="shared" si="1"/>
        <v>7785</v>
      </c>
      <c r="D16" s="119">
        <f t="shared" si="2"/>
        <v>2670.6463333333331</v>
      </c>
      <c r="E16" s="36">
        <f t="shared" si="3"/>
        <v>843.36199999999997</v>
      </c>
      <c r="F16" s="119">
        <f t="shared" si="4"/>
        <v>1232.6060000000002</v>
      </c>
      <c r="G16" s="36">
        <f t="shared" si="5"/>
        <v>389.24400000000003</v>
      </c>
      <c r="H16" s="119">
        <f t="shared" si="7"/>
        <v>1438.0403333333329</v>
      </c>
      <c r="I16" s="38">
        <f t="shared" si="8"/>
        <v>454.11799999999994</v>
      </c>
      <c r="J16" s="160">
        <f t="shared" si="9"/>
        <v>37231.325916633323</v>
      </c>
      <c r="K16" s="161">
        <f>J16*INDEX(NPV!$C$3:$C$42,MATCH('Travel Time'!$A16,NPV!$B$3:$B$42,0))</f>
        <v>17688.334742950952</v>
      </c>
      <c r="L16" s="262">
        <f t="shared" si="10"/>
        <v>0.65</v>
      </c>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S16" s="33"/>
      <c r="CT16" s="33"/>
      <c r="CU16" s="33"/>
      <c r="CV16" s="33"/>
      <c r="CW16" s="33"/>
      <c r="CX16" s="33"/>
      <c r="CY16" s="33"/>
      <c r="CZ16" s="33"/>
    </row>
    <row r="17" spans="1:104" x14ac:dyDescent="0.2">
      <c r="A17" s="37">
        <f t="shared" si="6"/>
        <v>2032</v>
      </c>
      <c r="B17" s="119">
        <f t="shared" si="0"/>
        <v>25072</v>
      </c>
      <c r="C17" s="36">
        <f t="shared" si="1"/>
        <v>7917</v>
      </c>
      <c r="D17" s="119">
        <f t="shared" si="2"/>
        <v>2716.094333333333</v>
      </c>
      <c r="E17" s="36">
        <f t="shared" si="3"/>
        <v>857.71399999999983</v>
      </c>
      <c r="F17" s="119">
        <f t="shared" si="4"/>
        <v>1253.5820000000001</v>
      </c>
      <c r="G17" s="36">
        <f t="shared" si="5"/>
        <v>395.86799999999999</v>
      </c>
      <c r="H17" s="119">
        <f t="shared" si="7"/>
        <v>1462.5123333333329</v>
      </c>
      <c r="I17" s="38">
        <f t="shared" si="8"/>
        <v>461.84599999999983</v>
      </c>
      <c r="J17" s="160">
        <f t="shared" si="9"/>
        <v>40777.599534466659</v>
      </c>
      <c r="K17" s="161">
        <f>J17*INDEX(NPV!$C$3:$C$42,MATCH('Travel Time'!$A17,NPV!$B$3:$B$42,0))</f>
        <v>18105.741862432635</v>
      </c>
      <c r="L17" s="262">
        <f t="shared" si="10"/>
        <v>0.70000000000000007</v>
      </c>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S17" s="33"/>
      <c r="CT17" s="33"/>
      <c r="CU17" s="33"/>
      <c r="CV17" s="33"/>
      <c r="CW17" s="33"/>
      <c r="CX17" s="33"/>
      <c r="CY17" s="33"/>
      <c r="CZ17" s="33"/>
    </row>
    <row r="18" spans="1:104" x14ac:dyDescent="0.2">
      <c r="A18" s="37">
        <f t="shared" si="6"/>
        <v>2033</v>
      </c>
      <c r="B18" s="119">
        <f t="shared" si="0"/>
        <v>25498</v>
      </c>
      <c r="C18" s="36">
        <f t="shared" si="1"/>
        <v>8052</v>
      </c>
      <c r="D18" s="119">
        <f t="shared" si="2"/>
        <v>2762.2833333333333</v>
      </c>
      <c r="E18" s="36">
        <f t="shared" si="3"/>
        <v>872.29999999999984</v>
      </c>
      <c r="F18" s="119">
        <f t="shared" si="4"/>
        <v>1274.9000000000001</v>
      </c>
      <c r="G18" s="36">
        <f t="shared" si="5"/>
        <v>402.59999999999997</v>
      </c>
      <c r="H18" s="119">
        <f t="shared" si="7"/>
        <v>1487.3833333333332</v>
      </c>
      <c r="I18" s="38">
        <f t="shared" si="8"/>
        <v>469.69999999999987</v>
      </c>
      <c r="J18" s="160">
        <f t="shared" si="9"/>
        <v>44433.267724999998</v>
      </c>
      <c r="K18" s="161">
        <f>J18*INDEX(NPV!$C$3:$C$42,MATCH('Travel Time'!$A18,NPV!$B$3:$B$42,0))</f>
        <v>18438.2264093882</v>
      </c>
      <c r="L18" s="262">
        <f t="shared" si="10"/>
        <v>0.75</v>
      </c>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S18" s="33"/>
      <c r="CT18" s="33"/>
      <c r="CU18" s="33"/>
      <c r="CV18" s="33"/>
      <c r="CW18" s="33"/>
      <c r="CX18" s="33"/>
      <c r="CY18" s="33"/>
      <c r="CZ18" s="33"/>
    </row>
    <row r="19" spans="1:104" x14ac:dyDescent="0.2">
      <c r="A19" s="37">
        <f t="shared" si="6"/>
        <v>2034</v>
      </c>
      <c r="B19" s="119">
        <f t="shared" si="0"/>
        <v>25932</v>
      </c>
      <c r="C19" s="36">
        <f t="shared" si="1"/>
        <v>8189</v>
      </c>
      <c r="D19" s="119">
        <f t="shared" si="2"/>
        <v>2809.2956666666669</v>
      </c>
      <c r="E19" s="36">
        <f t="shared" si="3"/>
        <v>887.14599999999996</v>
      </c>
      <c r="F19" s="119">
        <f t="shared" si="4"/>
        <v>1296.5980000000002</v>
      </c>
      <c r="G19" s="36">
        <f t="shared" si="5"/>
        <v>409.45200000000006</v>
      </c>
      <c r="H19" s="119">
        <f t="shared" si="7"/>
        <v>1512.6976666666667</v>
      </c>
      <c r="I19" s="38">
        <f t="shared" si="8"/>
        <v>477.6939999999999</v>
      </c>
      <c r="J19" s="160">
        <f t="shared" si="9"/>
        <v>48202.127071466668</v>
      </c>
      <c r="K19" s="161">
        <f>J19*INDEX(NPV!$C$3:$C$42,MATCH('Travel Time'!$A19,NPV!$B$3:$B$42,0))</f>
        <v>18693.615932022709</v>
      </c>
      <c r="L19" s="262">
        <f t="shared" si="10"/>
        <v>0.8</v>
      </c>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S19" s="33"/>
      <c r="CT19" s="33"/>
      <c r="CU19" s="33"/>
      <c r="CV19" s="33"/>
      <c r="CW19" s="33"/>
      <c r="CX19" s="33"/>
      <c r="CY19" s="33"/>
      <c r="CZ19" s="33"/>
    </row>
    <row r="20" spans="1:104" x14ac:dyDescent="0.2">
      <c r="A20" s="37">
        <f t="shared" si="6"/>
        <v>2035</v>
      </c>
      <c r="B20" s="119">
        <f t="shared" si="0"/>
        <v>26374</v>
      </c>
      <c r="C20" s="36">
        <f t="shared" si="1"/>
        <v>8328</v>
      </c>
      <c r="D20" s="119">
        <f t="shared" si="2"/>
        <v>2857.1313333333333</v>
      </c>
      <c r="E20" s="36">
        <f t="shared" si="3"/>
        <v>902.25199999999995</v>
      </c>
      <c r="F20" s="119">
        <f t="shared" si="4"/>
        <v>1318.6760000000002</v>
      </c>
      <c r="G20" s="36">
        <f t="shared" si="5"/>
        <v>416.42400000000004</v>
      </c>
      <c r="H20" s="119">
        <f t="shared" si="7"/>
        <v>1538.4553333333331</v>
      </c>
      <c r="I20" s="38">
        <f t="shared" si="8"/>
        <v>485.82799999999992</v>
      </c>
      <c r="J20" s="160">
        <f t="shared" si="9"/>
        <v>52086.826352866665</v>
      </c>
      <c r="K20" s="161">
        <f>J20*INDEX(NPV!$C$3:$C$42,MATCH('Travel Time'!$A20,NPV!$B$3:$B$42,0))</f>
        <v>18878.662887399289</v>
      </c>
      <c r="L20" s="262">
        <f t="shared" si="10"/>
        <v>0.85000000000000009</v>
      </c>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S20" s="33"/>
      <c r="CT20" s="33"/>
      <c r="CU20" s="33"/>
      <c r="CV20" s="33"/>
      <c r="CW20" s="33"/>
      <c r="CX20" s="33"/>
      <c r="CY20" s="33"/>
      <c r="CZ20" s="33"/>
    </row>
    <row r="21" spans="1:104" x14ac:dyDescent="0.2">
      <c r="A21" s="37">
        <f t="shared" si="6"/>
        <v>2036</v>
      </c>
      <c r="B21" s="119">
        <f t="shared" si="0"/>
        <v>26823</v>
      </c>
      <c r="C21" s="36">
        <f t="shared" si="1"/>
        <v>8470</v>
      </c>
      <c r="D21" s="119">
        <f t="shared" si="2"/>
        <v>2905.7903333333329</v>
      </c>
      <c r="E21" s="36">
        <f t="shared" si="3"/>
        <v>917.61799999999982</v>
      </c>
      <c r="F21" s="119">
        <f t="shared" si="4"/>
        <v>1341.134</v>
      </c>
      <c r="G21" s="36">
        <f t="shared" si="5"/>
        <v>423.51600000000002</v>
      </c>
      <c r="H21" s="119">
        <f t="shared" si="7"/>
        <v>1564.6563333333329</v>
      </c>
      <c r="I21" s="38">
        <f t="shared" si="8"/>
        <v>494.1019999999998</v>
      </c>
      <c r="J21" s="160">
        <f t="shared" si="9"/>
        <v>56090.014348199991</v>
      </c>
      <c r="K21" s="161">
        <f>J21*INDEX(NPV!$C$3:$C$42,MATCH('Travel Time'!$A21,NPV!$B$3:$B$42,0))</f>
        <v>18999.628450642929</v>
      </c>
      <c r="L21" s="262">
        <f t="shared" si="10"/>
        <v>0.9</v>
      </c>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S21" s="33"/>
      <c r="CT21" s="33"/>
      <c r="CU21" s="33"/>
      <c r="CV21" s="33"/>
      <c r="CW21" s="33"/>
      <c r="CX21" s="33"/>
      <c r="CY21" s="33"/>
      <c r="CZ21" s="33"/>
    </row>
    <row r="22" spans="1:104" x14ac:dyDescent="0.2">
      <c r="A22" s="37">
        <f t="shared" si="6"/>
        <v>2037</v>
      </c>
      <c r="B22" s="119">
        <f t="shared" si="0"/>
        <v>27279</v>
      </c>
      <c r="C22" s="36">
        <f t="shared" si="1"/>
        <v>8614</v>
      </c>
      <c r="D22" s="119">
        <f t="shared" si="2"/>
        <v>2955.190333333333</v>
      </c>
      <c r="E22" s="36">
        <f t="shared" si="3"/>
        <v>933.21799999999985</v>
      </c>
      <c r="F22" s="119">
        <f t="shared" si="4"/>
        <v>1363.9340000000002</v>
      </c>
      <c r="G22" s="36">
        <f t="shared" si="5"/>
        <v>430.71600000000001</v>
      </c>
      <c r="H22" s="119">
        <f t="shared" si="7"/>
        <v>1591.2563333333328</v>
      </c>
      <c r="I22" s="38">
        <f t="shared" si="8"/>
        <v>502.50199999999984</v>
      </c>
      <c r="J22" s="160">
        <f t="shared" si="9"/>
        <v>60212.662276433315</v>
      </c>
      <c r="K22" s="161">
        <f>J22*INDEX(NPV!$C$3:$C$42,MATCH('Travel Time'!$A22,NPV!$B$3:$B$42,0))</f>
        <v>19061.786858383199</v>
      </c>
      <c r="L22" s="262">
        <f t="shared" si="10"/>
        <v>0.95000000000000007</v>
      </c>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S22" s="33"/>
      <c r="CT22" s="33"/>
      <c r="CU22" s="33"/>
      <c r="CV22" s="33"/>
      <c r="CW22" s="33"/>
      <c r="CX22" s="33"/>
      <c r="CY22" s="33"/>
      <c r="CZ22" s="33"/>
    </row>
    <row r="23" spans="1:104" x14ac:dyDescent="0.2">
      <c r="A23" s="37">
        <f t="shared" si="6"/>
        <v>2038</v>
      </c>
      <c r="B23" s="119">
        <f t="shared" si="0"/>
        <v>27743</v>
      </c>
      <c r="C23" s="36">
        <f t="shared" si="1"/>
        <v>8761</v>
      </c>
      <c r="D23" s="119">
        <f t="shared" si="2"/>
        <v>4623.84</v>
      </c>
      <c r="E23" s="36">
        <f t="shared" si="3"/>
        <v>1460.1599999999999</v>
      </c>
      <c r="F23" s="119">
        <f t="shared" si="4"/>
        <v>1387.152</v>
      </c>
      <c r="G23" s="36">
        <f t="shared" si="5"/>
        <v>438.048</v>
      </c>
      <c r="H23" s="119">
        <f t="shared" si="7"/>
        <v>3236.6880000000001</v>
      </c>
      <c r="I23" s="38">
        <f t="shared" si="8"/>
        <v>1022.1119999999999</v>
      </c>
      <c r="J23" s="160">
        <f t="shared" si="9"/>
        <v>128921.371488</v>
      </c>
      <c r="K23" s="161">
        <f>J23*INDEX(NPV!$C$3:$C$42,MATCH('Travel Time'!$A23,NPV!$B$3:$B$42,0))</f>
        <v>38143.181865991319</v>
      </c>
      <c r="L23" s="262">
        <v>1</v>
      </c>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S23" s="33"/>
      <c r="CT23" s="33"/>
      <c r="CU23" s="33"/>
      <c r="CV23" s="33"/>
      <c r="CW23" s="33"/>
      <c r="CX23" s="33"/>
      <c r="CY23" s="33"/>
      <c r="CZ23" s="33"/>
    </row>
    <row r="24" spans="1:104" x14ac:dyDescent="0.2">
      <c r="A24" s="37">
        <f t="shared" si="6"/>
        <v>2039</v>
      </c>
      <c r="B24" s="119">
        <f t="shared" si="0"/>
        <v>28216</v>
      </c>
      <c r="C24" s="36">
        <f t="shared" si="1"/>
        <v>8910</v>
      </c>
      <c r="D24" s="119">
        <f t="shared" si="2"/>
        <v>4702.6266666666661</v>
      </c>
      <c r="E24" s="36">
        <f t="shared" si="3"/>
        <v>1485.0399999999997</v>
      </c>
      <c r="F24" s="119">
        <f t="shared" si="4"/>
        <v>1410.7880000000002</v>
      </c>
      <c r="G24" s="36">
        <f t="shared" si="5"/>
        <v>445.512</v>
      </c>
      <c r="H24" s="119">
        <f t="shared" si="7"/>
        <v>3291.8386666666656</v>
      </c>
      <c r="I24" s="38">
        <f t="shared" si="8"/>
        <v>1039.5279999999998</v>
      </c>
      <c r="J24" s="160">
        <f t="shared" si="9"/>
        <v>131118.09220533329</v>
      </c>
      <c r="K24" s="161">
        <f>J24*INDEX(NPV!$C$3:$C$42,MATCH('Travel Time'!$A24,NPV!$B$3:$B$42,0))</f>
        <v>36255.245103258254</v>
      </c>
      <c r="L24" s="262">
        <v>1</v>
      </c>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S24" s="33"/>
      <c r="CT24" s="33"/>
      <c r="CU24" s="33"/>
      <c r="CV24" s="33"/>
      <c r="CW24" s="33"/>
      <c r="CX24" s="33"/>
      <c r="CY24" s="33"/>
      <c r="CZ24" s="33"/>
    </row>
    <row r="25" spans="1:104" x14ac:dyDescent="0.2">
      <c r="A25" s="37">
        <f t="shared" si="6"/>
        <v>2040</v>
      </c>
      <c r="B25" s="119">
        <f t="shared" si="0"/>
        <v>28695</v>
      </c>
      <c r="C25" s="36">
        <f t="shared" si="1"/>
        <v>9062</v>
      </c>
      <c r="D25" s="119">
        <f t="shared" si="2"/>
        <v>4782.5533333333333</v>
      </c>
      <c r="E25" s="36">
        <f t="shared" si="3"/>
        <v>1510.28</v>
      </c>
      <c r="F25" s="119">
        <f t="shared" si="4"/>
        <v>1434.7660000000001</v>
      </c>
      <c r="G25" s="36">
        <f t="shared" si="5"/>
        <v>453.084</v>
      </c>
      <c r="H25" s="119">
        <f t="shared" si="7"/>
        <v>3347.7873333333332</v>
      </c>
      <c r="I25" s="38">
        <f t="shared" si="8"/>
        <v>1057.1959999999999</v>
      </c>
      <c r="J25" s="160">
        <f t="shared" si="9"/>
        <v>133346.59827066667</v>
      </c>
      <c r="K25" s="161">
        <f>J25*INDEX(NPV!$C$3:$C$42,MATCH('Travel Time'!$A25,NPV!$B$3:$B$42,0))</f>
        <v>34459.294953727229</v>
      </c>
      <c r="L25" s="262">
        <v>1</v>
      </c>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S25" s="33"/>
      <c r="CT25" s="33"/>
      <c r="CU25" s="33"/>
      <c r="CV25" s="33"/>
      <c r="CW25" s="33"/>
      <c r="CX25" s="33"/>
      <c r="CY25" s="33"/>
      <c r="CZ25" s="33"/>
    </row>
    <row r="26" spans="1:104" x14ac:dyDescent="0.2">
      <c r="A26" s="37">
        <f t="shared" si="6"/>
        <v>2041</v>
      </c>
      <c r="B26" s="119">
        <f t="shared" si="0"/>
        <v>29184</v>
      </c>
      <c r="C26" s="36">
        <f t="shared" si="1"/>
        <v>9216</v>
      </c>
      <c r="D26" s="119">
        <f t="shared" si="2"/>
        <v>4864</v>
      </c>
      <c r="E26" s="36">
        <f t="shared" si="3"/>
        <v>1536</v>
      </c>
      <c r="F26" s="119">
        <f t="shared" si="4"/>
        <v>1459.2</v>
      </c>
      <c r="G26" s="36">
        <f t="shared" si="5"/>
        <v>460.79999999999995</v>
      </c>
      <c r="H26" s="119">
        <f t="shared" si="7"/>
        <v>3404.8</v>
      </c>
      <c r="I26" s="38">
        <f t="shared" si="8"/>
        <v>1075.2</v>
      </c>
      <c r="J26" s="160">
        <f t="shared" si="9"/>
        <v>135617.48480000001</v>
      </c>
      <c r="K26" s="161">
        <f>J26*INDEX(NPV!$C$3:$C$42,MATCH('Travel Time'!$A26,NPV!$B$3:$B$42,0))</f>
        <v>32753.39737022523</v>
      </c>
      <c r="L26" s="262">
        <v>1</v>
      </c>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S26" s="33"/>
      <c r="CT26" s="33"/>
      <c r="CU26" s="33"/>
      <c r="CV26" s="33"/>
      <c r="CW26" s="33"/>
      <c r="CX26" s="33"/>
      <c r="CY26" s="33"/>
      <c r="CZ26" s="33"/>
    </row>
    <row r="27" spans="1:104" x14ac:dyDescent="0.2">
      <c r="A27" s="37">
        <f t="shared" si="6"/>
        <v>2042</v>
      </c>
      <c r="B27" s="119">
        <f t="shared" si="0"/>
        <v>29681</v>
      </c>
      <c r="C27" s="36">
        <f t="shared" si="1"/>
        <v>9373</v>
      </c>
      <c r="D27" s="119">
        <f t="shared" si="2"/>
        <v>4946.84</v>
      </c>
      <c r="E27" s="36">
        <f t="shared" si="3"/>
        <v>1562.1599999999999</v>
      </c>
      <c r="F27" s="119">
        <f t="shared" si="4"/>
        <v>1484.0520000000001</v>
      </c>
      <c r="G27" s="36">
        <f t="shared" si="5"/>
        <v>468.64799999999997</v>
      </c>
      <c r="H27" s="119">
        <f t="shared" si="7"/>
        <v>3462.788</v>
      </c>
      <c r="I27" s="38">
        <f t="shared" si="8"/>
        <v>1093.5119999999999</v>
      </c>
      <c r="J27" s="160">
        <f t="shared" si="9"/>
        <v>137927.220088</v>
      </c>
      <c r="K27" s="161">
        <f>J27*INDEX(NPV!$C$3:$C$42,MATCH('Travel Time'!$A27,NPV!$B$3:$B$42,0))</f>
        <v>31131.989410455026</v>
      </c>
      <c r="L27" s="262">
        <v>1</v>
      </c>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S27" s="33"/>
      <c r="CT27" s="33"/>
      <c r="CU27" s="33"/>
      <c r="CV27" s="33"/>
      <c r="CW27" s="33"/>
      <c r="CX27" s="33"/>
      <c r="CY27" s="33"/>
      <c r="CZ27" s="33"/>
    </row>
    <row r="28" spans="1:104" x14ac:dyDescent="0.2">
      <c r="A28" s="37">
        <f t="shared" si="6"/>
        <v>2043</v>
      </c>
      <c r="B28" s="119">
        <f t="shared" si="0"/>
        <v>30186</v>
      </c>
      <c r="C28" s="36">
        <f t="shared" si="1"/>
        <v>9532</v>
      </c>
      <c r="D28" s="119">
        <f t="shared" si="2"/>
        <v>5030.9466666666667</v>
      </c>
      <c r="E28" s="36">
        <f t="shared" si="3"/>
        <v>1588.7199999999998</v>
      </c>
      <c r="F28" s="119">
        <f t="shared" si="4"/>
        <v>1509.2840000000001</v>
      </c>
      <c r="G28" s="36">
        <f t="shared" si="5"/>
        <v>476.61599999999999</v>
      </c>
      <c r="H28" s="119">
        <f t="shared" si="7"/>
        <v>3521.6626666666666</v>
      </c>
      <c r="I28" s="38">
        <f t="shared" si="8"/>
        <v>1112.1039999999998</v>
      </c>
      <c r="J28" s="160">
        <f t="shared" si="9"/>
        <v>140272.2724293333</v>
      </c>
      <c r="K28" s="161">
        <f>J28*INDEX(NPV!$C$3:$C$42,MATCH('Travel Time'!$A28,NPV!$B$3:$B$42,0))</f>
        <v>29589.998688718384</v>
      </c>
      <c r="L28" s="262">
        <v>1</v>
      </c>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S28" s="33"/>
      <c r="CT28" s="33"/>
      <c r="CU28" s="33"/>
      <c r="CV28" s="33"/>
      <c r="CW28" s="33"/>
      <c r="CX28" s="33"/>
      <c r="CY28" s="33"/>
      <c r="CZ28" s="33"/>
    </row>
    <row r="29" spans="1:104" x14ac:dyDescent="0.2">
      <c r="A29" s="37">
        <f t="shared" si="6"/>
        <v>2044</v>
      </c>
      <c r="B29" s="119">
        <f t="shared" si="0"/>
        <v>30699</v>
      </c>
      <c r="C29" s="36">
        <f t="shared" si="1"/>
        <v>9695</v>
      </c>
      <c r="D29" s="119">
        <f t="shared" si="2"/>
        <v>5116.5733333333337</v>
      </c>
      <c r="E29" s="36">
        <f t="shared" si="3"/>
        <v>1615.7599999999998</v>
      </c>
      <c r="F29" s="119">
        <f t="shared" si="4"/>
        <v>1534.972</v>
      </c>
      <c r="G29" s="36">
        <f t="shared" si="5"/>
        <v>484.72800000000001</v>
      </c>
      <c r="H29" s="119">
        <f t="shared" si="7"/>
        <v>3581.601333333334</v>
      </c>
      <c r="I29" s="38">
        <f t="shared" si="8"/>
        <v>1131.0319999999997</v>
      </c>
      <c r="J29" s="160">
        <f t="shared" si="9"/>
        <v>142659.70523466668</v>
      </c>
      <c r="K29" s="161">
        <f>J29*INDEX(NPV!$C$3:$C$42,MATCH('Travel Time'!$A29,NPV!$B$3:$B$42,0))</f>
        <v>28124.878689906149</v>
      </c>
      <c r="L29" s="262">
        <v>1</v>
      </c>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S29" s="33"/>
      <c r="CT29" s="33"/>
      <c r="CU29" s="33"/>
      <c r="CV29" s="33"/>
      <c r="CW29" s="33"/>
      <c r="CX29" s="33"/>
      <c r="CY29" s="33"/>
      <c r="CZ29" s="33"/>
    </row>
    <row r="30" spans="1:104" ht="13.5" thickBot="1" x14ac:dyDescent="0.25">
      <c r="A30" s="37">
        <f t="shared" si="6"/>
        <v>2045</v>
      </c>
      <c r="B30" s="119">
        <f t="shared" si="0"/>
        <v>31222</v>
      </c>
      <c r="C30" s="36">
        <f t="shared" si="1"/>
        <v>9860</v>
      </c>
      <c r="D30" s="119">
        <f t="shared" si="2"/>
        <v>5203.72</v>
      </c>
      <c r="E30" s="36">
        <f t="shared" si="3"/>
        <v>1643.28</v>
      </c>
      <c r="F30" s="119">
        <f t="shared" si="4"/>
        <v>1561.116</v>
      </c>
      <c r="G30" s="36">
        <f t="shared" si="5"/>
        <v>492.98399999999998</v>
      </c>
      <c r="H30" s="119">
        <f t="shared" si="7"/>
        <v>3642.6040000000003</v>
      </c>
      <c r="I30" s="38">
        <f t="shared" si="8"/>
        <v>1150.296</v>
      </c>
      <c r="J30" s="162">
        <f t="shared" si="9"/>
        <v>145089.51850400001</v>
      </c>
      <c r="K30" s="163">
        <f>J30*INDEX(NPV!$C$3:$C$42,MATCH('Travel Time'!$A30,NPV!$B$3:$B$42,0))</f>
        <v>26732.62445145976</v>
      </c>
      <c r="L30" s="263">
        <v>1</v>
      </c>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S30" s="33"/>
      <c r="CT30" s="33"/>
      <c r="CU30" s="33"/>
      <c r="CV30" s="33"/>
      <c r="CW30" s="33"/>
      <c r="CX30" s="33"/>
      <c r="CY30" s="33"/>
      <c r="CZ30" s="33"/>
    </row>
    <row r="31" spans="1:104" ht="13.5" thickTop="1" x14ac:dyDescent="0.2">
      <c r="A31" s="443" t="s">
        <v>16</v>
      </c>
      <c r="B31" s="444"/>
      <c r="C31" s="444"/>
      <c r="D31" s="444"/>
      <c r="E31" s="444"/>
      <c r="F31" s="444"/>
      <c r="G31" s="444"/>
      <c r="H31" s="444"/>
      <c r="I31" s="445"/>
      <c r="J31" s="302">
        <f>SUM(J11:J30)</f>
        <v>1570612.2260882664</v>
      </c>
      <c r="K31" s="303">
        <f>SUM(K11:K30)</f>
        <v>465682.88614940632</v>
      </c>
      <c r="L31" s="305"/>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W31" s="33"/>
      <c r="CX31" s="33"/>
      <c r="CY31" s="33"/>
      <c r="CZ31" s="33"/>
    </row>
    <row r="32" spans="1:104" ht="16.5" x14ac:dyDescent="0.3">
      <c r="A32" s="420" t="s">
        <v>228</v>
      </c>
      <c r="B32" s="421"/>
      <c r="C32" s="421"/>
      <c r="D32" s="421"/>
      <c r="E32" s="421"/>
      <c r="F32" s="421"/>
      <c r="G32" s="421"/>
      <c r="H32" s="421"/>
      <c r="I32" s="421"/>
      <c r="J32" s="421"/>
      <c r="K32" s="421"/>
      <c r="L32" s="422"/>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W32" s="33"/>
      <c r="CX32" s="33"/>
      <c r="CY32" s="33"/>
      <c r="CZ32" s="33"/>
    </row>
    <row r="33" spans="1:104" ht="29.45" customHeight="1" x14ac:dyDescent="0.25">
      <c r="A33" s="118" t="s">
        <v>25</v>
      </c>
      <c r="B33" s="78"/>
      <c r="C33" s="78"/>
      <c r="D33" s="78"/>
      <c r="E33" s="78"/>
      <c r="F33" s="79"/>
      <c r="G33" s="79"/>
      <c r="H33" s="78"/>
      <c r="I33" s="78"/>
      <c r="J33" s="78"/>
      <c r="K33" s="78"/>
      <c r="L33" s="78"/>
      <c r="M33" s="78"/>
      <c r="N33" s="82"/>
      <c r="O33" s="78"/>
      <c r="P33" s="82"/>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row>
    <row r="34" spans="1:104" x14ac:dyDescent="0.2">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row>
    <row r="35" spans="1:104" ht="13.15" customHeight="1" x14ac:dyDescent="0.2">
      <c r="A35" s="428" t="s">
        <v>37</v>
      </c>
      <c r="B35" s="429" t="s">
        <v>100</v>
      </c>
      <c r="C35" s="431"/>
      <c r="D35" s="426" t="s">
        <v>184</v>
      </c>
      <c r="E35" s="448"/>
      <c r="F35" s="426" t="s">
        <v>185</v>
      </c>
      <c r="G35" s="448"/>
      <c r="H35" s="429" t="s">
        <v>102</v>
      </c>
      <c r="I35" s="429"/>
      <c r="J35" s="372" t="s">
        <v>103</v>
      </c>
      <c r="K35" s="372" t="s">
        <v>104</v>
      </c>
      <c r="L35" s="372" t="s">
        <v>214</v>
      </c>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Y35" s="33"/>
      <c r="CZ35" s="33"/>
    </row>
    <row r="36" spans="1:104" ht="26.45" customHeight="1" x14ac:dyDescent="0.2">
      <c r="A36" s="428"/>
      <c r="B36" s="432"/>
      <c r="C36" s="434"/>
      <c r="D36" s="453" t="s">
        <v>105</v>
      </c>
      <c r="E36" s="453"/>
      <c r="F36" s="453" t="s">
        <v>105</v>
      </c>
      <c r="G36" s="453"/>
      <c r="H36" s="429"/>
      <c r="I36" s="429"/>
      <c r="J36" s="372"/>
      <c r="K36" s="372"/>
      <c r="L36" s="374"/>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Y36" s="33"/>
      <c r="CZ36" s="33"/>
    </row>
    <row r="37" spans="1:104" ht="25.5" x14ac:dyDescent="0.2">
      <c r="A37" s="428"/>
      <c r="B37" s="47" t="s">
        <v>89</v>
      </c>
      <c r="C37" s="47" t="s">
        <v>90</v>
      </c>
      <c r="D37" s="47" t="s">
        <v>89</v>
      </c>
      <c r="E37" s="47" t="s">
        <v>90</v>
      </c>
      <c r="F37" s="47" t="s">
        <v>89</v>
      </c>
      <c r="G37" s="47" t="s">
        <v>90</v>
      </c>
      <c r="H37" s="47" t="s">
        <v>89</v>
      </c>
      <c r="I37" s="47" t="s">
        <v>90</v>
      </c>
      <c r="J37" s="446"/>
      <c r="K37" s="446"/>
      <c r="L37" s="373"/>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Y37" s="33"/>
      <c r="CZ37" s="33"/>
    </row>
    <row r="38" spans="1:104" x14ac:dyDescent="0.2">
      <c r="A38" s="37">
        <f>A11</f>
        <v>2026</v>
      </c>
      <c r="B38" s="119">
        <f>B11</f>
        <v>22657</v>
      </c>
      <c r="C38" s="36">
        <f>C11</f>
        <v>7155</v>
      </c>
      <c r="D38" s="119">
        <f t="shared" ref="D38:D57" si="11">INDEX($N$64:$N$88,MATCH($A38,$A$64:$A$88,0))</f>
        <v>29564709.460000001</v>
      </c>
      <c r="E38" s="36">
        <f t="shared" ref="E38:E57" si="12">INDEX($M$64:$M$88,MATCH($A38,$A$64:$A$88,0))</f>
        <v>9336224.0399999991</v>
      </c>
      <c r="F38" s="119">
        <f t="shared" ref="F38:F57" si="13">INDEX($P$64:$P$88,MATCH($A38,$A$64:$A$88,0))</f>
        <v>22328591.760000005</v>
      </c>
      <c r="G38" s="36">
        <f t="shared" ref="G38:G57" si="14">INDEX($O$64:$O$88,MATCH($A38,$A$64:$A$88,0))</f>
        <v>7051134.2400000002</v>
      </c>
      <c r="H38" s="119">
        <f>(D38-F38)</f>
        <v>7236117.6999999955</v>
      </c>
      <c r="I38" s="38">
        <f t="shared" ref="I38:I57" si="15">(E38-G38)</f>
        <v>2285089.7999999989</v>
      </c>
      <c r="J38" s="160">
        <f t="shared" ref="J38:J57" si="16">((H38*$B$118)+(I38*$B$117))*L38</f>
        <v>2161694.9507999988</v>
      </c>
      <c r="K38" s="197">
        <f>J38*INDEX(NPV!$C$3:$C$42,MATCH('Travel Time'!$A38,NPV!$B$3:$B$42,0))</f>
        <v>1440428.620728998</v>
      </c>
      <c r="L38" s="262">
        <f t="shared" ref="L38:L57" si="17">L11</f>
        <v>0.4</v>
      </c>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Y38" s="33"/>
      <c r="CZ38" s="33"/>
    </row>
    <row r="39" spans="1:104" x14ac:dyDescent="0.2">
      <c r="A39" s="37">
        <f>A38+1</f>
        <v>2027</v>
      </c>
      <c r="B39" s="119">
        <f t="shared" ref="B39:C57" si="18">B12</f>
        <v>23043</v>
      </c>
      <c r="C39" s="36">
        <f t="shared" si="18"/>
        <v>7277</v>
      </c>
      <c r="D39" s="119">
        <f t="shared" si="11"/>
        <v>30068495.600000001</v>
      </c>
      <c r="E39" s="36">
        <f t="shared" si="12"/>
        <v>9495314.4000000004</v>
      </c>
      <c r="F39" s="119">
        <f t="shared" si="13"/>
        <v>22709073.600000001</v>
      </c>
      <c r="G39" s="36">
        <f t="shared" si="14"/>
        <v>7171286.3999999994</v>
      </c>
      <c r="H39" s="119">
        <f t="shared" ref="H39:H57" si="19">(D39-F39)</f>
        <v>7359422</v>
      </c>
      <c r="I39" s="38">
        <f t="shared" si="15"/>
        <v>2324028.0000000009</v>
      </c>
      <c r="J39" s="160">
        <f t="shared" si="16"/>
        <v>2473346.7990000006</v>
      </c>
      <c r="K39" s="161">
        <f>J39*INDEX(NPV!$C$3:$C$42,MATCH('Travel Time'!$A39,NPV!$B$3:$B$42,0))</f>
        <v>1540276.08066833</v>
      </c>
      <c r="L39" s="262">
        <f t="shared" si="17"/>
        <v>0.45</v>
      </c>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Y39" s="33"/>
      <c r="CZ39" s="33"/>
    </row>
    <row r="40" spans="1:104" x14ac:dyDescent="0.2">
      <c r="A40" s="37">
        <f t="shared" ref="A40:A57" si="20">A39+1</f>
        <v>2028</v>
      </c>
      <c r="B40" s="119">
        <f t="shared" si="18"/>
        <v>23435</v>
      </c>
      <c r="C40" s="36">
        <f t="shared" si="18"/>
        <v>7401</v>
      </c>
      <c r="D40" s="119">
        <f t="shared" si="11"/>
        <v>30580215.380000006</v>
      </c>
      <c r="E40" s="36">
        <f t="shared" si="12"/>
        <v>9656910.120000001</v>
      </c>
      <c r="F40" s="119">
        <f t="shared" si="13"/>
        <v>23095547.280000001</v>
      </c>
      <c r="G40" s="36">
        <f t="shared" si="14"/>
        <v>7293330.7200000007</v>
      </c>
      <c r="H40" s="119">
        <f t="shared" si="19"/>
        <v>7484668.1000000052</v>
      </c>
      <c r="I40" s="38">
        <f t="shared" si="15"/>
        <v>2363579.4000000004</v>
      </c>
      <c r="J40" s="160">
        <f t="shared" si="16"/>
        <v>2794932.6405000016</v>
      </c>
      <c r="K40" s="161">
        <f>J40*INDEX(NPV!$C$3:$C$42,MATCH('Travel Time'!$A40,NPV!$B$3:$B$42,0))</f>
        <v>1626676.2434170044</v>
      </c>
      <c r="L40" s="262">
        <f t="shared" si="17"/>
        <v>0.5</v>
      </c>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Y40" s="33"/>
      <c r="CZ40" s="33"/>
    </row>
    <row r="41" spans="1:104" x14ac:dyDescent="0.2">
      <c r="A41" s="37">
        <f t="shared" si="20"/>
        <v>2029</v>
      </c>
      <c r="B41" s="119">
        <f t="shared" si="18"/>
        <v>23834</v>
      </c>
      <c r="C41" s="36">
        <f t="shared" si="18"/>
        <v>7526</v>
      </c>
      <c r="D41" s="119">
        <f t="shared" si="11"/>
        <v>31099868.800000001</v>
      </c>
      <c r="E41" s="36">
        <f t="shared" si="12"/>
        <v>9821011.1999999993</v>
      </c>
      <c r="F41" s="119">
        <f t="shared" si="13"/>
        <v>23488012.800000001</v>
      </c>
      <c r="G41" s="36">
        <f t="shared" si="14"/>
        <v>7417267.2000000002</v>
      </c>
      <c r="H41" s="119">
        <f t="shared" si="19"/>
        <v>7611856</v>
      </c>
      <c r="I41" s="38">
        <f t="shared" si="15"/>
        <v>2403743.9999999991</v>
      </c>
      <c r="J41" s="160">
        <f t="shared" si="16"/>
        <v>3126670.0079999994</v>
      </c>
      <c r="K41" s="161">
        <f>J41*INDEX(NPV!$C$3:$C$42,MATCH('Travel Time'!$A41,NPV!$B$3:$B$42,0))</f>
        <v>1700701.3192770479</v>
      </c>
      <c r="L41" s="262">
        <f t="shared" si="17"/>
        <v>0.55000000000000004</v>
      </c>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c r="BY41" s="78"/>
      <c r="BZ41" s="78"/>
      <c r="CY41" s="33"/>
      <c r="CZ41" s="33"/>
    </row>
    <row r="42" spans="1:104" x14ac:dyDescent="0.2">
      <c r="A42" s="37">
        <f t="shared" si="20"/>
        <v>2030</v>
      </c>
      <c r="B42" s="119">
        <f t="shared" si="18"/>
        <v>24239</v>
      </c>
      <c r="C42" s="36">
        <f t="shared" si="18"/>
        <v>7655</v>
      </c>
      <c r="D42" s="119">
        <f t="shared" si="11"/>
        <v>31629439.270000003</v>
      </c>
      <c r="E42" s="36">
        <f t="shared" si="12"/>
        <v>9988243.9800000023</v>
      </c>
      <c r="F42" s="119">
        <f t="shared" si="13"/>
        <v>23887968.120000001</v>
      </c>
      <c r="G42" s="36">
        <f t="shared" si="14"/>
        <v>7543568.8799999999</v>
      </c>
      <c r="H42" s="119">
        <f t="shared" si="19"/>
        <v>7741471.1500000022</v>
      </c>
      <c r="I42" s="38">
        <f t="shared" si="15"/>
        <v>2444675.1000000024</v>
      </c>
      <c r="J42" s="160">
        <f t="shared" si="16"/>
        <v>3468993.9669000027</v>
      </c>
      <c r="K42" s="161">
        <f>J42*INDEX(NPV!$C$3:$C$42,MATCH('Travel Time'!$A42,NPV!$B$3:$B$42,0))</f>
        <v>1763460.6274932229</v>
      </c>
      <c r="L42" s="262">
        <f t="shared" si="17"/>
        <v>0.60000000000000009</v>
      </c>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Y42" s="33"/>
      <c r="CZ42" s="33"/>
    </row>
    <row r="43" spans="1:104" x14ac:dyDescent="0.2">
      <c r="A43" s="37">
        <f t="shared" si="20"/>
        <v>2031</v>
      </c>
      <c r="B43" s="119">
        <f t="shared" si="18"/>
        <v>24652</v>
      </c>
      <c r="C43" s="36">
        <f t="shared" si="18"/>
        <v>7785</v>
      </c>
      <c r="D43" s="119">
        <f t="shared" si="11"/>
        <v>32167935.085000001</v>
      </c>
      <c r="E43" s="36">
        <f t="shared" si="12"/>
        <v>10158295.289999999</v>
      </c>
      <c r="F43" s="119">
        <f t="shared" si="13"/>
        <v>24294664.260000005</v>
      </c>
      <c r="G43" s="36">
        <f t="shared" si="14"/>
        <v>7671999.2400000002</v>
      </c>
      <c r="H43" s="119">
        <f t="shared" si="19"/>
        <v>7873270.8249999955</v>
      </c>
      <c r="I43" s="38">
        <f t="shared" si="15"/>
        <v>2486296.0499999989</v>
      </c>
      <c r="J43" s="160">
        <f t="shared" si="16"/>
        <v>3822058.6028624978</v>
      </c>
      <c r="K43" s="161">
        <f>J43*INDEX(NPV!$C$3:$C$42,MATCH('Travel Time'!$A43,NPV!$B$3:$B$42,0))</f>
        <v>1815832.5095911766</v>
      </c>
      <c r="L43" s="262">
        <f t="shared" si="17"/>
        <v>0.65</v>
      </c>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Y43" s="33"/>
      <c r="CZ43" s="33"/>
    </row>
    <row r="44" spans="1:104" x14ac:dyDescent="0.2">
      <c r="A44" s="37">
        <f t="shared" si="20"/>
        <v>2032</v>
      </c>
      <c r="B44" s="119">
        <f t="shared" si="18"/>
        <v>25072</v>
      </c>
      <c r="C44" s="36">
        <f t="shared" si="18"/>
        <v>7917</v>
      </c>
      <c r="D44" s="119">
        <f t="shared" si="11"/>
        <v>32715356.245000005</v>
      </c>
      <c r="E44" s="36">
        <f t="shared" si="12"/>
        <v>10331165.130000001</v>
      </c>
      <c r="F44" s="119">
        <f t="shared" si="13"/>
        <v>24708101.219999999</v>
      </c>
      <c r="G44" s="36">
        <f t="shared" si="14"/>
        <v>7802558.2799999993</v>
      </c>
      <c r="H44" s="119">
        <f t="shared" si="19"/>
        <v>8007255.025000006</v>
      </c>
      <c r="I44" s="38">
        <f t="shared" si="15"/>
        <v>2528606.8500000015</v>
      </c>
      <c r="J44" s="160">
        <f t="shared" si="16"/>
        <v>4186108.6401750026</v>
      </c>
      <c r="K44" s="161">
        <f>J44*INDEX(NPV!$C$3:$C$42,MATCH('Travel Time'!$A44,NPV!$B$3:$B$42,0))</f>
        <v>1858682.2989186731</v>
      </c>
      <c r="L44" s="262">
        <f t="shared" si="17"/>
        <v>0.70000000000000007</v>
      </c>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8"/>
      <c r="BR44" s="78"/>
      <c r="BS44" s="78"/>
      <c r="BT44" s="78"/>
      <c r="BU44" s="78"/>
      <c r="BV44" s="78"/>
      <c r="BW44" s="78"/>
      <c r="BX44" s="78"/>
      <c r="BY44" s="78"/>
      <c r="BZ44" s="78"/>
      <c r="CY44" s="33"/>
      <c r="CZ44" s="33"/>
    </row>
    <row r="45" spans="1:104" x14ac:dyDescent="0.2">
      <c r="A45" s="37">
        <f t="shared" si="20"/>
        <v>2033</v>
      </c>
      <c r="B45" s="119">
        <f t="shared" si="18"/>
        <v>25498</v>
      </c>
      <c r="C45" s="36">
        <f t="shared" si="18"/>
        <v>8052</v>
      </c>
      <c r="D45" s="119">
        <f t="shared" si="11"/>
        <v>33271702.75</v>
      </c>
      <c r="E45" s="36">
        <f t="shared" si="12"/>
        <v>10506853.5</v>
      </c>
      <c r="F45" s="119">
        <f t="shared" si="13"/>
        <v>25128279</v>
      </c>
      <c r="G45" s="36">
        <f t="shared" si="14"/>
        <v>7935246</v>
      </c>
      <c r="H45" s="119">
        <f t="shared" si="19"/>
        <v>8143423.75</v>
      </c>
      <c r="I45" s="38">
        <f t="shared" si="15"/>
        <v>2571607.5</v>
      </c>
      <c r="J45" s="160">
        <f t="shared" si="16"/>
        <v>4561388.8031249996</v>
      </c>
      <c r="K45" s="161">
        <f>J45*INDEX(NPV!$C$3:$C$42,MATCH('Travel Time'!$A45,NPV!$B$3:$B$42,0))</f>
        <v>1892814.1862937228</v>
      </c>
      <c r="L45" s="262">
        <f t="shared" si="17"/>
        <v>0.75</v>
      </c>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78"/>
      <c r="BS45" s="78"/>
      <c r="BT45" s="78"/>
      <c r="BU45" s="78"/>
      <c r="BV45" s="78"/>
      <c r="BW45" s="78"/>
      <c r="BX45" s="78"/>
      <c r="BY45" s="78"/>
      <c r="BZ45" s="78"/>
      <c r="CY45" s="33"/>
      <c r="CZ45" s="33"/>
    </row>
    <row r="46" spans="1:104" x14ac:dyDescent="0.2">
      <c r="A46" s="37">
        <f t="shared" si="20"/>
        <v>2034</v>
      </c>
      <c r="B46" s="119">
        <f t="shared" si="18"/>
        <v>25932</v>
      </c>
      <c r="C46" s="36">
        <f t="shared" si="18"/>
        <v>8189</v>
      </c>
      <c r="D46" s="119">
        <f t="shared" si="11"/>
        <v>33837966.305000007</v>
      </c>
      <c r="E46" s="36">
        <f t="shared" si="12"/>
        <v>10685673.570000002</v>
      </c>
      <c r="F46" s="119">
        <f t="shared" si="13"/>
        <v>25555946.580000006</v>
      </c>
      <c r="G46" s="36">
        <f t="shared" si="14"/>
        <v>8070298.9200000018</v>
      </c>
      <c r="H46" s="119">
        <f t="shared" si="19"/>
        <v>8282019.7250000015</v>
      </c>
      <c r="I46" s="38">
        <f t="shared" si="15"/>
        <v>2615374.6500000004</v>
      </c>
      <c r="J46" s="160">
        <f t="shared" si="16"/>
        <v>4948288.8378000008</v>
      </c>
      <c r="K46" s="161">
        <f>J46*INDEX(NPV!$C$3:$C$42,MATCH('Travel Time'!$A46,NPV!$B$3:$B$42,0))</f>
        <v>1919031.7248324214</v>
      </c>
      <c r="L46" s="262">
        <f t="shared" si="17"/>
        <v>0.8</v>
      </c>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Y46" s="33"/>
      <c r="CZ46" s="33"/>
    </row>
    <row r="47" spans="1:104" x14ac:dyDescent="0.2">
      <c r="A47" s="37">
        <f t="shared" si="20"/>
        <v>2035</v>
      </c>
      <c r="B47" s="119">
        <f t="shared" si="18"/>
        <v>26374</v>
      </c>
      <c r="C47" s="36">
        <f t="shared" si="18"/>
        <v>8328</v>
      </c>
      <c r="D47" s="119">
        <f t="shared" si="11"/>
        <v>34414146.909999996</v>
      </c>
      <c r="E47" s="36">
        <f t="shared" si="12"/>
        <v>10867625.34</v>
      </c>
      <c r="F47" s="119">
        <f t="shared" si="13"/>
        <v>25991103.960000001</v>
      </c>
      <c r="G47" s="36">
        <f t="shared" si="14"/>
        <v>8207717.04</v>
      </c>
      <c r="H47" s="119">
        <f t="shared" si="19"/>
        <v>8423042.9499999955</v>
      </c>
      <c r="I47" s="38">
        <f t="shared" si="15"/>
        <v>2659908.2999999998</v>
      </c>
      <c r="J47" s="160">
        <f t="shared" si="16"/>
        <v>5347080.6600749986</v>
      </c>
      <c r="K47" s="161">
        <f>J47*INDEX(NPV!$C$3:$C$42,MATCH('Travel Time'!$A47,NPV!$B$3:$B$42,0))</f>
        <v>1938028.1019508245</v>
      </c>
      <c r="L47" s="262">
        <f t="shared" si="17"/>
        <v>0.85000000000000009</v>
      </c>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Y47" s="33"/>
      <c r="CZ47" s="33"/>
    </row>
    <row r="48" spans="1:104" x14ac:dyDescent="0.2">
      <c r="A48" s="37">
        <f t="shared" si="20"/>
        <v>2036</v>
      </c>
      <c r="B48" s="119">
        <f t="shared" si="18"/>
        <v>26823</v>
      </c>
      <c r="C48" s="36">
        <f t="shared" si="18"/>
        <v>8470</v>
      </c>
      <c r="D48" s="119">
        <f t="shared" si="11"/>
        <v>35000244.564999998</v>
      </c>
      <c r="E48" s="36">
        <f t="shared" si="12"/>
        <v>11052708.810000001</v>
      </c>
      <c r="F48" s="119">
        <f t="shared" si="13"/>
        <v>26433751.140000001</v>
      </c>
      <c r="G48" s="36">
        <f t="shared" si="14"/>
        <v>8347500.3599999994</v>
      </c>
      <c r="H48" s="119">
        <f t="shared" si="19"/>
        <v>8566493.424999997</v>
      </c>
      <c r="I48" s="38">
        <f t="shared" si="15"/>
        <v>2705208.4500000011</v>
      </c>
      <c r="J48" s="160">
        <f t="shared" si="16"/>
        <v>5758036.1858249996</v>
      </c>
      <c r="K48" s="161">
        <f>J48*INDEX(NPV!$C$3:$C$42,MATCH('Travel Time'!$A48,NPV!$B$3:$B$42,0))</f>
        <v>1950446.0715036876</v>
      </c>
      <c r="L48" s="262">
        <f t="shared" si="17"/>
        <v>0.9</v>
      </c>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Y48" s="33"/>
      <c r="CZ48" s="33"/>
    </row>
    <row r="49" spans="1:104" x14ac:dyDescent="0.2">
      <c r="A49" s="37">
        <f t="shared" si="20"/>
        <v>2037</v>
      </c>
      <c r="B49" s="119">
        <f t="shared" si="18"/>
        <v>27279</v>
      </c>
      <c r="C49" s="36">
        <f t="shared" si="18"/>
        <v>8614</v>
      </c>
      <c r="D49" s="119">
        <f t="shared" si="11"/>
        <v>35595267.564999998</v>
      </c>
      <c r="E49" s="36">
        <f t="shared" si="12"/>
        <v>11240610.809999999</v>
      </c>
      <c r="F49" s="119">
        <f t="shared" si="13"/>
        <v>26883139.140000001</v>
      </c>
      <c r="G49" s="36">
        <f t="shared" si="14"/>
        <v>8489412.3599999994</v>
      </c>
      <c r="H49" s="119">
        <f t="shared" si="19"/>
        <v>8712128.424999997</v>
      </c>
      <c r="I49" s="38">
        <f t="shared" si="15"/>
        <v>2751198.4499999993</v>
      </c>
      <c r="J49" s="160">
        <f t="shared" si="16"/>
        <v>6181255.1175374985</v>
      </c>
      <c r="K49" s="161">
        <f>J49*INDEX(NPV!$C$3:$C$42,MATCH('Travel Time'!$A49,NPV!$B$3:$B$42,0))</f>
        <v>1956827.0711375952</v>
      </c>
      <c r="L49" s="262">
        <f t="shared" si="17"/>
        <v>0.95000000000000007</v>
      </c>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Y49" s="33"/>
      <c r="CZ49" s="33"/>
    </row>
    <row r="50" spans="1:104" x14ac:dyDescent="0.2">
      <c r="A50" s="37">
        <f t="shared" si="20"/>
        <v>2038</v>
      </c>
      <c r="B50" s="119">
        <f t="shared" si="18"/>
        <v>27743</v>
      </c>
      <c r="C50" s="36">
        <f t="shared" si="18"/>
        <v>8761</v>
      </c>
      <c r="D50" s="119">
        <f t="shared" si="11"/>
        <v>45061632.719999999</v>
      </c>
      <c r="E50" s="36">
        <f t="shared" si="12"/>
        <v>14229989.279999999</v>
      </c>
      <c r="F50" s="119">
        <f t="shared" si="13"/>
        <v>27340765.920000002</v>
      </c>
      <c r="G50" s="36">
        <f t="shared" si="14"/>
        <v>8633926.0800000001</v>
      </c>
      <c r="H50" s="119">
        <f t="shared" si="19"/>
        <v>17720866.799999997</v>
      </c>
      <c r="I50" s="38">
        <f t="shared" si="15"/>
        <v>5596063.1999999993</v>
      </c>
      <c r="J50" s="160">
        <f t="shared" si="16"/>
        <v>13234689.467999998</v>
      </c>
      <c r="K50" s="161">
        <f>J50*INDEX(NPV!$C$3:$C$42,MATCH('Travel Time'!$A50,NPV!$B$3:$B$42,0))</f>
        <v>3915667.0573026892</v>
      </c>
      <c r="L50" s="262">
        <f t="shared" si="17"/>
        <v>1</v>
      </c>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Y50" s="33"/>
      <c r="CZ50" s="33"/>
    </row>
    <row r="51" spans="1:104" x14ac:dyDescent="0.2">
      <c r="A51" s="37">
        <f t="shared" si="20"/>
        <v>2039</v>
      </c>
      <c r="B51" s="119">
        <f t="shared" si="18"/>
        <v>28216</v>
      </c>
      <c r="C51" s="36">
        <f t="shared" si="18"/>
        <v>8910</v>
      </c>
      <c r="D51" s="119">
        <f t="shared" si="11"/>
        <v>45829448.18</v>
      </c>
      <c r="E51" s="36">
        <f t="shared" si="12"/>
        <v>14472457.32</v>
      </c>
      <c r="F51" s="119">
        <f t="shared" si="13"/>
        <v>27806631.480000004</v>
      </c>
      <c r="G51" s="36">
        <f t="shared" si="14"/>
        <v>8781041.5200000014</v>
      </c>
      <c r="H51" s="119">
        <f t="shared" si="19"/>
        <v>18022816.699999996</v>
      </c>
      <c r="I51" s="38">
        <f t="shared" si="15"/>
        <v>5691415.7999999989</v>
      </c>
      <c r="J51" s="160">
        <f t="shared" si="16"/>
        <v>13460198.366999997</v>
      </c>
      <c r="K51" s="161">
        <f>J51*INDEX(NPV!$C$3:$C$42,MATCH('Travel Time'!$A51,NPV!$B$3:$B$42,0))</f>
        <v>3721857.0124543929</v>
      </c>
      <c r="L51" s="262">
        <f t="shared" si="17"/>
        <v>1</v>
      </c>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Y51" s="33"/>
      <c r="CZ51" s="33"/>
    </row>
    <row r="52" spans="1:104" x14ac:dyDescent="0.2">
      <c r="A52" s="37">
        <f t="shared" si="20"/>
        <v>2040</v>
      </c>
      <c r="B52" s="119">
        <f t="shared" si="18"/>
        <v>28695</v>
      </c>
      <c r="C52" s="36">
        <f t="shared" si="18"/>
        <v>9062</v>
      </c>
      <c r="D52" s="119">
        <f t="shared" si="11"/>
        <v>46608373.509999998</v>
      </c>
      <c r="E52" s="36">
        <f t="shared" si="12"/>
        <v>14718433.74</v>
      </c>
      <c r="F52" s="119">
        <f t="shared" si="13"/>
        <v>28279237.859999999</v>
      </c>
      <c r="G52" s="36">
        <f t="shared" si="14"/>
        <v>8930285.6400000006</v>
      </c>
      <c r="H52" s="119">
        <f t="shared" si="19"/>
        <v>18329135.649999999</v>
      </c>
      <c r="I52" s="38">
        <f t="shared" si="15"/>
        <v>5788148.0999999996</v>
      </c>
      <c r="J52" s="160">
        <f t="shared" si="16"/>
        <v>13688970.256499998</v>
      </c>
      <c r="K52" s="161">
        <f>J52*INDEX(NPV!$C$3:$C$42,MATCH('Travel Time'!$A52,NPV!$B$3:$B$42,0))</f>
        <v>3537490.0432334379</v>
      </c>
      <c r="L52" s="262">
        <f t="shared" si="17"/>
        <v>1</v>
      </c>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Y52" s="33"/>
      <c r="CZ52" s="33"/>
    </row>
    <row r="53" spans="1:104" x14ac:dyDescent="0.2">
      <c r="A53" s="37">
        <f t="shared" si="20"/>
        <v>2041</v>
      </c>
      <c r="B53" s="119">
        <f t="shared" si="18"/>
        <v>29184</v>
      </c>
      <c r="C53" s="36">
        <f t="shared" si="18"/>
        <v>9216</v>
      </c>
      <c r="D53" s="119">
        <f t="shared" si="11"/>
        <v>47402112</v>
      </c>
      <c r="E53" s="36">
        <f t="shared" si="12"/>
        <v>14969088</v>
      </c>
      <c r="F53" s="119">
        <f t="shared" si="13"/>
        <v>28760832</v>
      </c>
      <c r="G53" s="36">
        <f t="shared" si="14"/>
        <v>9082368</v>
      </c>
      <c r="H53" s="119">
        <f t="shared" si="19"/>
        <v>18641280</v>
      </c>
      <c r="I53" s="38">
        <f t="shared" si="15"/>
        <v>5886720</v>
      </c>
      <c r="J53" s="160">
        <f t="shared" si="16"/>
        <v>13922092.800000001</v>
      </c>
      <c r="K53" s="161">
        <f>J53*INDEX(NPV!$C$3:$C$42,MATCH('Travel Time'!$A53,NPV!$B$3:$B$42,0))</f>
        <v>3362367.6060356461</v>
      </c>
      <c r="L53" s="262">
        <f t="shared" si="17"/>
        <v>1</v>
      </c>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Y53" s="33"/>
      <c r="CZ53" s="33"/>
    </row>
    <row r="54" spans="1:104" x14ac:dyDescent="0.2">
      <c r="A54" s="37">
        <f t="shared" si="20"/>
        <v>2042</v>
      </c>
      <c r="B54" s="119">
        <f t="shared" si="18"/>
        <v>29681</v>
      </c>
      <c r="C54" s="36">
        <f t="shared" si="18"/>
        <v>9373</v>
      </c>
      <c r="D54" s="119">
        <f t="shared" si="11"/>
        <v>48209429.219999999</v>
      </c>
      <c r="E54" s="36">
        <f t="shared" si="12"/>
        <v>15224030.279999999</v>
      </c>
      <c r="F54" s="119">
        <f t="shared" si="13"/>
        <v>29250664.920000002</v>
      </c>
      <c r="G54" s="36">
        <f t="shared" si="14"/>
        <v>9237052.0800000001</v>
      </c>
      <c r="H54" s="119">
        <f t="shared" si="19"/>
        <v>18958764.299999997</v>
      </c>
      <c r="I54" s="38">
        <f t="shared" si="15"/>
        <v>5986978.1999999993</v>
      </c>
      <c r="J54" s="160">
        <f t="shared" si="16"/>
        <v>14159203.442999996</v>
      </c>
      <c r="K54" s="161">
        <f>J54*INDEX(NPV!$C$3:$C$42,MATCH('Travel Time'!$A54,NPV!$B$3:$B$42,0))</f>
        <v>3195918.6255382616</v>
      </c>
      <c r="L54" s="262">
        <f t="shared" si="17"/>
        <v>1</v>
      </c>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Y54" s="33"/>
      <c r="CZ54" s="33"/>
    </row>
    <row r="55" spans="1:104" x14ac:dyDescent="0.2">
      <c r="A55" s="37">
        <f t="shared" si="20"/>
        <v>2043</v>
      </c>
      <c r="B55" s="119">
        <f t="shared" si="18"/>
        <v>30186</v>
      </c>
      <c r="C55" s="36">
        <f t="shared" si="18"/>
        <v>9532</v>
      </c>
      <c r="D55" s="119">
        <f t="shared" si="11"/>
        <v>49029090.740000002</v>
      </c>
      <c r="E55" s="36">
        <f t="shared" si="12"/>
        <v>15482870.76</v>
      </c>
      <c r="F55" s="119">
        <f t="shared" si="13"/>
        <v>29747987.640000001</v>
      </c>
      <c r="G55" s="36">
        <f t="shared" si="14"/>
        <v>9394101.3599999994</v>
      </c>
      <c r="H55" s="119">
        <f t="shared" si="19"/>
        <v>19281103.100000001</v>
      </c>
      <c r="I55" s="38">
        <f t="shared" si="15"/>
        <v>6088769.4000000004</v>
      </c>
      <c r="J55" s="160">
        <f t="shared" si="16"/>
        <v>14399939.631000001</v>
      </c>
      <c r="K55" s="161">
        <f>J55*INDEX(NPV!$C$3:$C$42,MATCH('Travel Time'!$A55,NPV!$B$3:$B$42,0))</f>
        <v>3037622.3855186538</v>
      </c>
      <c r="L55" s="262">
        <f t="shared" si="17"/>
        <v>1</v>
      </c>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Y55" s="33"/>
      <c r="CZ55" s="33"/>
    </row>
    <row r="56" spans="1:104" x14ac:dyDescent="0.2">
      <c r="A56" s="37">
        <f t="shared" si="20"/>
        <v>2044</v>
      </c>
      <c r="B56" s="119">
        <f t="shared" si="18"/>
        <v>30699</v>
      </c>
      <c r="C56" s="36">
        <f t="shared" si="18"/>
        <v>9695</v>
      </c>
      <c r="D56" s="119">
        <f t="shared" si="11"/>
        <v>49863565.420000002</v>
      </c>
      <c r="E56" s="36">
        <f t="shared" si="12"/>
        <v>15746389.08</v>
      </c>
      <c r="F56" s="119">
        <f t="shared" si="13"/>
        <v>30254298.120000001</v>
      </c>
      <c r="G56" s="36">
        <f t="shared" si="14"/>
        <v>9553988.879999999</v>
      </c>
      <c r="H56" s="119">
        <f t="shared" si="19"/>
        <v>19609267.300000001</v>
      </c>
      <c r="I56" s="38">
        <f t="shared" si="15"/>
        <v>6192400.2000000011</v>
      </c>
      <c r="J56" s="160">
        <f t="shared" si="16"/>
        <v>14645026.473000001</v>
      </c>
      <c r="K56" s="161">
        <f>J56*INDEX(NPV!$C$3:$C$42,MATCH('Travel Time'!$A56,NPV!$B$3:$B$42,0))</f>
        <v>2887217.4682125929</v>
      </c>
      <c r="L56" s="262">
        <f t="shared" si="17"/>
        <v>1</v>
      </c>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Y56" s="33"/>
      <c r="CZ56" s="33"/>
    </row>
    <row r="57" spans="1:104" ht="13.5" thickBot="1" x14ac:dyDescent="0.25">
      <c r="A57" s="39">
        <f t="shared" si="20"/>
        <v>2045</v>
      </c>
      <c r="B57" s="120">
        <f t="shared" si="18"/>
        <v>31222</v>
      </c>
      <c r="C57" s="40">
        <f t="shared" si="18"/>
        <v>9860</v>
      </c>
      <c r="D57" s="120">
        <f t="shared" si="11"/>
        <v>50712853.259999998</v>
      </c>
      <c r="E57" s="40">
        <f t="shared" si="12"/>
        <v>16014585.24</v>
      </c>
      <c r="F57" s="120">
        <f t="shared" si="13"/>
        <v>30769596.359999999</v>
      </c>
      <c r="G57" s="40">
        <f t="shared" si="14"/>
        <v>9716714.6399999987</v>
      </c>
      <c r="H57" s="120">
        <f t="shared" si="19"/>
        <v>19943256.899999999</v>
      </c>
      <c r="I57" s="203">
        <f t="shared" si="15"/>
        <v>6297870.6000000015</v>
      </c>
      <c r="J57" s="162">
        <f t="shared" si="16"/>
        <v>14894463.969000001</v>
      </c>
      <c r="K57" s="163">
        <f>J57*INDEX(NPV!$C$3:$C$42,MATCH('Travel Time'!$A57,NPV!$B$3:$B$42,0))</f>
        <v>2744292.7359228819</v>
      </c>
      <c r="L57" s="263">
        <f t="shared" si="17"/>
        <v>1</v>
      </c>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Y57" s="33"/>
      <c r="CZ57" s="33"/>
    </row>
    <row r="58" spans="1:104" ht="13.5" thickTop="1" x14ac:dyDescent="0.2">
      <c r="A58" s="443" t="s">
        <v>16</v>
      </c>
      <c r="B58" s="444"/>
      <c r="C58" s="444"/>
      <c r="D58" s="444"/>
      <c r="E58" s="444"/>
      <c r="F58" s="444"/>
      <c r="G58" s="444"/>
      <c r="H58" s="444"/>
      <c r="I58" s="445"/>
      <c r="J58" s="302">
        <f>SUM(J38:J57)</f>
        <v>161234439.62009999</v>
      </c>
      <c r="K58" s="303">
        <f>SUM(K38:K57)</f>
        <v>47805637.790031262</v>
      </c>
      <c r="L58" s="304"/>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Y58" s="33"/>
      <c r="CZ58" s="33"/>
    </row>
    <row r="59" spans="1:104" ht="16.5" x14ac:dyDescent="0.3">
      <c r="A59" s="420" t="s">
        <v>228</v>
      </c>
      <c r="B59" s="421"/>
      <c r="C59" s="421"/>
      <c r="D59" s="421"/>
      <c r="E59" s="421"/>
      <c r="F59" s="421"/>
      <c r="G59" s="421"/>
      <c r="H59" s="421"/>
      <c r="I59" s="421"/>
      <c r="J59" s="421"/>
      <c r="K59" s="421"/>
      <c r="L59" s="422"/>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Y59" s="33"/>
      <c r="CZ59" s="33"/>
    </row>
    <row r="60" spans="1:104" x14ac:dyDescent="0.2">
      <c r="A60" s="78"/>
      <c r="B60" s="78"/>
      <c r="C60" s="78"/>
      <c r="D60" s="78"/>
      <c r="E60" s="78"/>
      <c r="F60" s="78"/>
      <c r="G60" s="78"/>
      <c r="H60" s="78"/>
      <c r="I60" s="123"/>
      <c r="J60" s="124"/>
      <c r="K60" s="124"/>
      <c r="L60" s="122"/>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row>
    <row r="61" spans="1:104" x14ac:dyDescent="0.2">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row>
    <row r="62" spans="1:104" x14ac:dyDescent="0.2">
      <c r="A62" s="427" t="s">
        <v>37</v>
      </c>
      <c r="B62" s="423" t="s">
        <v>52</v>
      </c>
      <c r="C62" s="423"/>
      <c r="D62" s="423"/>
      <c r="E62" s="423" t="s">
        <v>222</v>
      </c>
      <c r="F62" s="424"/>
      <c r="G62" s="423" t="s">
        <v>224</v>
      </c>
      <c r="H62" s="424"/>
      <c r="I62" s="423" t="s">
        <v>225</v>
      </c>
      <c r="J62" s="424"/>
      <c r="K62" s="423" t="s">
        <v>223</v>
      </c>
      <c r="L62" s="424"/>
      <c r="M62" s="423" t="s">
        <v>226</v>
      </c>
      <c r="N62" s="424"/>
      <c r="O62" s="423" t="s">
        <v>227</v>
      </c>
      <c r="P62" s="424"/>
      <c r="Q62" s="126"/>
      <c r="R62" s="89"/>
      <c r="S62" s="89"/>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V62" s="33"/>
      <c r="CW62" s="33"/>
      <c r="CX62" s="33"/>
      <c r="CY62" s="33"/>
      <c r="CZ62" s="33"/>
    </row>
    <row r="63" spans="1:104" ht="40.5" customHeight="1" x14ac:dyDescent="0.2">
      <c r="A63" s="428"/>
      <c r="B63" s="117" t="s">
        <v>236</v>
      </c>
      <c r="C63" s="117" t="s">
        <v>106</v>
      </c>
      <c r="D63" s="47" t="s">
        <v>89</v>
      </c>
      <c r="E63" s="117" t="s">
        <v>184</v>
      </c>
      <c r="F63" s="117" t="s">
        <v>185</v>
      </c>
      <c r="G63" s="117" t="s">
        <v>107</v>
      </c>
      <c r="H63" s="47" t="s">
        <v>108</v>
      </c>
      <c r="I63" s="117" t="s">
        <v>107</v>
      </c>
      <c r="J63" s="47" t="s">
        <v>108</v>
      </c>
      <c r="K63" s="117" t="s">
        <v>184</v>
      </c>
      <c r="L63" s="47" t="s">
        <v>185</v>
      </c>
      <c r="M63" s="117" t="s">
        <v>109</v>
      </c>
      <c r="N63" s="47" t="s">
        <v>110</v>
      </c>
      <c r="O63" s="47" t="s">
        <v>109</v>
      </c>
      <c r="P63" s="47" t="s">
        <v>110</v>
      </c>
      <c r="Q63" s="126"/>
      <c r="R63" s="89"/>
      <c r="S63" s="89"/>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V63" s="33"/>
      <c r="CW63" s="33"/>
      <c r="CX63" s="33"/>
      <c r="CY63" s="33"/>
      <c r="CZ63" s="33"/>
    </row>
    <row r="64" spans="1:104" x14ac:dyDescent="0.2">
      <c r="A64" s="35">
        <v>2021</v>
      </c>
      <c r="B64" s="296">
        <f>B97</f>
        <v>27400</v>
      </c>
      <c r="C64" s="36">
        <f t="shared" ref="C64:C88" si="21">ROUND(B64*$B$102,0)</f>
        <v>6576</v>
      </c>
      <c r="D64" s="119">
        <f>B64-C64</f>
        <v>20824</v>
      </c>
      <c r="E64" s="36"/>
      <c r="F64" s="296"/>
      <c r="G64" s="36"/>
      <c r="H64" s="296"/>
      <c r="I64" s="36"/>
      <c r="J64" s="296"/>
      <c r="K64" s="36"/>
      <c r="L64" s="296"/>
      <c r="M64" s="36"/>
      <c r="N64" s="296"/>
      <c r="O64" s="36"/>
      <c r="P64" s="296"/>
      <c r="R64" s="80"/>
      <c r="S64" s="80"/>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V64" s="33"/>
      <c r="CW64" s="33"/>
      <c r="CX64" s="33"/>
      <c r="CY64" s="33"/>
      <c r="CZ64" s="33"/>
    </row>
    <row r="65" spans="1:104" x14ac:dyDescent="0.2">
      <c r="A65" s="37">
        <f>A64+1</f>
        <v>2022</v>
      </c>
      <c r="B65" s="125">
        <f t="shared" ref="B65:B88" si="22">ROUND($B$64*(1+$B$101)^(A65-$A$64),0)</f>
        <v>27866</v>
      </c>
      <c r="C65" s="46">
        <f t="shared" si="21"/>
        <v>6688</v>
      </c>
      <c r="D65" s="125">
        <f t="shared" ref="D65:D87" si="23">B65-C65</f>
        <v>21178</v>
      </c>
      <c r="E65" s="46"/>
      <c r="F65" s="297"/>
      <c r="G65" s="46"/>
      <c r="H65" s="297"/>
      <c r="I65" s="46"/>
      <c r="J65" s="297"/>
      <c r="K65" s="46"/>
      <c r="L65" s="297"/>
      <c r="M65" s="46"/>
      <c r="N65" s="297"/>
      <c r="O65" s="46"/>
      <c r="P65" s="297"/>
      <c r="Q65" s="127"/>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V65" s="33"/>
      <c r="CW65" s="33"/>
      <c r="CX65" s="33"/>
      <c r="CY65" s="33"/>
      <c r="CZ65" s="33"/>
    </row>
    <row r="66" spans="1:104" x14ac:dyDescent="0.2">
      <c r="A66" s="37">
        <f t="shared" ref="A66:A88" si="24">A65+1</f>
        <v>2023</v>
      </c>
      <c r="B66" s="125">
        <f t="shared" si="22"/>
        <v>28341</v>
      </c>
      <c r="C66" s="46">
        <f t="shared" si="21"/>
        <v>6802</v>
      </c>
      <c r="D66" s="125">
        <f t="shared" si="23"/>
        <v>21539</v>
      </c>
      <c r="E66" s="46"/>
      <c r="F66" s="297"/>
      <c r="G66" s="46"/>
      <c r="H66" s="297"/>
      <c r="I66" s="46"/>
      <c r="J66" s="297"/>
      <c r="K66" s="46"/>
      <c r="L66" s="297"/>
      <c r="M66" s="46"/>
      <c r="N66" s="297"/>
      <c r="O66" s="46"/>
      <c r="P66" s="297"/>
      <c r="Q66" s="128"/>
      <c r="R66" s="80"/>
      <c r="S66" s="80"/>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V66" s="33"/>
      <c r="CW66" s="33"/>
      <c r="CX66" s="33"/>
      <c r="CY66" s="33"/>
      <c r="CZ66" s="33"/>
    </row>
    <row r="67" spans="1:104" x14ac:dyDescent="0.2">
      <c r="A67" s="37">
        <f t="shared" si="24"/>
        <v>2024</v>
      </c>
      <c r="B67" s="125">
        <f t="shared" si="22"/>
        <v>28823</v>
      </c>
      <c r="C67" s="46">
        <f t="shared" si="21"/>
        <v>6918</v>
      </c>
      <c r="D67" s="125">
        <f t="shared" si="23"/>
        <v>21905</v>
      </c>
      <c r="E67" s="46"/>
      <c r="F67" s="297"/>
      <c r="G67" s="46"/>
      <c r="H67" s="297"/>
      <c r="I67" s="46"/>
      <c r="J67" s="297"/>
      <c r="K67" s="46"/>
      <c r="L67" s="297"/>
      <c r="M67" s="46"/>
      <c r="N67" s="297"/>
      <c r="O67" s="46"/>
      <c r="P67" s="297"/>
      <c r="Q67" s="121"/>
      <c r="R67" s="121"/>
      <c r="S67" s="121"/>
      <c r="T67" s="121"/>
      <c r="U67" s="121"/>
      <c r="V67" s="121"/>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V67" s="33"/>
      <c r="CW67" s="33"/>
      <c r="CX67" s="33"/>
      <c r="CY67" s="33"/>
      <c r="CZ67" s="33"/>
    </row>
    <row r="68" spans="1:104" x14ac:dyDescent="0.2">
      <c r="A68" s="37">
        <f t="shared" si="24"/>
        <v>2025</v>
      </c>
      <c r="B68" s="125">
        <f t="shared" si="22"/>
        <v>29313</v>
      </c>
      <c r="C68" s="46">
        <f t="shared" si="21"/>
        <v>7035</v>
      </c>
      <c r="D68" s="125">
        <f t="shared" si="23"/>
        <v>22278</v>
      </c>
      <c r="E68" s="46"/>
      <c r="F68" s="297"/>
      <c r="G68" s="46"/>
      <c r="H68" s="297"/>
      <c r="I68" s="46"/>
      <c r="J68" s="297"/>
      <c r="K68" s="46"/>
      <c r="L68" s="297"/>
      <c r="M68" s="46"/>
      <c r="N68" s="297"/>
      <c r="O68" s="46"/>
      <c r="P68" s="297"/>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V68" s="33"/>
      <c r="CW68" s="33"/>
      <c r="CX68" s="33"/>
      <c r="CY68" s="33"/>
      <c r="CZ68" s="33"/>
    </row>
    <row r="69" spans="1:104" x14ac:dyDescent="0.2">
      <c r="A69" s="37">
        <f t="shared" si="24"/>
        <v>2026</v>
      </c>
      <c r="B69" s="125">
        <f t="shared" si="22"/>
        <v>29812</v>
      </c>
      <c r="C69" s="46">
        <f t="shared" si="21"/>
        <v>7155</v>
      </c>
      <c r="D69" s="125">
        <f t="shared" si="23"/>
        <v>22657</v>
      </c>
      <c r="E69" s="46">
        <f t="shared" ref="E69:E80" si="25">(B69*$B$110*0.5)+(B69*$C$110*0.5)</f>
        <v>3229.6333333333332</v>
      </c>
      <c r="F69" s="297">
        <f t="shared" ref="F69:F88" si="26">((B69*$C$110))</f>
        <v>1490.6000000000001</v>
      </c>
      <c r="G69" s="46">
        <f t="shared" ref="G69:G88" si="27">$E69*$B$102</f>
        <v>775.11199999999997</v>
      </c>
      <c r="H69" s="297">
        <f>$E69-G69</f>
        <v>2454.5213333333331</v>
      </c>
      <c r="I69" s="46">
        <f t="shared" ref="I69:I88" si="28">$F69*$B$103</f>
        <v>357.74400000000003</v>
      </c>
      <c r="J69" s="297">
        <f t="shared" ref="J69:J88" si="29">$F69-I69</f>
        <v>1132.8560000000002</v>
      </c>
      <c r="K69" s="46">
        <f t="shared" ref="K69:K80" si="30">((B69*$B$108*0.5)+(B69*$C$108*0.5))*365</f>
        <v>38900933.5</v>
      </c>
      <c r="L69" s="297">
        <f t="shared" ref="L69:L88" si="31">365*((B69*$C$108))</f>
        <v>29379726.000000004</v>
      </c>
      <c r="M69" s="46">
        <f t="shared" ref="M69:M88" si="32">$K69*$B$102</f>
        <v>9336224.0399999991</v>
      </c>
      <c r="N69" s="297">
        <f>$K69-M69</f>
        <v>29564709.460000001</v>
      </c>
      <c r="O69" s="46">
        <f t="shared" ref="O69:O88" si="33">($L69)*$B$103</f>
        <v>7051134.2400000002</v>
      </c>
      <c r="P69" s="297">
        <f>($L69)-O69</f>
        <v>22328591.760000005</v>
      </c>
      <c r="Q69" s="78"/>
      <c r="R69" s="81"/>
      <c r="S69" s="81"/>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V69" s="33"/>
      <c r="CW69" s="33"/>
      <c r="CX69" s="33"/>
      <c r="CY69" s="33"/>
      <c r="CZ69" s="33"/>
    </row>
    <row r="70" spans="1:104" x14ac:dyDescent="0.2">
      <c r="A70" s="37">
        <f t="shared" si="24"/>
        <v>2027</v>
      </c>
      <c r="B70" s="125">
        <f t="shared" si="22"/>
        <v>30320</v>
      </c>
      <c r="C70" s="46">
        <f t="shared" si="21"/>
        <v>7277</v>
      </c>
      <c r="D70" s="125">
        <f t="shared" si="23"/>
        <v>23043</v>
      </c>
      <c r="E70" s="46">
        <f t="shared" si="25"/>
        <v>3284.6666666666665</v>
      </c>
      <c r="F70" s="297">
        <f t="shared" si="26"/>
        <v>1516</v>
      </c>
      <c r="G70" s="46">
        <f t="shared" si="27"/>
        <v>788.31999999999994</v>
      </c>
      <c r="H70" s="297">
        <f t="shared" ref="H70:H88" si="34">$E70-G70</f>
        <v>2496.3466666666664</v>
      </c>
      <c r="I70" s="46">
        <f t="shared" si="28"/>
        <v>363.84</v>
      </c>
      <c r="J70" s="297">
        <f t="shared" si="29"/>
        <v>1152.1600000000001</v>
      </c>
      <c r="K70" s="46">
        <f t="shared" si="30"/>
        <v>39563810</v>
      </c>
      <c r="L70" s="297">
        <f t="shared" si="31"/>
        <v>29880360</v>
      </c>
      <c r="M70" s="46">
        <f t="shared" si="32"/>
        <v>9495314.4000000004</v>
      </c>
      <c r="N70" s="297">
        <f t="shared" ref="N70:N88" si="35">$K70-M70</f>
        <v>30068495.600000001</v>
      </c>
      <c r="O70" s="46">
        <f t="shared" si="33"/>
        <v>7171286.3999999994</v>
      </c>
      <c r="P70" s="297">
        <f t="shared" ref="P70:P88" si="36">($L70)-O70</f>
        <v>22709073.600000001</v>
      </c>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V70" s="33"/>
      <c r="CW70" s="33"/>
      <c r="CX70" s="33"/>
      <c r="CY70" s="33"/>
      <c r="CZ70" s="33"/>
    </row>
    <row r="71" spans="1:104" x14ac:dyDescent="0.2">
      <c r="A71" s="37">
        <f t="shared" si="24"/>
        <v>2028</v>
      </c>
      <c r="B71" s="125">
        <f t="shared" si="22"/>
        <v>30836</v>
      </c>
      <c r="C71" s="46">
        <f t="shared" si="21"/>
        <v>7401</v>
      </c>
      <c r="D71" s="125">
        <f>B71-C71</f>
        <v>23435</v>
      </c>
      <c r="E71" s="46">
        <f t="shared" si="25"/>
        <v>3340.5666666666666</v>
      </c>
      <c r="F71" s="297">
        <f t="shared" si="26"/>
        <v>1541.8000000000002</v>
      </c>
      <c r="G71" s="46">
        <f t="shared" si="27"/>
        <v>801.73599999999999</v>
      </c>
      <c r="H71" s="297">
        <f t="shared" si="34"/>
        <v>2538.8306666666667</v>
      </c>
      <c r="I71" s="46">
        <f t="shared" si="28"/>
        <v>370.03200000000004</v>
      </c>
      <c r="J71" s="297">
        <f t="shared" si="29"/>
        <v>1171.768</v>
      </c>
      <c r="K71" s="46">
        <f t="shared" si="30"/>
        <v>40237125.500000007</v>
      </c>
      <c r="L71" s="297">
        <f t="shared" si="31"/>
        <v>30388878.000000004</v>
      </c>
      <c r="M71" s="46">
        <f t="shared" si="32"/>
        <v>9656910.120000001</v>
      </c>
      <c r="N71" s="297">
        <f t="shared" si="35"/>
        <v>30580215.380000006</v>
      </c>
      <c r="O71" s="46">
        <f t="shared" si="33"/>
        <v>7293330.7200000007</v>
      </c>
      <c r="P71" s="297">
        <f t="shared" si="36"/>
        <v>23095547.280000001</v>
      </c>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V71" s="33"/>
      <c r="CW71" s="33"/>
      <c r="CX71" s="33"/>
      <c r="CY71" s="33"/>
      <c r="CZ71" s="33"/>
    </row>
    <row r="72" spans="1:104" x14ac:dyDescent="0.2">
      <c r="A72" s="37">
        <f t="shared" si="24"/>
        <v>2029</v>
      </c>
      <c r="B72" s="125">
        <f t="shared" si="22"/>
        <v>31360</v>
      </c>
      <c r="C72" s="46">
        <f t="shared" si="21"/>
        <v>7526</v>
      </c>
      <c r="D72" s="125">
        <f>B72-C72</f>
        <v>23834</v>
      </c>
      <c r="E72" s="46">
        <f t="shared" si="25"/>
        <v>3397.333333333333</v>
      </c>
      <c r="F72" s="297">
        <f t="shared" si="26"/>
        <v>1568</v>
      </c>
      <c r="G72" s="46">
        <f t="shared" si="27"/>
        <v>815.3599999999999</v>
      </c>
      <c r="H72" s="297">
        <f t="shared" si="34"/>
        <v>2581.9733333333334</v>
      </c>
      <c r="I72" s="46">
        <f t="shared" si="28"/>
        <v>376.32</v>
      </c>
      <c r="J72" s="297">
        <f t="shared" si="29"/>
        <v>1191.68</v>
      </c>
      <c r="K72" s="46">
        <f t="shared" si="30"/>
        <v>40920880</v>
      </c>
      <c r="L72" s="297">
        <f t="shared" si="31"/>
        <v>30905280</v>
      </c>
      <c r="M72" s="46">
        <f t="shared" si="32"/>
        <v>9821011.1999999993</v>
      </c>
      <c r="N72" s="297">
        <f t="shared" si="35"/>
        <v>31099868.800000001</v>
      </c>
      <c r="O72" s="46">
        <f t="shared" si="33"/>
        <v>7417267.2000000002</v>
      </c>
      <c r="P72" s="297">
        <f t="shared" si="36"/>
        <v>23488012.800000001</v>
      </c>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V72" s="33"/>
      <c r="CW72" s="33"/>
      <c r="CX72" s="33"/>
      <c r="CY72" s="33"/>
      <c r="CZ72" s="33"/>
    </row>
    <row r="73" spans="1:104" x14ac:dyDescent="0.2">
      <c r="A73" s="37">
        <f t="shared" si="24"/>
        <v>2030</v>
      </c>
      <c r="B73" s="125">
        <f t="shared" si="22"/>
        <v>31894</v>
      </c>
      <c r="C73" s="46">
        <f t="shared" si="21"/>
        <v>7655</v>
      </c>
      <c r="D73" s="125">
        <f>B73-C73</f>
        <v>24239</v>
      </c>
      <c r="E73" s="46">
        <f t="shared" si="25"/>
        <v>3455.1833333333329</v>
      </c>
      <c r="F73" s="297">
        <f t="shared" si="26"/>
        <v>1594.7</v>
      </c>
      <c r="G73" s="46">
        <f t="shared" si="27"/>
        <v>829.24399999999991</v>
      </c>
      <c r="H73" s="297">
        <f t="shared" si="34"/>
        <v>2625.9393333333328</v>
      </c>
      <c r="I73" s="46">
        <f t="shared" si="28"/>
        <v>382.72800000000001</v>
      </c>
      <c r="J73" s="297">
        <f t="shared" si="29"/>
        <v>1211.972</v>
      </c>
      <c r="K73" s="46">
        <f t="shared" si="30"/>
        <v>41617683.250000007</v>
      </c>
      <c r="L73" s="297">
        <f t="shared" si="31"/>
        <v>31431537</v>
      </c>
      <c r="M73" s="46">
        <f t="shared" si="32"/>
        <v>9988243.9800000023</v>
      </c>
      <c r="N73" s="297">
        <f t="shared" si="35"/>
        <v>31629439.270000003</v>
      </c>
      <c r="O73" s="46">
        <f t="shared" si="33"/>
        <v>7543568.8799999999</v>
      </c>
      <c r="P73" s="297">
        <f t="shared" si="36"/>
        <v>23887968.120000001</v>
      </c>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V73" s="33"/>
      <c r="CW73" s="33"/>
      <c r="CX73" s="33"/>
      <c r="CY73" s="33"/>
      <c r="CZ73" s="33"/>
    </row>
    <row r="74" spans="1:104" x14ac:dyDescent="0.2">
      <c r="A74" s="37">
        <f t="shared" si="24"/>
        <v>2031</v>
      </c>
      <c r="B74" s="125">
        <f t="shared" si="22"/>
        <v>32437</v>
      </c>
      <c r="C74" s="46">
        <f t="shared" si="21"/>
        <v>7785</v>
      </c>
      <c r="D74" s="125">
        <f t="shared" si="23"/>
        <v>24652</v>
      </c>
      <c r="E74" s="46">
        <f t="shared" si="25"/>
        <v>3514.0083333333332</v>
      </c>
      <c r="F74" s="297">
        <f t="shared" si="26"/>
        <v>1621.8500000000001</v>
      </c>
      <c r="G74" s="46">
        <f t="shared" si="27"/>
        <v>843.36199999999997</v>
      </c>
      <c r="H74" s="297">
        <f t="shared" si="34"/>
        <v>2670.6463333333331</v>
      </c>
      <c r="I74" s="46">
        <f t="shared" si="28"/>
        <v>389.24400000000003</v>
      </c>
      <c r="J74" s="297">
        <f t="shared" si="29"/>
        <v>1232.6060000000002</v>
      </c>
      <c r="K74" s="46">
        <f t="shared" si="30"/>
        <v>42326230.375</v>
      </c>
      <c r="L74" s="297">
        <f t="shared" si="31"/>
        <v>31966663.500000004</v>
      </c>
      <c r="M74" s="46">
        <f t="shared" si="32"/>
        <v>10158295.289999999</v>
      </c>
      <c r="N74" s="297">
        <f t="shared" si="35"/>
        <v>32167935.085000001</v>
      </c>
      <c r="O74" s="46">
        <f t="shared" si="33"/>
        <v>7671999.2400000002</v>
      </c>
      <c r="P74" s="297">
        <f t="shared" si="36"/>
        <v>24294664.260000005</v>
      </c>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V74" s="33"/>
      <c r="CW74" s="33"/>
      <c r="CX74" s="33"/>
      <c r="CY74" s="33"/>
      <c r="CZ74" s="33"/>
    </row>
    <row r="75" spans="1:104" x14ac:dyDescent="0.2">
      <c r="A75" s="37">
        <f t="shared" si="24"/>
        <v>2032</v>
      </c>
      <c r="B75" s="125">
        <f t="shared" si="22"/>
        <v>32989</v>
      </c>
      <c r="C75" s="46">
        <f t="shared" si="21"/>
        <v>7917</v>
      </c>
      <c r="D75" s="125">
        <f t="shared" si="23"/>
        <v>25072</v>
      </c>
      <c r="E75" s="46">
        <f t="shared" si="25"/>
        <v>3573.8083333333329</v>
      </c>
      <c r="F75" s="297">
        <f t="shared" si="26"/>
        <v>1649.45</v>
      </c>
      <c r="G75" s="46">
        <f t="shared" si="27"/>
        <v>857.71399999999983</v>
      </c>
      <c r="H75" s="297">
        <f t="shared" si="34"/>
        <v>2716.094333333333</v>
      </c>
      <c r="I75" s="46">
        <f t="shared" si="28"/>
        <v>395.86799999999999</v>
      </c>
      <c r="J75" s="297">
        <f t="shared" si="29"/>
        <v>1253.5820000000001</v>
      </c>
      <c r="K75" s="46">
        <f t="shared" si="30"/>
        <v>43046521.375000007</v>
      </c>
      <c r="L75" s="297">
        <f t="shared" si="31"/>
        <v>32510659.5</v>
      </c>
      <c r="M75" s="46">
        <f t="shared" si="32"/>
        <v>10331165.130000001</v>
      </c>
      <c r="N75" s="297">
        <f t="shared" si="35"/>
        <v>32715356.245000005</v>
      </c>
      <c r="O75" s="46">
        <f t="shared" si="33"/>
        <v>7802558.2799999993</v>
      </c>
      <c r="P75" s="297">
        <f t="shared" si="36"/>
        <v>24708101.219999999</v>
      </c>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c r="CV75" s="33"/>
      <c r="CW75" s="33"/>
      <c r="CX75" s="33"/>
      <c r="CY75" s="33"/>
      <c r="CZ75" s="33"/>
    </row>
    <row r="76" spans="1:104" x14ac:dyDescent="0.2">
      <c r="A76" s="37">
        <f t="shared" si="24"/>
        <v>2033</v>
      </c>
      <c r="B76" s="125">
        <f t="shared" si="22"/>
        <v>33550</v>
      </c>
      <c r="C76" s="46">
        <f t="shared" si="21"/>
        <v>8052</v>
      </c>
      <c r="D76" s="125">
        <f t="shared" si="23"/>
        <v>25498</v>
      </c>
      <c r="E76" s="46">
        <f t="shared" si="25"/>
        <v>3634.583333333333</v>
      </c>
      <c r="F76" s="297">
        <f t="shared" si="26"/>
        <v>1677.5</v>
      </c>
      <c r="G76" s="46">
        <f t="shared" si="27"/>
        <v>872.29999999999984</v>
      </c>
      <c r="H76" s="297">
        <f t="shared" si="34"/>
        <v>2762.2833333333333</v>
      </c>
      <c r="I76" s="46">
        <f t="shared" si="28"/>
        <v>402.59999999999997</v>
      </c>
      <c r="J76" s="297">
        <f t="shared" si="29"/>
        <v>1274.9000000000001</v>
      </c>
      <c r="K76" s="46">
        <f t="shared" si="30"/>
        <v>43778556.25</v>
      </c>
      <c r="L76" s="297">
        <f t="shared" si="31"/>
        <v>33063525</v>
      </c>
      <c r="M76" s="46">
        <f t="shared" si="32"/>
        <v>10506853.5</v>
      </c>
      <c r="N76" s="297">
        <f t="shared" si="35"/>
        <v>33271702.75</v>
      </c>
      <c r="O76" s="46">
        <f t="shared" si="33"/>
        <v>7935246</v>
      </c>
      <c r="P76" s="297">
        <f t="shared" si="36"/>
        <v>25128279</v>
      </c>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V76" s="33"/>
      <c r="CW76" s="33"/>
      <c r="CX76" s="33"/>
      <c r="CY76" s="33"/>
      <c r="CZ76" s="33"/>
    </row>
    <row r="77" spans="1:104" x14ac:dyDescent="0.2">
      <c r="A77" s="37">
        <f t="shared" si="24"/>
        <v>2034</v>
      </c>
      <c r="B77" s="125">
        <f t="shared" si="22"/>
        <v>34121</v>
      </c>
      <c r="C77" s="46">
        <f t="shared" si="21"/>
        <v>8189</v>
      </c>
      <c r="D77" s="125">
        <f t="shared" si="23"/>
        <v>25932</v>
      </c>
      <c r="E77" s="46">
        <f t="shared" si="25"/>
        <v>3696.4416666666666</v>
      </c>
      <c r="F77" s="297">
        <f t="shared" si="26"/>
        <v>1706.0500000000002</v>
      </c>
      <c r="G77" s="46">
        <f t="shared" si="27"/>
        <v>887.14599999999996</v>
      </c>
      <c r="H77" s="297">
        <f t="shared" si="34"/>
        <v>2809.2956666666669</v>
      </c>
      <c r="I77" s="46">
        <f t="shared" si="28"/>
        <v>409.45200000000006</v>
      </c>
      <c r="J77" s="297">
        <f t="shared" si="29"/>
        <v>1296.5980000000002</v>
      </c>
      <c r="K77" s="46">
        <f t="shared" si="30"/>
        <v>44523639.875000007</v>
      </c>
      <c r="L77" s="297">
        <f t="shared" si="31"/>
        <v>33626245.500000007</v>
      </c>
      <c r="M77" s="46">
        <f t="shared" si="32"/>
        <v>10685673.570000002</v>
      </c>
      <c r="N77" s="297">
        <f t="shared" si="35"/>
        <v>33837966.305000007</v>
      </c>
      <c r="O77" s="46">
        <f t="shared" si="33"/>
        <v>8070298.9200000018</v>
      </c>
      <c r="P77" s="297">
        <f t="shared" si="36"/>
        <v>25555946.580000006</v>
      </c>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V77" s="33"/>
      <c r="CW77" s="33"/>
      <c r="CX77" s="33"/>
      <c r="CY77" s="33"/>
      <c r="CZ77" s="33"/>
    </row>
    <row r="78" spans="1:104" x14ac:dyDescent="0.2">
      <c r="A78" s="37">
        <f t="shared" si="24"/>
        <v>2035</v>
      </c>
      <c r="B78" s="125">
        <f t="shared" si="22"/>
        <v>34702</v>
      </c>
      <c r="C78" s="46">
        <f t="shared" si="21"/>
        <v>8328</v>
      </c>
      <c r="D78" s="125">
        <f t="shared" si="23"/>
        <v>26374</v>
      </c>
      <c r="E78" s="46">
        <f t="shared" si="25"/>
        <v>3759.3833333333332</v>
      </c>
      <c r="F78" s="297">
        <f t="shared" si="26"/>
        <v>1735.1000000000001</v>
      </c>
      <c r="G78" s="46">
        <f t="shared" si="27"/>
        <v>902.25199999999995</v>
      </c>
      <c r="H78" s="297">
        <f t="shared" si="34"/>
        <v>2857.1313333333333</v>
      </c>
      <c r="I78" s="46">
        <f t="shared" si="28"/>
        <v>416.42400000000004</v>
      </c>
      <c r="J78" s="297">
        <f t="shared" si="29"/>
        <v>1318.6760000000002</v>
      </c>
      <c r="K78" s="46">
        <f t="shared" si="30"/>
        <v>45281772.25</v>
      </c>
      <c r="L78" s="297">
        <f t="shared" si="31"/>
        <v>34198821</v>
      </c>
      <c r="M78" s="46">
        <f t="shared" si="32"/>
        <v>10867625.34</v>
      </c>
      <c r="N78" s="297">
        <f t="shared" si="35"/>
        <v>34414146.909999996</v>
      </c>
      <c r="O78" s="46">
        <f t="shared" si="33"/>
        <v>8207717.04</v>
      </c>
      <c r="P78" s="297">
        <f t="shared" si="36"/>
        <v>25991103.960000001</v>
      </c>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V78" s="33"/>
      <c r="CW78" s="33"/>
      <c r="CX78" s="33"/>
      <c r="CY78" s="33"/>
      <c r="CZ78" s="33"/>
    </row>
    <row r="79" spans="1:104" x14ac:dyDescent="0.2">
      <c r="A79" s="37">
        <f t="shared" si="24"/>
        <v>2036</v>
      </c>
      <c r="B79" s="125">
        <f t="shared" si="22"/>
        <v>35293</v>
      </c>
      <c r="C79" s="46">
        <f t="shared" si="21"/>
        <v>8470</v>
      </c>
      <c r="D79" s="125">
        <f t="shared" si="23"/>
        <v>26823</v>
      </c>
      <c r="E79" s="46">
        <f t="shared" si="25"/>
        <v>3823.4083333333328</v>
      </c>
      <c r="F79" s="297">
        <f t="shared" si="26"/>
        <v>1764.65</v>
      </c>
      <c r="G79" s="46">
        <f t="shared" si="27"/>
        <v>917.61799999999982</v>
      </c>
      <c r="H79" s="297">
        <f t="shared" si="34"/>
        <v>2905.7903333333329</v>
      </c>
      <c r="I79" s="46">
        <f t="shared" si="28"/>
        <v>423.51600000000002</v>
      </c>
      <c r="J79" s="297">
        <f t="shared" si="29"/>
        <v>1341.134</v>
      </c>
      <c r="K79" s="46">
        <f t="shared" si="30"/>
        <v>46052953.375</v>
      </c>
      <c r="L79" s="297">
        <f t="shared" si="31"/>
        <v>34781251.5</v>
      </c>
      <c r="M79" s="46">
        <f t="shared" si="32"/>
        <v>11052708.810000001</v>
      </c>
      <c r="N79" s="297">
        <f t="shared" si="35"/>
        <v>35000244.564999998</v>
      </c>
      <c r="O79" s="46">
        <f t="shared" si="33"/>
        <v>8347500.3599999994</v>
      </c>
      <c r="P79" s="297">
        <f t="shared" si="36"/>
        <v>26433751.140000001</v>
      </c>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c r="BV79" s="78"/>
      <c r="BW79" s="78"/>
      <c r="BX79" s="78"/>
      <c r="BY79" s="78"/>
      <c r="BZ79" s="78"/>
      <c r="CV79" s="33"/>
      <c r="CW79" s="33"/>
      <c r="CX79" s="33"/>
      <c r="CY79" s="33"/>
      <c r="CZ79" s="33"/>
    </row>
    <row r="80" spans="1:104" x14ac:dyDescent="0.2">
      <c r="A80" s="37">
        <f t="shared" si="24"/>
        <v>2037</v>
      </c>
      <c r="B80" s="125">
        <f t="shared" si="22"/>
        <v>35893</v>
      </c>
      <c r="C80" s="46">
        <f t="shared" si="21"/>
        <v>8614</v>
      </c>
      <c r="D80" s="125">
        <f t="shared" si="23"/>
        <v>27279</v>
      </c>
      <c r="E80" s="46">
        <f t="shared" si="25"/>
        <v>3888.4083333333328</v>
      </c>
      <c r="F80" s="297">
        <f t="shared" si="26"/>
        <v>1794.65</v>
      </c>
      <c r="G80" s="46">
        <f t="shared" si="27"/>
        <v>933.21799999999985</v>
      </c>
      <c r="H80" s="297">
        <f t="shared" si="34"/>
        <v>2955.190333333333</v>
      </c>
      <c r="I80" s="46">
        <f t="shared" si="28"/>
        <v>430.71600000000001</v>
      </c>
      <c r="J80" s="297">
        <f t="shared" si="29"/>
        <v>1363.9340000000002</v>
      </c>
      <c r="K80" s="46">
        <f t="shared" si="30"/>
        <v>46835878.375</v>
      </c>
      <c r="L80" s="297">
        <f t="shared" si="31"/>
        <v>35372551.5</v>
      </c>
      <c r="M80" s="46">
        <f t="shared" si="32"/>
        <v>11240610.809999999</v>
      </c>
      <c r="N80" s="297">
        <f t="shared" si="35"/>
        <v>35595267.564999998</v>
      </c>
      <c r="O80" s="46">
        <f t="shared" si="33"/>
        <v>8489412.3599999994</v>
      </c>
      <c r="P80" s="297">
        <f t="shared" si="36"/>
        <v>26883139.140000001</v>
      </c>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c r="BZ80" s="78"/>
      <c r="CV80" s="33"/>
      <c r="CW80" s="33"/>
      <c r="CX80" s="33"/>
      <c r="CY80" s="33"/>
      <c r="CZ80" s="33"/>
    </row>
    <row r="81" spans="1:104" x14ac:dyDescent="0.2">
      <c r="A81" s="37">
        <f t="shared" si="24"/>
        <v>2038</v>
      </c>
      <c r="B81" s="297">
        <f t="shared" si="22"/>
        <v>36504</v>
      </c>
      <c r="C81" s="46">
        <f t="shared" si="21"/>
        <v>8761</v>
      </c>
      <c r="D81" s="125">
        <f t="shared" si="23"/>
        <v>27743</v>
      </c>
      <c r="E81" s="46">
        <f t="shared" ref="E81:E88" si="37">B81*$B$110</f>
        <v>6084</v>
      </c>
      <c r="F81" s="297">
        <f t="shared" si="26"/>
        <v>1825.2</v>
      </c>
      <c r="G81" s="46">
        <f t="shared" si="27"/>
        <v>1460.1599999999999</v>
      </c>
      <c r="H81" s="297">
        <f>$E81-G81</f>
        <v>4623.84</v>
      </c>
      <c r="I81" s="46">
        <f t="shared" si="28"/>
        <v>438.048</v>
      </c>
      <c r="J81" s="297">
        <f>$F81-I81</f>
        <v>1387.152</v>
      </c>
      <c r="K81" s="46">
        <f t="shared" ref="K81:K88" si="38">B81*365*$B$108</f>
        <v>59291622</v>
      </c>
      <c r="L81" s="297">
        <f t="shared" si="31"/>
        <v>35974692</v>
      </c>
      <c r="M81" s="46">
        <f t="shared" si="32"/>
        <v>14229989.279999999</v>
      </c>
      <c r="N81" s="297">
        <f>$K81-M81</f>
        <v>45061632.719999999</v>
      </c>
      <c r="O81" s="46">
        <f t="shared" si="33"/>
        <v>8633926.0800000001</v>
      </c>
      <c r="P81" s="297">
        <f>($L81)-O81</f>
        <v>27340765.920000002</v>
      </c>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8"/>
      <c r="BV81" s="78"/>
      <c r="BW81" s="78"/>
      <c r="BX81" s="78"/>
      <c r="BY81" s="78"/>
      <c r="BZ81" s="78"/>
      <c r="CV81" s="33"/>
      <c r="CW81" s="33"/>
      <c r="CX81" s="33"/>
      <c r="CY81" s="33"/>
      <c r="CZ81" s="33"/>
    </row>
    <row r="82" spans="1:104" x14ac:dyDescent="0.2">
      <c r="A82" s="37">
        <f t="shared" si="24"/>
        <v>2039</v>
      </c>
      <c r="B82" s="125">
        <f t="shared" si="22"/>
        <v>37126</v>
      </c>
      <c r="C82" s="46">
        <f t="shared" si="21"/>
        <v>8910</v>
      </c>
      <c r="D82" s="125">
        <f t="shared" si="23"/>
        <v>28216</v>
      </c>
      <c r="E82" s="46">
        <f t="shared" si="37"/>
        <v>6187.6666666666661</v>
      </c>
      <c r="F82" s="297">
        <f t="shared" si="26"/>
        <v>1856.3000000000002</v>
      </c>
      <c r="G82" s="46">
        <f t="shared" si="27"/>
        <v>1485.0399999999997</v>
      </c>
      <c r="H82" s="297">
        <f t="shared" si="34"/>
        <v>4702.6266666666661</v>
      </c>
      <c r="I82" s="46">
        <f t="shared" si="28"/>
        <v>445.512</v>
      </c>
      <c r="J82" s="297">
        <f t="shared" si="29"/>
        <v>1410.7880000000002</v>
      </c>
      <c r="K82" s="46">
        <f t="shared" si="38"/>
        <v>60301905.5</v>
      </c>
      <c r="L82" s="297">
        <f t="shared" si="31"/>
        <v>36587673.000000007</v>
      </c>
      <c r="M82" s="46">
        <f t="shared" si="32"/>
        <v>14472457.32</v>
      </c>
      <c r="N82" s="297">
        <f t="shared" si="35"/>
        <v>45829448.18</v>
      </c>
      <c r="O82" s="46">
        <f t="shared" si="33"/>
        <v>8781041.5200000014</v>
      </c>
      <c r="P82" s="297">
        <f t="shared" si="36"/>
        <v>27806631.480000004</v>
      </c>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V82" s="33"/>
      <c r="CW82" s="33"/>
      <c r="CX82" s="33"/>
      <c r="CY82" s="33"/>
      <c r="CZ82" s="33"/>
    </row>
    <row r="83" spans="1:104" x14ac:dyDescent="0.2">
      <c r="A83" s="37">
        <f t="shared" si="24"/>
        <v>2040</v>
      </c>
      <c r="B83" s="125">
        <f t="shared" si="22"/>
        <v>37757</v>
      </c>
      <c r="C83" s="46">
        <f t="shared" si="21"/>
        <v>9062</v>
      </c>
      <c r="D83" s="125">
        <f t="shared" si="23"/>
        <v>28695</v>
      </c>
      <c r="E83" s="46">
        <f t="shared" si="37"/>
        <v>6292.833333333333</v>
      </c>
      <c r="F83" s="297">
        <f t="shared" si="26"/>
        <v>1887.8500000000001</v>
      </c>
      <c r="G83" s="46">
        <f t="shared" si="27"/>
        <v>1510.28</v>
      </c>
      <c r="H83" s="297">
        <f t="shared" si="34"/>
        <v>4782.5533333333333</v>
      </c>
      <c r="I83" s="46">
        <f t="shared" si="28"/>
        <v>453.084</v>
      </c>
      <c r="J83" s="297">
        <f t="shared" si="29"/>
        <v>1434.7660000000001</v>
      </c>
      <c r="K83" s="46">
        <f t="shared" si="38"/>
        <v>61326807.25</v>
      </c>
      <c r="L83" s="297">
        <f t="shared" si="31"/>
        <v>37209523.5</v>
      </c>
      <c r="M83" s="46">
        <f t="shared" si="32"/>
        <v>14718433.74</v>
      </c>
      <c r="N83" s="297">
        <f t="shared" si="35"/>
        <v>46608373.509999998</v>
      </c>
      <c r="O83" s="46">
        <f t="shared" si="33"/>
        <v>8930285.6400000006</v>
      </c>
      <c r="P83" s="297">
        <f t="shared" si="36"/>
        <v>28279237.859999999</v>
      </c>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V83" s="33"/>
      <c r="CW83" s="33"/>
      <c r="CX83" s="33"/>
      <c r="CY83" s="33"/>
      <c r="CZ83" s="33"/>
    </row>
    <row r="84" spans="1:104" x14ac:dyDescent="0.2">
      <c r="A84" s="37">
        <f t="shared" si="24"/>
        <v>2041</v>
      </c>
      <c r="B84" s="125">
        <f t="shared" si="22"/>
        <v>38400</v>
      </c>
      <c r="C84" s="46">
        <f t="shared" si="21"/>
        <v>9216</v>
      </c>
      <c r="D84" s="125">
        <f t="shared" si="23"/>
        <v>29184</v>
      </c>
      <c r="E84" s="46">
        <f t="shared" si="37"/>
        <v>6400</v>
      </c>
      <c r="F84" s="297">
        <f t="shared" si="26"/>
        <v>1920</v>
      </c>
      <c r="G84" s="46">
        <f t="shared" si="27"/>
        <v>1536</v>
      </c>
      <c r="H84" s="297">
        <f t="shared" si="34"/>
        <v>4864</v>
      </c>
      <c r="I84" s="46">
        <f t="shared" si="28"/>
        <v>460.79999999999995</v>
      </c>
      <c r="J84" s="297">
        <f t="shared" si="29"/>
        <v>1459.2</v>
      </c>
      <c r="K84" s="46">
        <f t="shared" si="38"/>
        <v>62371200</v>
      </c>
      <c r="L84" s="297">
        <f t="shared" si="31"/>
        <v>37843200</v>
      </c>
      <c r="M84" s="46">
        <f t="shared" si="32"/>
        <v>14969088</v>
      </c>
      <c r="N84" s="297">
        <f t="shared" si="35"/>
        <v>47402112</v>
      </c>
      <c r="O84" s="46">
        <f t="shared" si="33"/>
        <v>9082368</v>
      </c>
      <c r="P84" s="297">
        <f t="shared" si="36"/>
        <v>28760832</v>
      </c>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8"/>
      <c r="BV84" s="78"/>
      <c r="BW84" s="78"/>
      <c r="BX84" s="78"/>
      <c r="BY84" s="78"/>
      <c r="BZ84" s="78"/>
      <c r="CV84" s="33"/>
      <c r="CW84" s="33"/>
      <c r="CX84" s="33"/>
      <c r="CY84" s="33"/>
      <c r="CZ84" s="33"/>
    </row>
    <row r="85" spans="1:104" x14ac:dyDescent="0.2">
      <c r="A85" s="37">
        <f t="shared" si="24"/>
        <v>2042</v>
      </c>
      <c r="B85" s="125">
        <f t="shared" si="22"/>
        <v>39054</v>
      </c>
      <c r="C85" s="46">
        <f t="shared" si="21"/>
        <v>9373</v>
      </c>
      <c r="D85" s="125">
        <f t="shared" si="23"/>
        <v>29681</v>
      </c>
      <c r="E85" s="46">
        <f t="shared" si="37"/>
        <v>6509</v>
      </c>
      <c r="F85" s="297">
        <f t="shared" si="26"/>
        <v>1952.7</v>
      </c>
      <c r="G85" s="46">
        <f t="shared" si="27"/>
        <v>1562.1599999999999</v>
      </c>
      <c r="H85" s="297">
        <f t="shared" si="34"/>
        <v>4946.84</v>
      </c>
      <c r="I85" s="46">
        <f t="shared" si="28"/>
        <v>468.64799999999997</v>
      </c>
      <c r="J85" s="297">
        <f t="shared" si="29"/>
        <v>1484.0520000000001</v>
      </c>
      <c r="K85" s="46">
        <f t="shared" si="38"/>
        <v>63433459.5</v>
      </c>
      <c r="L85" s="297">
        <f t="shared" si="31"/>
        <v>38487717</v>
      </c>
      <c r="M85" s="46">
        <f t="shared" si="32"/>
        <v>15224030.279999999</v>
      </c>
      <c r="N85" s="297">
        <f t="shared" si="35"/>
        <v>48209429.219999999</v>
      </c>
      <c r="O85" s="46">
        <f t="shared" si="33"/>
        <v>9237052.0800000001</v>
      </c>
      <c r="P85" s="297">
        <f t="shared" si="36"/>
        <v>29250664.920000002</v>
      </c>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8"/>
      <c r="BR85" s="78"/>
      <c r="BS85" s="78"/>
      <c r="BT85" s="78"/>
      <c r="BU85" s="78"/>
      <c r="BV85" s="78"/>
      <c r="BW85" s="78"/>
      <c r="BX85" s="78"/>
      <c r="BY85" s="78"/>
      <c r="BZ85" s="78"/>
      <c r="CV85" s="33"/>
      <c r="CW85" s="33"/>
      <c r="CX85" s="33"/>
      <c r="CY85" s="33"/>
      <c r="CZ85" s="33"/>
    </row>
    <row r="86" spans="1:104" x14ac:dyDescent="0.2">
      <c r="A86" s="37">
        <f t="shared" si="24"/>
        <v>2043</v>
      </c>
      <c r="B86" s="125">
        <f t="shared" si="22"/>
        <v>39718</v>
      </c>
      <c r="C86" s="46">
        <f t="shared" si="21"/>
        <v>9532</v>
      </c>
      <c r="D86" s="125">
        <f t="shared" si="23"/>
        <v>30186</v>
      </c>
      <c r="E86" s="46">
        <f t="shared" si="37"/>
        <v>6619.6666666666661</v>
      </c>
      <c r="F86" s="297">
        <f t="shared" si="26"/>
        <v>1985.9</v>
      </c>
      <c r="G86" s="46">
        <f t="shared" si="27"/>
        <v>1588.7199999999998</v>
      </c>
      <c r="H86" s="297">
        <f t="shared" si="34"/>
        <v>5030.9466666666667</v>
      </c>
      <c r="I86" s="46">
        <f t="shared" si="28"/>
        <v>476.61599999999999</v>
      </c>
      <c r="J86" s="297">
        <f t="shared" si="29"/>
        <v>1509.2840000000001</v>
      </c>
      <c r="K86" s="46">
        <f t="shared" si="38"/>
        <v>64511961.5</v>
      </c>
      <c r="L86" s="297">
        <f t="shared" si="31"/>
        <v>39142089</v>
      </c>
      <c r="M86" s="46">
        <f t="shared" si="32"/>
        <v>15482870.76</v>
      </c>
      <c r="N86" s="297">
        <f t="shared" si="35"/>
        <v>49029090.740000002</v>
      </c>
      <c r="O86" s="46">
        <f t="shared" si="33"/>
        <v>9394101.3599999994</v>
      </c>
      <c r="P86" s="297">
        <f t="shared" si="36"/>
        <v>29747987.640000001</v>
      </c>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V86" s="33"/>
      <c r="CW86" s="33"/>
      <c r="CX86" s="33"/>
      <c r="CY86" s="33"/>
      <c r="CZ86" s="33"/>
    </row>
    <row r="87" spans="1:104" x14ac:dyDescent="0.2">
      <c r="A87" s="37">
        <f t="shared" si="24"/>
        <v>2044</v>
      </c>
      <c r="B87" s="125">
        <f t="shared" si="22"/>
        <v>40394</v>
      </c>
      <c r="C87" s="46">
        <f t="shared" si="21"/>
        <v>9695</v>
      </c>
      <c r="D87" s="125">
        <f t="shared" si="23"/>
        <v>30699</v>
      </c>
      <c r="E87" s="46">
        <f t="shared" si="37"/>
        <v>6732.333333333333</v>
      </c>
      <c r="F87" s="297">
        <f t="shared" si="26"/>
        <v>2019.7</v>
      </c>
      <c r="G87" s="46">
        <f t="shared" si="27"/>
        <v>1615.7599999999998</v>
      </c>
      <c r="H87" s="297">
        <f t="shared" si="34"/>
        <v>5116.5733333333337</v>
      </c>
      <c r="I87" s="46">
        <f t="shared" si="28"/>
        <v>484.72800000000001</v>
      </c>
      <c r="J87" s="297">
        <f t="shared" si="29"/>
        <v>1534.972</v>
      </c>
      <c r="K87" s="46">
        <f t="shared" si="38"/>
        <v>65609954.5</v>
      </c>
      <c r="L87" s="297">
        <f t="shared" si="31"/>
        <v>39808287</v>
      </c>
      <c r="M87" s="46">
        <f t="shared" si="32"/>
        <v>15746389.08</v>
      </c>
      <c r="N87" s="297">
        <f t="shared" si="35"/>
        <v>49863565.420000002</v>
      </c>
      <c r="O87" s="46">
        <f t="shared" si="33"/>
        <v>9553988.879999999</v>
      </c>
      <c r="P87" s="297">
        <f t="shared" si="36"/>
        <v>30254298.120000001</v>
      </c>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V87" s="33"/>
      <c r="CW87" s="33"/>
      <c r="CX87" s="33"/>
      <c r="CY87" s="33"/>
      <c r="CZ87" s="33"/>
    </row>
    <row r="88" spans="1:104" x14ac:dyDescent="0.2">
      <c r="A88" s="298">
        <f t="shared" si="24"/>
        <v>2045</v>
      </c>
      <c r="B88" s="299">
        <f t="shared" si="22"/>
        <v>41082</v>
      </c>
      <c r="C88" s="300">
        <f t="shared" si="21"/>
        <v>9860</v>
      </c>
      <c r="D88" s="299">
        <f>B88-C88</f>
        <v>31222</v>
      </c>
      <c r="E88" s="300">
        <f t="shared" si="37"/>
        <v>6847</v>
      </c>
      <c r="F88" s="301">
        <f t="shared" si="26"/>
        <v>2054.1</v>
      </c>
      <c r="G88" s="300">
        <f t="shared" si="27"/>
        <v>1643.28</v>
      </c>
      <c r="H88" s="301">
        <f t="shared" si="34"/>
        <v>5203.72</v>
      </c>
      <c r="I88" s="300">
        <f t="shared" si="28"/>
        <v>492.98399999999998</v>
      </c>
      <c r="J88" s="301">
        <f t="shared" si="29"/>
        <v>1561.116</v>
      </c>
      <c r="K88" s="300">
        <f t="shared" si="38"/>
        <v>66727438.5</v>
      </c>
      <c r="L88" s="301">
        <f t="shared" si="31"/>
        <v>40486311</v>
      </c>
      <c r="M88" s="300">
        <f t="shared" si="32"/>
        <v>16014585.24</v>
      </c>
      <c r="N88" s="301">
        <f t="shared" si="35"/>
        <v>50712853.259999998</v>
      </c>
      <c r="O88" s="300">
        <f t="shared" si="33"/>
        <v>9716714.6399999987</v>
      </c>
      <c r="P88" s="301">
        <f t="shared" si="36"/>
        <v>30769596.359999999</v>
      </c>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c r="BZ88" s="78"/>
      <c r="CV88" s="33"/>
      <c r="CW88" s="33"/>
      <c r="CX88" s="33"/>
      <c r="CY88" s="33"/>
      <c r="CZ88" s="33"/>
    </row>
    <row r="89" spans="1:104" x14ac:dyDescent="0.2">
      <c r="A89" s="438" t="s">
        <v>235</v>
      </c>
      <c r="B89" s="439"/>
      <c r="C89" s="439"/>
      <c r="D89" s="439"/>
      <c r="E89" s="439"/>
      <c r="F89" s="439"/>
      <c r="G89" s="439"/>
      <c r="H89" s="439"/>
      <c r="I89" s="439"/>
      <c r="J89" s="439"/>
      <c r="K89" s="439"/>
      <c r="L89" s="439"/>
      <c r="M89" s="439"/>
      <c r="N89" s="439"/>
      <c r="O89" s="439"/>
      <c r="P89" s="440"/>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8"/>
      <c r="BR89" s="78"/>
      <c r="BS89" s="78"/>
      <c r="BT89" s="78"/>
      <c r="BU89" s="78"/>
      <c r="BV89" s="78"/>
      <c r="BW89" s="78"/>
      <c r="BX89" s="78"/>
      <c r="BY89" s="78"/>
      <c r="BZ89" s="78"/>
      <c r="CV89" s="33"/>
      <c r="CW89" s="33"/>
      <c r="CX89" s="33"/>
      <c r="CY89" s="33"/>
      <c r="CZ89" s="33"/>
    </row>
    <row r="90" spans="1:104" x14ac:dyDescent="0.2">
      <c r="A90" s="455" t="s">
        <v>221</v>
      </c>
      <c r="B90" s="456"/>
      <c r="C90" s="456"/>
      <c r="D90" s="456"/>
      <c r="E90" s="456"/>
      <c r="F90" s="456"/>
      <c r="G90" s="456"/>
      <c r="H90" s="456"/>
      <c r="I90" s="456"/>
      <c r="J90" s="456"/>
      <c r="K90" s="456"/>
      <c r="L90" s="456"/>
      <c r="M90" s="456"/>
      <c r="N90" s="456"/>
      <c r="O90" s="456"/>
      <c r="P90" s="457"/>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V90" s="33"/>
      <c r="CW90" s="33"/>
      <c r="CX90" s="33"/>
      <c r="CY90" s="33"/>
      <c r="CZ90" s="33"/>
    </row>
    <row r="91" spans="1:104" x14ac:dyDescent="0.2">
      <c r="A91" s="80"/>
      <c r="B91" s="89"/>
      <c r="C91" s="129"/>
      <c r="D91" s="126"/>
      <c r="E91" s="126"/>
      <c r="F91" s="89"/>
      <c r="G91" s="129"/>
      <c r="H91" s="126"/>
      <c r="I91" s="126"/>
      <c r="J91" s="79"/>
      <c r="K91" s="79"/>
      <c r="L91" s="79"/>
      <c r="M91" s="79"/>
      <c r="N91" s="79"/>
      <c r="O91" s="79"/>
      <c r="P91" s="79"/>
      <c r="Q91" s="79"/>
      <c r="R91" s="79"/>
      <c r="S91" s="79"/>
      <c r="T91" s="79"/>
      <c r="U91" s="79"/>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row>
    <row r="92" spans="1:104" x14ac:dyDescent="0.2">
      <c r="A92" s="429" t="s">
        <v>177</v>
      </c>
      <c r="B92" s="430"/>
      <c r="C92" s="431"/>
      <c r="D92" s="126"/>
      <c r="E92" s="126"/>
      <c r="F92" s="89"/>
      <c r="G92" s="132"/>
      <c r="H92" s="88"/>
      <c r="I92" s="48"/>
      <c r="J92" s="48"/>
      <c r="K92" s="48"/>
      <c r="L92" s="132"/>
      <c r="M92" s="132"/>
      <c r="N92" s="132"/>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8"/>
      <c r="BX92" s="78"/>
      <c r="BY92" s="78"/>
      <c r="BZ92" s="78"/>
    </row>
    <row r="93" spans="1:104" x14ac:dyDescent="0.2">
      <c r="A93" s="432"/>
      <c r="B93" s="433"/>
      <c r="C93" s="434"/>
      <c r="D93" s="126"/>
      <c r="E93" s="126"/>
      <c r="F93" s="89"/>
      <c r="G93" s="132"/>
      <c r="H93" s="88"/>
      <c r="I93" s="48"/>
      <c r="J93" s="48"/>
      <c r="K93" s="48"/>
      <c r="L93" s="132"/>
      <c r="M93" s="132"/>
      <c r="N93" s="132"/>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8"/>
      <c r="BR93" s="78"/>
      <c r="BS93" s="78"/>
      <c r="BT93" s="78"/>
      <c r="BU93" s="78"/>
      <c r="BV93" s="78"/>
      <c r="BW93" s="78"/>
      <c r="BX93" s="78"/>
      <c r="BY93" s="78"/>
      <c r="BZ93" s="78"/>
    </row>
    <row r="94" spans="1:104" ht="27" customHeight="1" x14ac:dyDescent="0.2">
      <c r="A94" s="224"/>
      <c r="B94" s="223" t="s">
        <v>164</v>
      </c>
      <c r="C94" s="222" t="s">
        <v>176</v>
      </c>
      <c r="D94" s="126"/>
      <c r="E94" s="126"/>
      <c r="F94" s="89"/>
      <c r="G94" s="132"/>
      <c r="H94" s="88"/>
      <c r="I94" s="48"/>
      <c r="J94" s="48"/>
      <c r="K94" s="48"/>
      <c r="L94" s="132"/>
      <c r="M94" s="132"/>
      <c r="N94" s="132"/>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8"/>
      <c r="BR94" s="78"/>
      <c r="BS94" s="78"/>
      <c r="BT94" s="78"/>
      <c r="BU94" s="78"/>
      <c r="BV94" s="78"/>
      <c r="BW94" s="78"/>
      <c r="BX94" s="78"/>
      <c r="BY94" s="78"/>
      <c r="BZ94" s="78"/>
      <c r="CS94" s="33"/>
      <c r="CT94" s="33"/>
      <c r="CU94" s="33"/>
      <c r="CV94" s="33"/>
      <c r="CW94" s="33"/>
      <c r="CX94" s="33"/>
      <c r="CY94" s="33"/>
      <c r="CZ94" s="33"/>
    </row>
    <row r="95" spans="1:104" ht="13.9" customHeight="1" x14ac:dyDescent="0.2">
      <c r="A95" s="133" t="s">
        <v>111</v>
      </c>
      <c r="B95" s="241">
        <f>B97-B96</f>
        <v>20824</v>
      </c>
      <c r="C95" s="241">
        <f t="shared" ref="C95" si="39">C97-C96</f>
        <v>29184</v>
      </c>
      <c r="D95" s="126"/>
      <c r="E95" s="126"/>
      <c r="F95" s="89"/>
      <c r="G95" s="132"/>
      <c r="H95" s="88"/>
      <c r="I95" s="48"/>
      <c r="J95" s="48"/>
      <c r="K95" s="48"/>
      <c r="L95" s="132"/>
      <c r="M95" s="132"/>
      <c r="N95" s="132"/>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8"/>
      <c r="BR95" s="78"/>
      <c r="BS95" s="78"/>
      <c r="BT95" s="78"/>
      <c r="BU95" s="78"/>
      <c r="BV95" s="78"/>
      <c r="BW95" s="78"/>
      <c r="BX95" s="78"/>
      <c r="BY95" s="78"/>
      <c r="BZ95" s="78"/>
      <c r="CS95" s="33"/>
      <c r="CT95" s="33"/>
      <c r="CU95" s="33"/>
      <c r="CV95" s="33"/>
      <c r="CW95" s="33"/>
      <c r="CX95" s="33"/>
      <c r="CY95" s="33"/>
      <c r="CZ95" s="33"/>
    </row>
    <row r="96" spans="1:104" ht="13.9" customHeight="1" x14ac:dyDescent="0.2">
      <c r="A96" s="133" t="s">
        <v>112</v>
      </c>
      <c r="B96" s="241">
        <f>B97*$B$102</f>
        <v>6576</v>
      </c>
      <c r="C96" s="241">
        <f>C97*$B$103</f>
        <v>9216</v>
      </c>
      <c r="D96" s="126"/>
      <c r="E96" s="126"/>
      <c r="F96" s="89"/>
      <c r="G96" s="132"/>
      <c r="H96" s="88"/>
      <c r="I96" s="48"/>
      <c r="J96" s="48"/>
      <c r="K96" s="48"/>
      <c r="L96" s="132"/>
      <c r="M96" s="132"/>
      <c r="N96" s="132"/>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8"/>
      <c r="BX96" s="78"/>
      <c r="BY96" s="78"/>
      <c r="BZ96" s="78"/>
      <c r="CS96" s="33"/>
      <c r="CT96" s="33"/>
      <c r="CU96" s="33"/>
      <c r="CV96" s="33"/>
      <c r="CW96" s="33"/>
      <c r="CX96" s="33"/>
      <c r="CY96" s="33"/>
      <c r="CZ96" s="33"/>
    </row>
    <row r="97" spans="1:104" ht="13.9" customHeight="1" x14ac:dyDescent="0.2">
      <c r="A97" s="133" t="s">
        <v>113</v>
      </c>
      <c r="B97" s="241">
        <v>27400</v>
      </c>
      <c r="C97" s="241">
        <v>38400</v>
      </c>
      <c r="D97" s="126"/>
      <c r="E97" s="126"/>
      <c r="F97" s="89"/>
      <c r="G97" s="132"/>
      <c r="H97" s="88"/>
      <c r="I97" s="48"/>
      <c r="J97" s="48"/>
      <c r="K97" s="48"/>
      <c r="L97" s="132"/>
      <c r="M97" s="132"/>
      <c r="N97" s="132"/>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S97" s="33"/>
      <c r="CT97" s="33"/>
      <c r="CU97" s="33"/>
      <c r="CV97" s="33"/>
      <c r="CW97" s="33"/>
      <c r="CX97" s="33"/>
      <c r="CY97" s="33"/>
      <c r="CZ97" s="33"/>
    </row>
    <row r="98" spans="1:104" ht="13.9" customHeight="1" x14ac:dyDescent="0.2">
      <c r="A98" s="435" t="s">
        <v>45</v>
      </c>
      <c r="B98" s="436"/>
      <c r="C98" s="437"/>
      <c r="D98" s="78"/>
      <c r="E98" s="88"/>
      <c r="F98" s="48"/>
      <c r="G98" s="48"/>
      <c r="H98" s="4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78"/>
      <c r="BT98" s="78"/>
      <c r="BU98" s="78"/>
      <c r="BV98" s="78"/>
      <c r="BW98" s="78"/>
      <c r="BX98" s="78"/>
      <c r="BY98" s="78"/>
      <c r="BZ98" s="78"/>
      <c r="CX98" s="33"/>
      <c r="CY98" s="33"/>
      <c r="CZ98" s="33"/>
    </row>
    <row r="99" spans="1:104" ht="13.9" customHeight="1" x14ac:dyDescent="0.2">
      <c r="A99" s="102"/>
      <c r="B99" s="102"/>
      <c r="C99" s="102"/>
      <c r="D99" s="130"/>
      <c r="E99" s="130"/>
      <c r="F99" s="130"/>
      <c r="G99" s="130"/>
      <c r="H99" s="130"/>
      <c r="I99" s="130"/>
      <c r="J99" s="130"/>
      <c r="K99" s="130"/>
      <c r="L99" s="130"/>
      <c r="M99" s="130"/>
      <c r="N99" s="130"/>
      <c r="O99" s="130"/>
      <c r="P99" s="130"/>
      <c r="Q99" s="130"/>
      <c r="R99" s="130"/>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c r="BL99" s="78"/>
      <c r="BM99" s="78"/>
      <c r="BN99" s="78"/>
      <c r="BO99" s="78"/>
      <c r="BP99" s="78"/>
      <c r="BQ99" s="78"/>
      <c r="BR99" s="78"/>
      <c r="BS99" s="78"/>
      <c r="BT99" s="78"/>
      <c r="BU99" s="78"/>
      <c r="BV99" s="78"/>
      <c r="BW99" s="78"/>
      <c r="BX99" s="78"/>
      <c r="BY99" s="78"/>
      <c r="BZ99" s="78"/>
    </row>
    <row r="100" spans="1:104" ht="13.9" customHeight="1" x14ac:dyDescent="0.2">
      <c r="A100" s="426" t="s">
        <v>114</v>
      </c>
      <c r="B100" s="426"/>
      <c r="C100" s="101"/>
      <c r="D100" s="130"/>
      <c r="E100" s="130"/>
      <c r="F100" s="130"/>
      <c r="G100" s="130"/>
      <c r="H100" s="130"/>
      <c r="I100" s="130"/>
      <c r="J100" s="130"/>
      <c r="K100" s="130"/>
      <c r="L100" s="130"/>
      <c r="M100" s="130"/>
      <c r="N100" s="130"/>
      <c r="O100" s="130"/>
      <c r="P100" s="130"/>
      <c r="Q100" s="130"/>
      <c r="R100" s="130"/>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8"/>
      <c r="BU100" s="78"/>
      <c r="BV100" s="78"/>
      <c r="BW100" s="78"/>
      <c r="BX100" s="78"/>
      <c r="BY100" s="78"/>
      <c r="BZ100" s="78"/>
    </row>
    <row r="101" spans="1:104" ht="13.9" customHeight="1" x14ac:dyDescent="0.2">
      <c r="A101" s="133" t="s">
        <v>163</v>
      </c>
      <c r="B101" s="291">
        <f>(C97/B97)^(1/(2041-2021))-1</f>
        <v>1.7018921708721324E-2</v>
      </c>
      <c r="C101" s="101"/>
      <c r="D101" s="130"/>
      <c r="E101" s="130"/>
      <c r="F101" s="130"/>
      <c r="G101" s="130"/>
      <c r="H101" s="130"/>
      <c r="I101" s="130"/>
      <c r="J101" s="130"/>
      <c r="K101" s="130"/>
      <c r="L101" s="130"/>
      <c r="M101" s="130"/>
      <c r="N101" s="130"/>
      <c r="O101" s="130"/>
      <c r="P101" s="130"/>
      <c r="Q101" s="130"/>
      <c r="R101" s="130"/>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row>
    <row r="102" spans="1:104" ht="13.9" customHeight="1" x14ac:dyDescent="0.2">
      <c r="A102" s="133" t="s">
        <v>115</v>
      </c>
      <c r="B102" s="291">
        <v>0.24</v>
      </c>
      <c r="C102" s="101"/>
      <c r="D102" s="130"/>
      <c r="E102" s="130"/>
      <c r="F102" s="130"/>
      <c r="G102" s="130"/>
      <c r="H102" s="130"/>
      <c r="I102" s="130"/>
      <c r="J102" s="130"/>
      <c r="K102" s="130"/>
      <c r="L102" s="130"/>
      <c r="M102" s="130"/>
      <c r="N102" s="130"/>
      <c r="O102" s="130"/>
      <c r="P102" s="130"/>
      <c r="Q102" s="130"/>
      <c r="R102" s="130"/>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8"/>
      <c r="BM102" s="78"/>
      <c r="BN102" s="78"/>
      <c r="BO102" s="78"/>
      <c r="BP102" s="78"/>
      <c r="BQ102" s="78"/>
      <c r="BR102" s="78"/>
      <c r="BS102" s="78"/>
      <c r="BT102" s="78"/>
      <c r="BU102" s="78"/>
      <c r="BV102" s="78"/>
      <c r="BW102" s="78"/>
      <c r="BX102" s="78"/>
      <c r="BY102" s="78"/>
      <c r="BZ102" s="78"/>
    </row>
    <row r="103" spans="1:104" ht="13.9" customHeight="1" x14ac:dyDescent="0.2">
      <c r="A103" s="133" t="s">
        <v>116</v>
      </c>
      <c r="B103" s="291">
        <f>B102</f>
        <v>0.24</v>
      </c>
      <c r="C103" s="101"/>
      <c r="D103" s="130"/>
      <c r="E103" s="130"/>
      <c r="F103" s="130"/>
      <c r="G103" s="130"/>
      <c r="H103" s="130"/>
      <c r="I103" s="130"/>
      <c r="J103" s="130"/>
      <c r="K103" s="130"/>
      <c r="L103" s="130"/>
      <c r="M103" s="130"/>
      <c r="N103" s="130"/>
      <c r="O103" s="130"/>
      <c r="P103" s="130"/>
      <c r="Q103" s="130"/>
      <c r="R103" s="130"/>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8"/>
      <c r="BR103" s="78"/>
      <c r="BS103" s="78"/>
      <c r="BT103" s="78"/>
      <c r="BU103" s="78"/>
      <c r="BV103" s="78"/>
      <c r="BW103" s="78"/>
      <c r="BX103" s="78"/>
      <c r="BY103" s="78"/>
      <c r="BZ103" s="78"/>
    </row>
    <row r="104" spans="1:104" ht="13.9" customHeight="1" x14ac:dyDescent="0.2">
      <c r="A104" s="435" t="s">
        <v>45</v>
      </c>
      <c r="B104" s="435"/>
      <c r="C104" s="101"/>
      <c r="D104" s="130"/>
      <c r="E104" s="130"/>
      <c r="F104" s="130"/>
      <c r="G104" s="130"/>
      <c r="H104" s="130"/>
      <c r="I104" s="130"/>
      <c r="J104" s="130"/>
      <c r="K104" s="130"/>
      <c r="L104" s="130"/>
      <c r="M104" s="130"/>
      <c r="N104" s="130"/>
      <c r="O104" s="130"/>
      <c r="P104" s="130"/>
      <c r="Q104" s="130"/>
      <c r="R104" s="130"/>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c r="BM104" s="78"/>
      <c r="BN104" s="78"/>
      <c r="BO104" s="78"/>
      <c r="BP104" s="78"/>
      <c r="BQ104" s="78"/>
      <c r="BR104" s="78"/>
      <c r="BS104" s="78"/>
      <c r="BT104" s="78"/>
      <c r="BU104" s="78"/>
      <c r="BV104" s="78"/>
      <c r="BW104" s="78"/>
      <c r="BX104" s="78"/>
      <c r="BY104" s="78"/>
      <c r="BZ104" s="78"/>
    </row>
    <row r="105" spans="1:104" ht="13.9" customHeight="1" x14ac:dyDescent="0.2">
      <c r="A105" s="130"/>
      <c r="B105" s="130"/>
      <c r="C105" s="130"/>
      <c r="D105" s="130"/>
      <c r="E105" s="130"/>
      <c r="G105" s="130"/>
      <c r="H105" s="130"/>
      <c r="I105" s="130"/>
      <c r="J105" s="130"/>
      <c r="K105" s="130"/>
      <c r="L105" s="130"/>
      <c r="M105" s="130"/>
      <c r="N105" s="130"/>
      <c r="O105" s="130"/>
      <c r="P105" s="130"/>
      <c r="Q105" s="130"/>
      <c r="R105" s="130"/>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c r="BI105" s="78"/>
      <c r="BJ105" s="78"/>
      <c r="BK105" s="78"/>
      <c r="BL105" s="78"/>
      <c r="BM105" s="78"/>
      <c r="BN105" s="78"/>
      <c r="BO105" s="78"/>
      <c r="BP105" s="78"/>
      <c r="BQ105" s="78"/>
      <c r="BR105" s="78"/>
      <c r="BS105" s="78"/>
      <c r="BT105" s="78"/>
      <c r="BU105" s="78"/>
      <c r="BV105" s="78"/>
      <c r="BW105" s="78"/>
      <c r="BX105" s="78"/>
      <c r="BY105" s="78"/>
      <c r="BZ105" s="78"/>
    </row>
    <row r="106" spans="1:104" ht="13.9" customHeight="1" x14ac:dyDescent="0.2">
      <c r="A106" s="426" t="s">
        <v>117</v>
      </c>
      <c r="B106" s="426"/>
      <c r="C106" s="425"/>
      <c r="D106" s="130"/>
      <c r="E106" s="130"/>
      <c r="F106" s="130"/>
      <c r="G106" s="130"/>
      <c r="H106" s="130"/>
      <c r="I106" s="130"/>
      <c r="J106" s="130"/>
      <c r="K106" s="130"/>
      <c r="L106" s="130"/>
      <c r="M106" s="130"/>
      <c r="N106" s="130"/>
      <c r="O106" s="130"/>
      <c r="P106" s="130"/>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c r="BN106" s="78"/>
      <c r="BO106" s="78"/>
      <c r="BP106" s="78"/>
      <c r="BQ106" s="78"/>
      <c r="BR106" s="78"/>
      <c r="BS106" s="78"/>
      <c r="BT106" s="78"/>
      <c r="BU106" s="78"/>
      <c r="BV106" s="78"/>
      <c r="BW106" s="78"/>
      <c r="BX106" s="78"/>
      <c r="BY106" s="78"/>
      <c r="BZ106" s="78"/>
    </row>
    <row r="107" spans="1:104" ht="13.9" customHeight="1" x14ac:dyDescent="0.2">
      <c r="A107" s="136"/>
      <c r="B107" s="221" t="s">
        <v>184</v>
      </c>
      <c r="C107" s="221" t="s">
        <v>185</v>
      </c>
      <c r="D107" s="130"/>
      <c r="E107" s="130"/>
      <c r="F107" s="130"/>
      <c r="G107" s="130"/>
      <c r="H107" s="130"/>
      <c r="I107" s="130"/>
      <c r="J107" s="130"/>
      <c r="K107" s="130"/>
      <c r="L107" s="130"/>
      <c r="M107" s="130"/>
      <c r="N107" s="130"/>
      <c r="O107" s="130"/>
      <c r="P107" s="130"/>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c r="BM107" s="78"/>
      <c r="BN107" s="78"/>
      <c r="BO107" s="78"/>
      <c r="BP107" s="78"/>
      <c r="BQ107" s="78"/>
      <c r="BR107" s="78"/>
      <c r="BS107" s="78"/>
      <c r="BT107" s="78"/>
      <c r="BU107" s="78"/>
      <c r="BV107" s="78"/>
      <c r="BW107" s="78"/>
      <c r="BX107" s="78"/>
      <c r="BY107" s="78"/>
      <c r="BZ107" s="78"/>
    </row>
    <row r="108" spans="1:104" ht="13.9" customHeight="1" x14ac:dyDescent="0.2">
      <c r="A108" s="134" t="s">
        <v>118</v>
      </c>
      <c r="B108" s="292">
        <f>(4.2+4.7)/2</f>
        <v>4.45</v>
      </c>
      <c r="C108" s="292">
        <v>2.7</v>
      </c>
      <c r="D108" s="130"/>
      <c r="E108" s="130"/>
      <c r="F108" s="130"/>
      <c r="G108" s="130"/>
      <c r="H108" s="130"/>
      <c r="I108" s="130"/>
      <c r="J108" s="130"/>
      <c r="K108" s="130"/>
      <c r="L108" s="130"/>
      <c r="M108" s="130"/>
      <c r="N108" s="130"/>
      <c r="O108" s="130"/>
      <c r="P108" s="130"/>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c r="BM108" s="78"/>
      <c r="BN108" s="78"/>
      <c r="BO108" s="78"/>
      <c r="BP108" s="78"/>
      <c r="BQ108" s="78"/>
      <c r="BR108" s="78"/>
      <c r="BS108" s="78"/>
      <c r="BT108" s="78"/>
      <c r="BU108" s="78"/>
      <c r="BV108" s="78"/>
      <c r="BW108" s="78"/>
      <c r="BX108" s="78"/>
      <c r="BY108" s="78"/>
      <c r="BZ108" s="78"/>
    </row>
    <row r="109" spans="1:104" ht="13.9" customHeight="1" x14ac:dyDescent="0.2">
      <c r="A109" s="134" t="s">
        <v>119</v>
      </c>
      <c r="B109" s="293">
        <v>70</v>
      </c>
      <c r="C109" s="293">
        <v>70</v>
      </c>
      <c r="D109" s="130"/>
      <c r="E109" s="130"/>
      <c r="F109" s="130"/>
      <c r="G109" s="130"/>
      <c r="H109" s="130"/>
      <c r="I109" s="130"/>
      <c r="J109" s="130"/>
      <c r="K109" s="130"/>
      <c r="L109" s="130"/>
      <c r="M109" s="130"/>
      <c r="N109" s="130"/>
      <c r="O109" s="130"/>
      <c r="P109" s="130"/>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8"/>
      <c r="BU109" s="78"/>
      <c r="BV109" s="78"/>
      <c r="BW109" s="78"/>
      <c r="BX109" s="78"/>
      <c r="BY109" s="78"/>
      <c r="BZ109" s="78"/>
    </row>
    <row r="110" spans="1:104" ht="13.9" customHeight="1" x14ac:dyDescent="0.2">
      <c r="A110" s="287" t="s">
        <v>120</v>
      </c>
      <c r="B110" s="294">
        <f>((12+8)/2)/60</f>
        <v>0.16666666666666666</v>
      </c>
      <c r="C110" s="294">
        <f>3/60</f>
        <v>0.05</v>
      </c>
      <c r="D110" s="278"/>
      <c r="E110" s="130"/>
      <c r="F110" s="130"/>
      <c r="G110" s="130"/>
      <c r="H110" s="130"/>
      <c r="I110" s="130"/>
      <c r="J110" s="130"/>
      <c r="K110" s="130"/>
      <c r="L110" s="130"/>
      <c r="M110" s="130"/>
      <c r="N110" s="130"/>
      <c r="O110" s="130"/>
      <c r="P110" s="130"/>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78"/>
      <c r="BR110" s="78"/>
      <c r="BS110" s="78"/>
      <c r="BT110" s="78"/>
      <c r="BU110" s="78"/>
      <c r="BV110" s="78"/>
      <c r="BW110" s="78"/>
      <c r="BX110" s="78"/>
      <c r="BY110" s="78"/>
      <c r="BZ110" s="78"/>
    </row>
    <row r="111" spans="1:104" ht="13.9" customHeight="1" x14ac:dyDescent="0.2">
      <c r="A111" s="438" t="s">
        <v>171</v>
      </c>
      <c r="B111" s="439"/>
      <c r="C111" s="440"/>
      <c r="D111" s="130"/>
      <c r="E111" s="130"/>
      <c r="F111" s="130"/>
      <c r="G111" s="130"/>
      <c r="H111" s="130"/>
      <c r="I111" s="130"/>
      <c r="J111" s="130"/>
      <c r="K111" s="130"/>
      <c r="L111" s="130"/>
      <c r="M111" s="130"/>
      <c r="N111" s="130"/>
      <c r="O111" s="130"/>
      <c r="P111" s="130"/>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row>
    <row r="112" spans="1:104" ht="13.9" customHeight="1" x14ac:dyDescent="0.2">
      <c r="A112" s="288" t="s">
        <v>220</v>
      </c>
      <c r="B112" s="289"/>
      <c r="C112" s="290"/>
      <c r="D112" s="130"/>
      <c r="E112" s="130"/>
      <c r="F112" s="130"/>
      <c r="G112" s="130"/>
      <c r="H112" s="130"/>
      <c r="I112" s="130"/>
      <c r="J112" s="130"/>
      <c r="K112" s="130"/>
      <c r="L112" s="130"/>
      <c r="M112" s="130"/>
      <c r="N112" s="130"/>
      <c r="O112" s="130"/>
      <c r="P112" s="130"/>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c r="BM112" s="78"/>
      <c r="BN112" s="78"/>
      <c r="BO112" s="78"/>
      <c r="BP112" s="78"/>
      <c r="BQ112" s="78"/>
      <c r="BR112" s="78"/>
      <c r="BS112" s="78"/>
      <c r="BT112" s="78"/>
      <c r="BU112" s="78"/>
      <c r="BV112" s="78"/>
      <c r="BW112" s="78"/>
      <c r="BX112" s="78"/>
      <c r="BY112" s="78"/>
      <c r="BZ112" s="78"/>
    </row>
    <row r="113" spans="1:105" ht="13.9" customHeight="1" x14ac:dyDescent="0.2">
      <c r="A113" s="130"/>
      <c r="B113" s="130"/>
      <c r="C113" s="130"/>
      <c r="D113" s="130"/>
      <c r="E113" s="130"/>
      <c r="F113" s="130"/>
      <c r="G113" s="130"/>
      <c r="H113" s="130"/>
      <c r="I113" s="130"/>
      <c r="J113" s="130"/>
      <c r="K113" s="130"/>
      <c r="L113" s="130"/>
      <c r="M113" s="130"/>
      <c r="N113" s="130"/>
      <c r="O113" s="130"/>
      <c r="P113" s="130"/>
      <c r="Q113" s="130"/>
      <c r="R113" s="130"/>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8"/>
      <c r="BT113" s="78"/>
      <c r="BU113" s="78"/>
      <c r="BV113" s="78"/>
      <c r="BW113" s="78"/>
      <c r="BX113" s="78"/>
      <c r="BY113" s="78"/>
      <c r="BZ113" s="78"/>
    </row>
    <row r="114" spans="1:105" ht="13.9" customHeight="1" x14ac:dyDescent="0.2">
      <c r="A114" s="425" t="s">
        <v>121</v>
      </c>
      <c r="B114" s="425"/>
      <c r="C114" s="187"/>
      <c r="D114" s="129"/>
      <c r="E114" s="137"/>
      <c r="F114" s="89"/>
      <c r="G114" s="89"/>
      <c r="H114" s="138"/>
      <c r="I114" s="89"/>
      <c r="J114" s="89"/>
      <c r="K114" s="130"/>
      <c r="L114" s="130"/>
      <c r="M114" s="130"/>
      <c r="N114" s="130"/>
      <c r="O114" s="132"/>
      <c r="P114" s="132"/>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78"/>
      <c r="BU114" s="78"/>
      <c r="BV114" s="78"/>
      <c r="BW114" s="78"/>
      <c r="BX114" s="78"/>
      <c r="BY114" s="78"/>
      <c r="BZ114" s="78"/>
      <c r="DA114" s="78"/>
    </row>
    <row r="115" spans="1:105" ht="13.9" customHeight="1" x14ac:dyDescent="0.2">
      <c r="A115" s="134" t="s">
        <v>232</v>
      </c>
      <c r="B115" s="295">
        <v>32</v>
      </c>
      <c r="C115" s="187"/>
      <c r="D115" s="137"/>
      <c r="E115" s="138"/>
      <c r="F115" s="89"/>
      <c r="G115" s="89"/>
      <c r="H115" s="138"/>
      <c r="I115" s="89"/>
      <c r="J115" s="89"/>
      <c r="K115" s="130"/>
      <c r="L115" s="130"/>
      <c r="M115" s="130"/>
      <c r="N115" s="130"/>
      <c r="O115" s="132"/>
      <c r="P115" s="132"/>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8"/>
      <c r="BR115" s="78"/>
      <c r="BS115" s="78"/>
      <c r="BT115" s="78"/>
      <c r="BU115" s="78"/>
      <c r="BV115" s="78"/>
      <c r="BW115" s="78"/>
      <c r="BX115" s="78"/>
      <c r="BY115" s="78"/>
      <c r="BZ115" s="78"/>
      <c r="DA115" s="78"/>
    </row>
    <row r="116" spans="1:105" ht="13.9" customHeight="1" x14ac:dyDescent="0.2">
      <c r="A116" s="134" t="s">
        <v>233</v>
      </c>
      <c r="B116" s="295">
        <v>17.8</v>
      </c>
      <c r="C116" s="187"/>
      <c r="D116" s="137"/>
      <c r="E116" s="137"/>
      <c r="F116" s="89"/>
      <c r="G116" s="89"/>
      <c r="H116" s="138"/>
      <c r="I116" s="89"/>
      <c r="J116" s="89"/>
      <c r="K116" s="130"/>
      <c r="L116" s="130"/>
      <c r="M116" s="130"/>
      <c r="N116" s="130"/>
      <c r="O116" s="130"/>
      <c r="P116" s="130"/>
      <c r="Q116" s="130"/>
      <c r="R116" s="139"/>
      <c r="S116" s="131"/>
      <c r="T116" s="131"/>
      <c r="U116" s="131"/>
      <c r="V116" s="132"/>
      <c r="W116" s="132"/>
      <c r="X116" s="132"/>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78"/>
      <c r="BR116" s="78"/>
      <c r="BS116" s="78"/>
      <c r="BT116" s="78"/>
      <c r="BU116" s="78"/>
      <c r="BV116" s="78"/>
      <c r="BW116" s="78"/>
      <c r="BX116" s="78"/>
      <c r="BY116" s="78"/>
      <c r="BZ116" s="78"/>
      <c r="DA116" s="78"/>
    </row>
    <row r="117" spans="1:105" x14ac:dyDescent="0.2">
      <c r="A117" s="134" t="s">
        <v>122</v>
      </c>
      <c r="B117" s="295">
        <v>0.94</v>
      </c>
      <c r="C117" s="187"/>
      <c r="D117" s="137"/>
      <c r="E117" s="78"/>
      <c r="F117" s="89"/>
      <c r="G117" s="89"/>
      <c r="H117" s="138"/>
      <c r="I117" s="89"/>
      <c r="J117" s="89"/>
      <c r="K117" s="130"/>
      <c r="L117" s="130"/>
      <c r="M117" s="130"/>
      <c r="N117" s="130"/>
      <c r="O117" s="79"/>
      <c r="P117" s="140"/>
      <c r="Q117" s="79"/>
      <c r="R117" s="140"/>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8"/>
      <c r="BM117" s="78"/>
      <c r="BN117" s="78"/>
      <c r="BO117" s="78"/>
      <c r="BP117" s="78"/>
      <c r="BQ117" s="78"/>
      <c r="BR117" s="78"/>
      <c r="BS117" s="78"/>
      <c r="BT117" s="78"/>
      <c r="BU117" s="78"/>
      <c r="BV117" s="78"/>
      <c r="BW117" s="78"/>
      <c r="BX117" s="78"/>
      <c r="BY117" s="78"/>
      <c r="BZ117" s="78"/>
      <c r="DA117" s="78"/>
    </row>
    <row r="118" spans="1:105" x14ac:dyDescent="0.2">
      <c r="A118" s="134" t="s">
        <v>123</v>
      </c>
      <c r="B118" s="295">
        <v>0.45</v>
      </c>
      <c r="C118" s="187"/>
      <c r="D118" s="137"/>
      <c r="E118" s="78"/>
      <c r="F118" s="78"/>
      <c r="G118" s="78"/>
      <c r="H118" s="138"/>
      <c r="I118" s="127"/>
      <c r="J118" s="126"/>
      <c r="K118" s="130"/>
      <c r="L118" s="130"/>
      <c r="M118" s="130"/>
      <c r="N118" s="130"/>
      <c r="O118" s="79"/>
      <c r="P118" s="140"/>
      <c r="Q118" s="79"/>
      <c r="R118" s="140"/>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78"/>
      <c r="BF118" s="78"/>
      <c r="BG118" s="78"/>
      <c r="BH118" s="78"/>
      <c r="BI118" s="78"/>
      <c r="BJ118" s="78"/>
      <c r="BK118" s="78"/>
      <c r="BL118" s="78"/>
      <c r="BM118" s="78"/>
      <c r="BN118" s="78"/>
      <c r="BO118" s="78"/>
      <c r="BP118" s="78"/>
      <c r="BQ118" s="78"/>
      <c r="BR118" s="78"/>
      <c r="BS118" s="78"/>
      <c r="BT118" s="78"/>
      <c r="BU118" s="78"/>
      <c r="BV118" s="78"/>
      <c r="BW118" s="78"/>
      <c r="BX118" s="78"/>
      <c r="BY118" s="78"/>
      <c r="BZ118" s="78"/>
      <c r="DA118" s="78"/>
    </row>
    <row r="119" spans="1:105" x14ac:dyDescent="0.2">
      <c r="A119" s="441" t="s">
        <v>234</v>
      </c>
      <c r="B119" s="442"/>
      <c r="C119" s="78"/>
      <c r="D119" s="78"/>
      <c r="E119" s="78"/>
      <c r="F119" s="78"/>
      <c r="G119" s="78"/>
      <c r="H119" s="89"/>
      <c r="I119" s="89"/>
      <c r="J119" s="89"/>
      <c r="K119" s="130"/>
      <c r="L119" s="130"/>
      <c r="M119" s="130"/>
      <c r="N119" s="130"/>
      <c r="O119" s="140"/>
      <c r="P119" s="79"/>
      <c r="Q119" s="140"/>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c r="BE119" s="78"/>
      <c r="BF119" s="78"/>
      <c r="BG119" s="78"/>
      <c r="BH119" s="78"/>
      <c r="BI119" s="78"/>
      <c r="BJ119" s="78"/>
      <c r="BK119" s="78"/>
      <c r="BL119" s="78"/>
      <c r="BM119" s="78"/>
      <c r="BN119" s="78"/>
      <c r="BO119" s="78"/>
      <c r="BP119" s="78"/>
      <c r="BQ119" s="78"/>
      <c r="BR119" s="78"/>
      <c r="BS119" s="78"/>
      <c r="BT119" s="78"/>
      <c r="BU119" s="78"/>
      <c r="BV119" s="78"/>
      <c r="BW119" s="78"/>
      <c r="BX119" s="78"/>
      <c r="BY119" s="78"/>
      <c r="BZ119" s="78"/>
    </row>
    <row r="120" spans="1:105" ht="13.15" customHeight="1" x14ac:dyDescent="0.2">
      <c r="A120" s="78"/>
      <c r="B120" s="78"/>
      <c r="C120" s="78"/>
      <c r="D120" s="78"/>
      <c r="E120" s="78"/>
      <c r="F120" s="78"/>
      <c r="G120" s="78"/>
      <c r="H120" s="78"/>
      <c r="I120" s="78"/>
      <c r="J120" s="78"/>
      <c r="K120" s="89"/>
      <c r="L120" s="135"/>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c r="BL120" s="78"/>
      <c r="BM120" s="78"/>
      <c r="BN120" s="78"/>
      <c r="BO120" s="78"/>
      <c r="BP120" s="78"/>
      <c r="BQ120" s="78"/>
      <c r="BR120" s="78"/>
      <c r="BS120" s="78"/>
      <c r="BT120" s="78"/>
      <c r="BU120" s="78"/>
      <c r="BV120" s="78"/>
      <c r="BW120" s="78"/>
      <c r="BX120" s="78"/>
      <c r="BY120" s="78"/>
      <c r="BZ120" s="78"/>
    </row>
    <row r="121" spans="1:105" ht="13.15" customHeight="1" x14ac:dyDescent="0.2">
      <c r="A121" s="395" t="s">
        <v>86</v>
      </c>
      <c r="B121" s="395"/>
      <c r="C121" s="78"/>
      <c r="D121" s="78"/>
      <c r="E121" s="78"/>
      <c r="F121" s="78"/>
      <c r="G121" s="78"/>
      <c r="H121" s="78"/>
      <c r="I121" s="78"/>
      <c r="J121" s="78"/>
      <c r="K121" s="78"/>
      <c r="L121" s="135"/>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8"/>
      <c r="BR121" s="78"/>
      <c r="BS121" s="78"/>
      <c r="BT121" s="78"/>
      <c r="BU121" s="78"/>
      <c r="BV121" s="78"/>
      <c r="BW121" s="78"/>
      <c r="BX121" s="78"/>
      <c r="BY121" s="78"/>
      <c r="BZ121" s="78"/>
    </row>
    <row r="122" spans="1:105" x14ac:dyDescent="0.2">
      <c r="A122" s="279" t="s">
        <v>87</v>
      </c>
      <c r="B122" s="279" t="s">
        <v>88</v>
      </c>
      <c r="C122" s="78"/>
      <c r="D122" s="78"/>
      <c r="E122" s="78"/>
      <c r="F122" s="78"/>
      <c r="G122" s="78"/>
      <c r="H122" s="78"/>
      <c r="I122" s="78"/>
      <c r="J122" s="78"/>
      <c r="K122" s="89"/>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c r="BL122" s="78"/>
      <c r="BM122" s="78"/>
      <c r="BN122" s="78"/>
      <c r="BO122" s="78"/>
      <c r="BP122" s="78"/>
      <c r="BQ122" s="78"/>
      <c r="BR122" s="78"/>
      <c r="BS122" s="78"/>
      <c r="BT122" s="78"/>
      <c r="BU122" s="78"/>
      <c r="BV122" s="78"/>
      <c r="BW122" s="78"/>
      <c r="BX122" s="78"/>
      <c r="BY122" s="78"/>
      <c r="BZ122" s="78"/>
    </row>
    <row r="123" spans="1:105" x14ac:dyDescent="0.2">
      <c r="A123" s="151" t="s">
        <v>89</v>
      </c>
      <c r="B123" s="310">
        <v>1.67</v>
      </c>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c r="BF123" s="78"/>
      <c r="BG123" s="78"/>
      <c r="BH123" s="78"/>
      <c r="BI123" s="78"/>
      <c r="BJ123" s="78"/>
      <c r="BK123" s="78"/>
      <c r="BL123" s="78"/>
      <c r="BM123" s="78"/>
      <c r="BN123" s="78"/>
      <c r="BO123" s="78"/>
      <c r="BP123" s="78"/>
      <c r="BQ123" s="78"/>
      <c r="BR123" s="78"/>
      <c r="BS123" s="78"/>
      <c r="BT123" s="78"/>
      <c r="BU123" s="78"/>
      <c r="BV123" s="78"/>
      <c r="BW123" s="78"/>
      <c r="BX123" s="78"/>
      <c r="BY123" s="78"/>
      <c r="BZ123" s="78"/>
    </row>
    <row r="124" spans="1:105" x14ac:dyDescent="0.2">
      <c r="A124" s="152" t="s">
        <v>90</v>
      </c>
      <c r="B124" s="311">
        <v>1</v>
      </c>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c r="BE124" s="78"/>
      <c r="BF124" s="78"/>
      <c r="BG124" s="78"/>
      <c r="BH124" s="78"/>
      <c r="BI124" s="78"/>
      <c r="BJ124" s="78"/>
      <c r="BK124" s="78"/>
      <c r="BL124" s="78"/>
      <c r="BM124" s="78"/>
      <c r="BN124" s="78"/>
      <c r="BO124" s="78"/>
      <c r="BP124" s="78"/>
      <c r="BQ124" s="78"/>
      <c r="BR124" s="78"/>
      <c r="BS124" s="78"/>
      <c r="BT124" s="78"/>
      <c r="BU124" s="78"/>
      <c r="BV124" s="78"/>
      <c r="BW124" s="78"/>
      <c r="BX124" s="78"/>
      <c r="BY124" s="78"/>
      <c r="BZ124" s="78"/>
    </row>
    <row r="125" spans="1:105" x14ac:dyDescent="0.2">
      <c r="A125" s="419" t="s">
        <v>237</v>
      </c>
      <c r="B125" s="419"/>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c r="BL125" s="78"/>
      <c r="BM125" s="78"/>
      <c r="BN125" s="78"/>
      <c r="BO125" s="78"/>
      <c r="BP125" s="78"/>
      <c r="BQ125" s="78"/>
      <c r="BR125" s="78"/>
      <c r="BS125" s="78"/>
      <c r="BT125" s="78"/>
      <c r="BU125" s="78"/>
      <c r="BV125" s="78"/>
      <c r="BW125" s="78"/>
      <c r="BX125" s="78"/>
      <c r="BY125" s="78"/>
      <c r="BZ125" s="78"/>
    </row>
    <row r="126" spans="1:105" x14ac:dyDescent="0.2">
      <c r="A126" s="78"/>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c r="BI126" s="78"/>
      <c r="BJ126" s="78"/>
      <c r="BK126" s="78"/>
      <c r="BL126" s="78"/>
      <c r="BM126" s="78"/>
      <c r="BN126" s="78"/>
      <c r="BO126" s="78"/>
      <c r="BP126" s="78"/>
      <c r="BQ126" s="78"/>
      <c r="BR126" s="78"/>
      <c r="BS126" s="78"/>
      <c r="BT126" s="78"/>
      <c r="BU126" s="78"/>
      <c r="BV126" s="78"/>
      <c r="BW126" s="78"/>
      <c r="BX126" s="78"/>
      <c r="BY126" s="78"/>
      <c r="BZ126" s="78"/>
    </row>
    <row r="127" spans="1:105" x14ac:dyDescent="0.2">
      <c r="A127" s="78"/>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c r="BI127" s="78"/>
      <c r="BJ127" s="78"/>
      <c r="BK127" s="78"/>
      <c r="BL127" s="78"/>
      <c r="BM127" s="78"/>
      <c r="BN127" s="78"/>
      <c r="BO127" s="78"/>
      <c r="BP127" s="78"/>
      <c r="BQ127" s="78"/>
      <c r="BR127" s="78"/>
      <c r="BS127" s="78"/>
      <c r="BT127" s="78"/>
      <c r="BU127" s="78"/>
      <c r="BV127" s="78"/>
      <c r="BW127" s="78"/>
      <c r="BX127" s="78"/>
      <c r="BY127" s="78"/>
      <c r="BZ127" s="78"/>
    </row>
    <row r="128" spans="1:105" x14ac:dyDescent="0.2">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8"/>
      <c r="BR128" s="78"/>
      <c r="BS128" s="78"/>
      <c r="BT128" s="78"/>
      <c r="BU128" s="78"/>
      <c r="BV128" s="78"/>
      <c r="BW128" s="78"/>
      <c r="BX128" s="78"/>
      <c r="BY128" s="78"/>
      <c r="BZ128" s="78"/>
    </row>
    <row r="129" spans="1:78" x14ac:dyDescent="0.2">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c r="BI129" s="78"/>
      <c r="BJ129" s="78"/>
      <c r="BK129" s="78"/>
      <c r="BL129" s="78"/>
      <c r="BM129" s="78"/>
      <c r="BN129" s="78"/>
      <c r="BO129" s="78"/>
      <c r="BP129" s="78"/>
      <c r="BQ129" s="78"/>
      <c r="BR129" s="78"/>
      <c r="BS129" s="78"/>
      <c r="BT129" s="78"/>
      <c r="BU129" s="78"/>
      <c r="BV129" s="78"/>
      <c r="BW129" s="78"/>
      <c r="BX129" s="78"/>
      <c r="BY129" s="78"/>
      <c r="BZ129" s="78"/>
    </row>
    <row r="130" spans="1:78" x14ac:dyDescent="0.2">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78"/>
      <c r="BN130" s="78"/>
      <c r="BO130" s="78"/>
      <c r="BP130" s="78"/>
      <c r="BQ130" s="78"/>
      <c r="BR130" s="78"/>
      <c r="BS130" s="78"/>
      <c r="BT130" s="78"/>
      <c r="BU130" s="78"/>
      <c r="BV130" s="78"/>
      <c r="BW130" s="78"/>
      <c r="BX130" s="78"/>
      <c r="BY130" s="78"/>
      <c r="BZ130" s="78"/>
    </row>
    <row r="131" spans="1:78" x14ac:dyDescent="0.2">
      <c r="A131" s="78"/>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c r="BE131" s="78"/>
      <c r="BF131" s="78"/>
      <c r="BG131" s="78"/>
      <c r="BH131" s="78"/>
      <c r="BI131" s="78"/>
      <c r="BJ131" s="78"/>
      <c r="BK131" s="78"/>
      <c r="BL131" s="78"/>
      <c r="BM131" s="78"/>
      <c r="BN131" s="78"/>
      <c r="BO131" s="78"/>
      <c r="BP131" s="78"/>
      <c r="BQ131" s="78"/>
      <c r="BR131" s="78"/>
      <c r="BS131" s="78"/>
      <c r="BT131" s="78"/>
      <c r="BU131" s="78"/>
      <c r="BV131" s="78"/>
      <c r="BW131" s="78"/>
      <c r="BX131" s="78"/>
      <c r="BY131" s="78"/>
      <c r="BZ131" s="78"/>
    </row>
    <row r="132" spans="1:78" x14ac:dyDescent="0.2">
      <c r="A132" s="78"/>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c r="BI132" s="78"/>
      <c r="BJ132" s="78"/>
      <c r="BK132" s="78"/>
      <c r="BL132" s="78"/>
      <c r="BM132" s="78"/>
      <c r="BN132" s="78"/>
      <c r="BO132" s="78"/>
      <c r="BP132" s="78"/>
      <c r="BQ132" s="78"/>
      <c r="BR132" s="78"/>
      <c r="BS132" s="78"/>
      <c r="BT132" s="78"/>
      <c r="BU132" s="78"/>
      <c r="BV132" s="78"/>
      <c r="BW132" s="78"/>
      <c r="BX132" s="78"/>
      <c r="BY132" s="78"/>
      <c r="BZ132" s="78"/>
    </row>
    <row r="133" spans="1:78" x14ac:dyDescent="0.2">
      <c r="A133" s="78"/>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c r="BG133" s="78"/>
      <c r="BH133" s="78"/>
      <c r="BI133" s="78"/>
      <c r="BJ133" s="78"/>
      <c r="BK133" s="78"/>
      <c r="BL133" s="78"/>
      <c r="BM133" s="78"/>
      <c r="BN133" s="78"/>
      <c r="BO133" s="78"/>
      <c r="BP133" s="78"/>
      <c r="BQ133" s="78"/>
      <c r="BR133" s="78"/>
      <c r="BS133" s="78"/>
      <c r="BT133" s="78"/>
      <c r="BU133" s="78"/>
      <c r="BV133" s="78"/>
      <c r="BW133" s="78"/>
      <c r="BX133" s="78"/>
      <c r="BY133" s="78"/>
      <c r="BZ133" s="78"/>
    </row>
    <row r="134" spans="1:78" x14ac:dyDescent="0.2">
      <c r="A134" s="78"/>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c r="AQ134" s="78"/>
      <c r="AR134" s="78"/>
      <c r="AS134" s="78"/>
      <c r="AT134" s="78"/>
      <c r="AU134" s="78"/>
      <c r="AV134" s="78"/>
      <c r="AW134" s="78"/>
      <c r="AX134" s="78"/>
      <c r="AY134" s="78"/>
      <c r="AZ134" s="78"/>
      <c r="BA134" s="78"/>
      <c r="BB134" s="78"/>
      <c r="BC134" s="78"/>
      <c r="BD134" s="78"/>
      <c r="BE134" s="78"/>
      <c r="BF134" s="78"/>
      <c r="BG134" s="78"/>
      <c r="BH134" s="78"/>
      <c r="BI134" s="78"/>
      <c r="BJ134" s="78"/>
      <c r="BK134" s="78"/>
      <c r="BL134" s="78"/>
      <c r="BM134" s="78"/>
      <c r="BN134" s="78"/>
      <c r="BO134" s="78"/>
      <c r="BP134" s="78"/>
      <c r="BQ134" s="78"/>
      <c r="BR134" s="78"/>
      <c r="BS134" s="78"/>
      <c r="BT134" s="78"/>
      <c r="BU134" s="78"/>
      <c r="BV134" s="78"/>
      <c r="BW134" s="78"/>
      <c r="BX134" s="78"/>
      <c r="BY134" s="78"/>
      <c r="BZ134" s="78"/>
    </row>
    <row r="135" spans="1:78" x14ac:dyDescent="0.2">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c r="BI135" s="78"/>
      <c r="BJ135" s="78"/>
      <c r="BK135" s="78"/>
      <c r="BL135" s="78"/>
      <c r="BM135" s="78"/>
      <c r="BN135" s="78"/>
      <c r="BO135" s="78"/>
      <c r="BP135" s="78"/>
      <c r="BQ135" s="78"/>
      <c r="BR135" s="78"/>
      <c r="BS135" s="78"/>
      <c r="BT135" s="78"/>
      <c r="BU135" s="78"/>
      <c r="BV135" s="78"/>
      <c r="BW135" s="78"/>
      <c r="BX135" s="78"/>
      <c r="BY135" s="78"/>
      <c r="BZ135" s="78"/>
    </row>
    <row r="136" spans="1:78" x14ac:dyDescent="0.2">
      <c r="A136" s="78"/>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c r="BL136" s="78"/>
      <c r="BM136" s="78"/>
      <c r="BN136" s="78"/>
      <c r="BO136" s="78"/>
      <c r="BP136" s="78"/>
      <c r="BQ136" s="78"/>
      <c r="BR136" s="78"/>
      <c r="BS136" s="78"/>
      <c r="BT136" s="78"/>
      <c r="BU136" s="78"/>
      <c r="BV136" s="78"/>
      <c r="BW136" s="78"/>
      <c r="BX136" s="78"/>
      <c r="BY136" s="78"/>
      <c r="BZ136" s="78"/>
    </row>
    <row r="137" spans="1:78" x14ac:dyDescent="0.2">
      <c r="A137" s="78"/>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78"/>
      <c r="AS137" s="78"/>
      <c r="AT137" s="78"/>
      <c r="AU137" s="78"/>
      <c r="AV137" s="78"/>
      <c r="AW137" s="78"/>
      <c r="AX137" s="78"/>
      <c r="AY137" s="78"/>
      <c r="AZ137" s="78"/>
      <c r="BA137" s="78"/>
      <c r="BB137" s="78"/>
      <c r="BC137" s="78"/>
      <c r="BD137" s="78"/>
      <c r="BE137" s="78"/>
      <c r="BF137" s="78"/>
      <c r="BG137" s="78"/>
      <c r="BH137" s="78"/>
      <c r="BI137" s="78"/>
      <c r="BJ137" s="78"/>
      <c r="BK137" s="78"/>
      <c r="BL137" s="78"/>
      <c r="BM137" s="78"/>
      <c r="BN137" s="78"/>
      <c r="BO137" s="78"/>
      <c r="BP137" s="78"/>
      <c r="BQ137" s="78"/>
      <c r="BR137" s="78"/>
      <c r="BS137" s="78"/>
      <c r="BT137" s="78"/>
      <c r="BU137" s="78"/>
      <c r="BV137" s="78"/>
      <c r="BW137" s="78"/>
      <c r="BX137" s="78"/>
      <c r="BY137" s="78"/>
      <c r="BZ137" s="78"/>
    </row>
    <row r="138" spans="1:78" x14ac:dyDescent="0.2">
      <c r="A138" s="78"/>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78"/>
      <c r="AT138" s="78"/>
      <c r="AU138" s="78"/>
      <c r="AV138" s="78"/>
      <c r="AW138" s="78"/>
      <c r="AX138" s="78"/>
      <c r="AY138" s="78"/>
      <c r="AZ138" s="78"/>
      <c r="BA138" s="78"/>
      <c r="BB138" s="78"/>
      <c r="BC138" s="78"/>
      <c r="BD138" s="78"/>
      <c r="BE138" s="78"/>
      <c r="BF138" s="78"/>
      <c r="BG138" s="78"/>
      <c r="BH138" s="78"/>
      <c r="BI138" s="78"/>
      <c r="BJ138" s="78"/>
      <c r="BK138" s="78"/>
      <c r="BL138" s="78"/>
      <c r="BM138" s="78"/>
      <c r="BN138" s="78"/>
      <c r="BO138" s="78"/>
      <c r="BP138" s="78"/>
      <c r="BQ138" s="78"/>
      <c r="BR138" s="78"/>
      <c r="BS138" s="78"/>
      <c r="BT138" s="78"/>
      <c r="BU138" s="78"/>
      <c r="BV138" s="78"/>
      <c r="BW138" s="78"/>
      <c r="BX138" s="78"/>
      <c r="BY138" s="78"/>
      <c r="BZ138" s="78"/>
    </row>
    <row r="139" spans="1:78" x14ac:dyDescent="0.2">
      <c r="A139" s="78"/>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78"/>
      <c r="AN139" s="78"/>
      <c r="AO139" s="78"/>
      <c r="AP139" s="78"/>
      <c r="AQ139" s="78"/>
      <c r="AR139" s="78"/>
      <c r="AS139" s="78"/>
      <c r="AT139" s="78"/>
      <c r="AU139" s="78"/>
      <c r="AV139" s="78"/>
      <c r="AW139" s="78"/>
      <c r="AX139" s="78"/>
      <c r="AY139" s="78"/>
      <c r="AZ139" s="78"/>
      <c r="BA139" s="78"/>
      <c r="BB139" s="78"/>
      <c r="BC139" s="78"/>
      <c r="BD139" s="78"/>
      <c r="BE139" s="78"/>
      <c r="BF139" s="78"/>
      <c r="BG139" s="78"/>
      <c r="BH139" s="78"/>
      <c r="BI139" s="78"/>
      <c r="BJ139" s="78"/>
      <c r="BK139" s="78"/>
      <c r="BL139" s="78"/>
      <c r="BM139" s="78"/>
      <c r="BN139" s="78"/>
      <c r="BO139" s="78"/>
      <c r="BP139" s="78"/>
      <c r="BQ139" s="78"/>
      <c r="BR139" s="78"/>
      <c r="BS139" s="78"/>
      <c r="BT139" s="78"/>
      <c r="BU139" s="78"/>
      <c r="BV139" s="78"/>
      <c r="BW139" s="78"/>
      <c r="BX139" s="78"/>
      <c r="BY139" s="78"/>
      <c r="BZ139" s="78"/>
    </row>
    <row r="140" spans="1:78" x14ac:dyDescent="0.2">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8"/>
      <c r="BQ140" s="78"/>
      <c r="BR140" s="78"/>
      <c r="BS140" s="78"/>
      <c r="BT140" s="78"/>
      <c r="BU140" s="78"/>
      <c r="BV140" s="78"/>
      <c r="BW140" s="78"/>
      <c r="BX140" s="78"/>
      <c r="BY140" s="78"/>
      <c r="BZ140" s="78"/>
    </row>
    <row r="141" spans="1:78" x14ac:dyDescent="0.2">
      <c r="A141" s="78"/>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8"/>
      <c r="AP141" s="78"/>
      <c r="AQ141" s="78"/>
      <c r="AR141" s="78"/>
      <c r="AS141" s="78"/>
      <c r="AT141" s="78"/>
      <c r="AU141" s="78"/>
      <c r="AV141" s="78"/>
      <c r="AW141" s="78"/>
      <c r="AX141" s="78"/>
      <c r="AY141" s="78"/>
      <c r="AZ141" s="78"/>
      <c r="BA141" s="78"/>
      <c r="BB141" s="78"/>
      <c r="BC141" s="78"/>
      <c r="BD141" s="78"/>
      <c r="BE141" s="78"/>
      <c r="BF141" s="78"/>
      <c r="BG141" s="78"/>
      <c r="BH141" s="78"/>
      <c r="BI141" s="78"/>
      <c r="BJ141" s="78"/>
      <c r="BK141" s="78"/>
      <c r="BL141" s="78"/>
      <c r="BM141" s="78"/>
      <c r="BN141" s="78"/>
      <c r="BO141" s="78"/>
      <c r="BP141" s="78"/>
      <c r="BQ141" s="78"/>
      <c r="BR141" s="78"/>
      <c r="BS141" s="78"/>
      <c r="BT141" s="78"/>
      <c r="BU141" s="78"/>
      <c r="BV141" s="78"/>
      <c r="BW141" s="78"/>
      <c r="BX141" s="78"/>
      <c r="BY141" s="78"/>
      <c r="BZ141" s="78"/>
    </row>
    <row r="142" spans="1:78" x14ac:dyDescent="0.2">
      <c r="A142" s="78"/>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c r="AQ142" s="78"/>
      <c r="AR142" s="78"/>
      <c r="AS142" s="78"/>
      <c r="AT142" s="78"/>
      <c r="AU142" s="78"/>
      <c r="AV142" s="78"/>
      <c r="AW142" s="78"/>
      <c r="AX142" s="78"/>
      <c r="AY142" s="78"/>
      <c r="AZ142" s="78"/>
      <c r="BA142" s="78"/>
      <c r="BB142" s="78"/>
      <c r="BC142" s="78"/>
      <c r="BD142" s="78"/>
      <c r="BE142" s="78"/>
      <c r="BF142" s="78"/>
      <c r="BG142" s="78"/>
      <c r="BH142" s="78"/>
      <c r="BI142" s="78"/>
      <c r="BJ142" s="78"/>
      <c r="BK142" s="78"/>
      <c r="BL142" s="78"/>
      <c r="BM142" s="78"/>
      <c r="BN142" s="78"/>
      <c r="BO142" s="78"/>
      <c r="BP142" s="78"/>
      <c r="BQ142" s="78"/>
      <c r="BR142" s="78"/>
      <c r="BS142" s="78"/>
      <c r="BT142" s="78"/>
      <c r="BU142" s="78"/>
      <c r="BV142" s="78"/>
      <c r="BW142" s="78"/>
      <c r="BX142" s="78"/>
      <c r="BY142" s="78"/>
      <c r="BZ142" s="78"/>
    </row>
    <row r="143" spans="1:78" x14ac:dyDescent="0.2">
      <c r="A143" s="78"/>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c r="AM143" s="78"/>
      <c r="AN143" s="78"/>
      <c r="AO143" s="78"/>
      <c r="AP143" s="78"/>
      <c r="AQ143" s="78"/>
      <c r="AR143" s="78"/>
      <c r="AS143" s="78"/>
      <c r="AT143" s="78"/>
      <c r="AU143" s="78"/>
      <c r="AV143" s="78"/>
      <c r="AW143" s="78"/>
      <c r="AX143" s="78"/>
      <c r="AY143" s="78"/>
      <c r="AZ143" s="78"/>
      <c r="BA143" s="78"/>
      <c r="BB143" s="78"/>
      <c r="BC143" s="78"/>
      <c r="BD143" s="78"/>
      <c r="BE143" s="78"/>
      <c r="BF143" s="78"/>
      <c r="BG143" s="78"/>
      <c r="BH143" s="78"/>
      <c r="BI143" s="78"/>
      <c r="BJ143" s="78"/>
      <c r="BK143" s="78"/>
      <c r="BL143" s="78"/>
      <c r="BM143" s="78"/>
      <c r="BN143" s="78"/>
      <c r="BO143" s="78"/>
      <c r="BP143" s="78"/>
      <c r="BQ143" s="78"/>
      <c r="BR143" s="78"/>
      <c r="BS143" s="78"/>
      <c r="BT143" s="78"/>
      <c r="BU143" s="78"/>
      <c r="BV143" s="78"/>
      <c r="BW143" s="78"/>
      <c r="BX143" s="78"/>
      <c r="BY143" s="78"/>
      <c r="BZ143" s="78"/>
    </row>
    <row r="144" spans="1:78" x14ac:dyDescent="0.2">
      <c r="A144" s="78"/>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8"/>
      <c r="AW144" s="78"/>
      <c r="AX144" s="78"/>
      <c r="AY144" s="78"/>
      <c r="AZ144" s="78"/>
      <c r="BA144" s="78"/>
      <c r="BB144" s="78"/>
      <c r="BC144" s="78"/>
      <c r="BD144" s="78"/>
      <c r="BE144" s="78"/>
      <c r="BF144" s="78"/>
      <c r="BG144" s="78"/>
      <c r="BH144" s="78"/>
      <c r="BI144" s="78"/>
      <c r="BJ144" s="78"/>
      <c r="BK144" s="78"/>
      <c r="BL144" s="78"/>
      <c r="BM144" s="78"/>
      <c r="BN144" s="78"/>
      <c r="BO144" s="78"/>
      <c r="BP144" s="78"/>
      <c r="BQ144" s="78"/>
      <c r="BR144" s="78"/>
      <c r="BS144" s="78"/>
      <c r="BT144" s="78"/>
      <c r="BU144" s="78"/>
      <c r="BV144" s="78"/>
      <c r="BW144" s="78"/>
      <c r="BX144" s="78"/>
      <c r="BY144" s="78"/>
      <c r="BZ144" s="78"/>
    </row>
    <row r="145" spans="1:78" x14ac:dyDescent="0.2">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8"/>
      <c r="AW145" s="78"/>
      <c r="AX145" s="78"/>
      <c r="AY145" s="78"/>
      <c r="AZ145" s="78"/>
      <c r="BA145" s="78"/>
      <c r="BB145" s="78"/>
      <c r="BC145" s="78"/>
      <c r="BD145" s="78"/>
      <c r="BE145" s="78"/>
      <c r="BF145" s="78"/>
      <c r="BG145" s="78"/>
      <c r="BH145" s="78"/>
      <c r="BI145" s="78"/>
      <c r="BJ145" s="78"/>
      <c r="BK145" s="78"/>
      <c r="BL145" s="78"/>
      <c r="BM145" s="78"/>
      <c r="BN145" s="78"/>
      <c r="BO145" s="78"/>
      <c r="BP145" s="78"/>
      <c r="BQ145" s="78"/>
      <c r="BR145" s="78"/>
      <c r="BS145" s="78"/>
      <c r="BT145" s="78"/>
      <c r="BU145" s="78"/>
      <c r="BV145" s="78"/>
      <c r="BW145" s="78"/>
      <c r="BX145" s="78"/>
      <c r="BY145" s="78"/>
      <c r="BZ145" s="78"/>
    </row>
    <row r="146" spans="1:78" x14ac:dyDescent="0.2">
      <c r="A146" s="78"/>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78"/>
      <c r="AT146" s="78"/>
      <c r="AU146" s="78"/>
      <c r="AV146" s="78"/>
      <c r="AW146" s="78"/>
      <c r="AX146" s="78"/>
      <c r="AY146" s="78"/>
      <c r="AZ146" s="78"/>
      <c r="BA146" s="78"/>
      <c r="BB146" s="78"/>
      <c r="BC146" s="78"/>
      <c r="BD146" s="78"/>
      <c r="BE146" s="78"/>
      <c r="BF146" s="78"/>
      <c r="BG146" s="78"/>
      <c r="BH146" s="78"/>
      <c r="BI146" s="78"/>
      <c r="BJ146" s="78"/>
      <c r="BK146" s="78"/>
      <c r="BL146" s="78"/>
      <c r="BM146" s="78"/>
      <c r="BN146" s="78"/>
      <c r="BO146" s="78"/>
      <c r="BP146" s="78"/>
      <c r="BQ146" s="78"/>
      <c r="BR146" s="78"/>
      <c r="BS146" s="78"/>
      <c r="BT146" s="78"/>
      <c r="BU146" s="78"/>
      <c r="BV146" s="78"/>
      <c r="BW146" s="78"/>
      <c r="BX146" s="78"/>
      <c r="BY146" s="78"/>
      <c r="BZ146" s="78"/>
    </row>
    <row r="147" spans="1:78" x14ac:dyDescent="0.2">
      <c r="A147" s="80"/>
      <c r="B147" s="79"/>
      <c r="C147" s="79"/>
      <c r="D147" s="79"/>
      <c r="E147" s="79"/>
      <c r="F147" s="79"/>
      <c r="G147" s="79"/>
      <c r="H147" s="78"/>
      <c r="I147" s="78"/>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c r="AQ147" s="78"/>
      <c r="AR147" s="78"/>
      <c r="AS147" s="78"/>
      <c r="AT147" s="78"/>
      <c r="AU147" s="78"/>
      <c r="AV147" s="78"/>
      <c r="AW147" s="78"/>
      <c r="AX147" s="78"/>
      <c r="AY147" s="78"/>
      <c r="AZ147" s="78"/>
      <c r="BA147" s="78"/>
      <c r="BB147" s="78"/>
      <c r="BC147" s="78"/>
      <c r="BD147" s="78"/>
      <c r="BE147" s="78"/>
      <c r="BF147" s="78"/>
      <c r="BG147" s="78"/>
      <c r="BH147" s="78"/>
      <c r="BI147" s="78"/>
      <c r="BJ147" s="78"/>
      <c r="BK147" s="78"/>
      <c r="BL147" s="78"/>
      <c r="BM147" s="78"/>
      <c r="BN147" s="78"/>
      <c r="BO147" s="78"/>
      <c r="BP147" s="78"/>
      <c r="BQ147" s="78"/>
      <c r="BR147" s="78"/>
      <c r="BS147" s="78"/>
      <c r="BT147" s="78"/>
      <c r="BU147" s="78"/>
      <c r="BV147" s="78"/>
      <c r="BW147" s="78"/>
      <c r="BX147" s="78"/>
      <c r="BY147" s="78"/>
      <c r="BZ147" s="78"/>
    </row>
    <row r="148" spans="1:78" x14ac:dyDescent="0.2">
      <c r="A148" s="80"/>
      <c r="B148" s="79"/>
      <c r="C148" s="79"/>
      <c r="D148" s="79"/>
      <c r="E148" s="79"/>
      <c r="F148" s="79"/>
      <c r="G148" s="79"/>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c r="AQ148" s="78"/>
      <c r="AR148" s="78"/>
      <c r="AS148" s="78"/>
      <c r="AT148" s="78"/>
      <c r="AU148" s="78"/>
      <c r="AV148" s="78"/>
      <c r="AW148" s="78"/>
      <c r="AX148" s="78"/>
      <c r="AY148" s="78"/>
      <c r="AZ148" s="78"/>
      <c r="BA148" s="78"/>
      <c r="BB148" s="78"/>
      <c r="BC148" s="78"/>
      <c r="BD148" s="78"/>
      <c r="BE148" s="78"/>
      <c r="BF148" s="78"/>
      <c r="BG148" s="78"/>
      <c r="BH148" s="78"/>
      <c r="BI148" s="78"/>
      <c r="BJ148" s="78"/>
      <c r="BK148" s="78"/>
      <c r="BL148" s="78"/>
      <c r="BM148" s="78"/>
      <c r="BN148" s="78"/>
      <c r="BO148" s="78"/>
      <c r="BP148" s="78"/>
      <c r="BQ148" s="78"/>
      <c r="BR148" s="78"/>
      <c r="BS148" s="78"/>
      <c r="BT148" s="78"/>
      <c r="BU148" s="78"/>
      <c r="BV148" s="78"/>
      <c r="BW148" s="78"/>
      <c r="BX148" s="78"/>
      <c r="BY148" s="78"/>
      <c r="BZ148" s="78"/>
    </row>
    <row r="149" spans="1:78" x14ac:dyDescent="0.2">
      <c r="A149" s="80"/>
      <c r="B149" s="79"/>
      <c r="C149" s="79"/>
      <c r="D149" s="79"/>
      <c r="E149" s="79"/>
      <c r="F149" s="79"/>
      <c r="G149" s="79"/>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c r="AN149" s="78"/>
      <c r="AO149" s="78"/>
      <c r="AP149" s="78"/>
      <c r="AQ149" s="78"/>
      <c r="AR149" s="78"/>
      <c r="AS149" s="78"/>
      <c r="AT149" s="78"/>
      <c r="AU149" s="78"/>
      <c r="AV149" s="78"/>
      <c r="AW149" s="78"/>
      <c r="AX149" s="78"/>
      <c r="AY149" s="78"/>
      <c r="AZ149" s="78"/>
      <c r="BA149" s="78"/>
      <c r="BB149" s="78"/>
      <c r="BC149" s="78"/>
      <c r="BD149" s="78"/>
      <c r="BE149" s="78"/>
      <c r="BF149" s="78"/>
      <c r="BG149" s="78"/>
      <c r="BH149" s="78"/>
      <c r="BI149" s="78"/>
      <c r="BJ149" s="78"/>
      <c r="BK149" s="78"/>
      <c r="BL149" s="78"/>
      <c r="BM149" s="78"/>
      <c r="BN149" s="78"/>
      <c r="BO149" s="78"/>
      <c r="BP149" s="78"/>
      <c r="BQ149" s="78"/>
      <c r="BR149" s="78"/>
      <c r="BS149" s="78"/>
      <c r="BT149" s="78"/>
      <c r="BU149" s="78"/>
      <c r="BV149" s="78"/>
      <c r="BW149" s="78"/>
      <c r="BX149" s="78"/>
      <c r="BY149" s="78"/>
      <c r="BZ149" s="78"/>
    </row>
    <row r="150" spans="1:78" x14ac:dyDescent="0.2">
      <c r="A150" s="80"/>
      <c r="B150" s="79"/>
      <c r="C150" s="79"/>
      <c r="D150" s="79"/>
      <c r="E150" s="79"/>
      <c r="F150" s="79"/>
      <c r="G150" s="79"/>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78"/>
      <c r="AK150" s="78"/>
      <c r="AL150" s="78"/>
      <c r="AM150" s="78"/>
      <c r="AN150" s="78"/>
      <c r="AO150" s="78"/>
      <c r="AP150" s="78"/>
      <c r="AQ150" s="78"/>
      <c r="AR150" s="78"/>
      <c r="AS150" s="78"/>
      <c r="AT150" s="78"/>
      <c r="AU150" s="78"/>
      <c r="AV150" s="78"/>
      <c r="AW150" s="78"/>
      <c r="AX150" s="78"/>
      <c r="AY150" s="78"/>
      <c r="AZ150" s="78"/>
      <c r="BA150" s="78"/>
      <c r="BB150" s="78"/>
      <c r="BC150" s="78"/>
      <c r="BD150" s="78"/>
      <c r="BE150" s="78"/>
      <c r="BF150" s="78"/>
      <c r="BG150" s="78"/>
      <c r="BH150" s="78"/>
      <c r="BI150" s="78"/>
      <c r="BJ150" s="78"/>
      <c r="BK150" s="78"/>
      <c r="BL150" s="78"/>
      <c r="BM150" s="78"/>
      <c r="BN150" s="78"/>
      <c r="BO150" s="78"/>
      <c r="BP150" s="78"/>
      <c r="BQ150" s="78"/>
      <c r="BR150" s="78"/>
      <c r="BS150" s="78"/>
      <c r="BT150" s="78"/>
      <c r="BU150" s="78"/>
      <c r="BV150" s="78"/>
      <c r="BW150" s="78"/>
      <c r="BX150" s="78"/>
      <c r="BY150" s="78"/>
      <c r="BZ150" s="78"/>
    </row>
    <row r="151" spans="1:78" x14ac:dyDescent="0.2">
      <c r="A151" s="80"/>
      <c r="B151" s="79"/>
      <c r="C151" s="79"/>
      <c r="D151" s="79"/>
      <c r="E151" s="79"/>
      <c r="F151" s="79"/>
      <c r="G151" s="79"/>
      <c r="H151" s="78"/>
      <c r="I151" s="78"/>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78"/>
      <c r="AM151" s="78"/>
      <c r="AN151" s="78"/>
      <c r="AO151" s="78"/>
      <c r="AP151" s="78"/>
      <c r="AQ151" s="78"/>
      <c r="AR151" s="78"/>
      <c r="AS151" s="78"/>
      <c r="AT151" s="78"/>
      <c r="AU151" s="78"/>
      <c r="AV151" s="78"/>
      <c r="AW151" s="78"/>
      <c r="AX151" s="78"/>
      <c r="AY151" s="78"/>
      <c r="AZ151" s="78"/>
      <c r="BA151" s="78"/>
      <c r="BB151" s="78"/>
      <c r="BC151" s="78"/>
      <c r="BD151" s="78"/>
      <c r="BE151" s="78"/>
      <c r="BF151" s="78"/>
      <c r="BG151" s="78"/>
      <c r="BH151" s="78"/>
      <c r="BI151" s="78"/>
      <c r="BJ151" s="78"/>
      <c r="BK151" s="78"/>
      <c r="BL151" s="78"/>
      <c r="BM151" s="78"/>
      <c r="BN151" s="78"/>
      <c r="BO151" s="78"/>
      <c r="BP151" s="78"/>
      <c r="BQ151" s="78"/>
      <c r="BR151" s="78"/>
      <c r="BS151" s="78"/>
      <c r="BT151" s="78"/>
      <c r="BU151" s="78"/>
      <c r="BV151" s="78"/>
      <c r="BW151" s="78"/>
      <c r="BX151" s="78"/>
      <c r="BY151" s="78"/>
      <c r="BZ151" s="78"/>
    </row>
    <row r="152" spans="1:78" x14ac:dyDescent="0.2">
      <c r="A152" s="80"/>
      <c r="B152" s="79"/>
      <c r="C152" s="79"/>
      <c r="D152" s="79"/>
      <c r="E152" s="79"/>
      <c r="F152" s="79"/>
      <c r="G152" s="79"/>
      <c r="H152" s="78"/>
      <c r="I152" s="78"/>
      <c r="J152" s="78"/>
      <c r="K152" s="78"/>
      <c r="L152" s="78"/>
      <c r="M152" s="78"/>
      <c r="N152" s="78"/>
      <c r="O152" s="78"/>
      <c r="P152" s="78"/>
      <c r="Q152" s="78"/>
      <c r="R152" s="78"/>
      <c r="S152" s="78"/>
      <c r="T152" s="78"/>
      <c r="U152" s="78"/>
      <c r="V152" s="78"/>
      <c r="W152" s="78"/>
      <c r="X152" s="78"/>
      <c r="Y152" s="78"/>
      <c r="Z152" s="78"/>
      <c r="AA152" s="78"/>
      <c r="AB152" s="78"/>
      <c r="AC152" s="78"/>
      <c r="AD152" s="78"/>
      <c r="AE152" s="78"/>
      <c r="AF152" s="78"/>
      <c r="AG152" s="78"/>
      <c r="AH152" s="78"/>
      <c r="AI152" s="78"/>
      <c r="AJ152" s="78"/>
      <c r="AK152" s="78"/>
      <c r="AL152" s="78"/>
      <c r="AM152" s="78"/>
      <c r="AN152" s="78"/>
      <c r="AO152" s="78"/>
      <c r="AP152" s="78"/>
      <c r="AQ152" s="78"/>
      <c r="AR152" s="78"/>
      <c r="AS152" s="78"/>
      <c r="AT152" s="78"/>
      <c r="AU152" s="78"/>
      <c r="AV152" s="78"/>
      <c r="AW152" s="78"/>
      <c r="AX152" s="78"/>
      <c r="AY152" s="78"/>
      <c r="AZ152" s="78"/>
      <c r="BA152" s="78"/>
      <c r="BB152" s="78"/>
      <c r="BC152" s="78"/>
      <c r="BD152" s="78"/>
      <c r="BE152" s="78"/>
      <c r="BF152" s="78"/>
      <c r="BG152" s="78"/>
      <c r="BH152" s="78"/>
      <c r="BI152" s="78"/>
      <c r="BJ152" s="78"/>
      <c r="BK152" s="78"/>
      <c r="BL152" s="78"/>
      <c r="BM152" s="78"/>
      <c r="BN152" s="78"/>
      <c r="BO152" s="78"/>
      <c r="BP152" s="78"/>
      <c r="BQ152" s="78"/>
      <c r="BR152" s="78"/>
      <c r="BS152" s="78"/>
      <c r="BT152" s="78"/>
      <c r="BU152" s="78"/>
      <c r="BV152" s="78"/>
      <c r="BW152" s="78"/>
      <c r="BX152" s="78"/>
      <c r="BY152" s="78"/>
      <c r="BZ152" s="78"/>
    </row>
    <row r="153" spans="1:78" x14ac:dyDescent="0.2">
      <c r="A153" s="80"/>
      <c r="B153" s="79"/>
      <c r="C153" s="79"/>
      <c r="D153" s="79"/>
      <c r="E153" s="79"/>
      <c r="F153" s="79"/>
      <c r="G153" s="79"/>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c r="AQ153" s="78"/>
      <c r="AR153" s="78"/>
      <c r="AS153" s="78"/>
      <c r="AT153" s="78"/>
      <c r="AU153" s="78"/>
      <c r="AV153" s="78"/>
      <c r="AW153" s="78"/>
      <c r="AX153" s="78"/>
      <c r="AY153" s="78"/>
      <c r="AZ153" s="78"/>
      <c r="BA153" s="78"/>
      <c r="BB153" s="78"/>
      <c r="BC153" s="78"/>
      <c r="BD153" s="78"/>
      <c r="BE153" s="78"/>
      <c r="BF153" s="78"/>
      <c r="BG153" s="78"/>
      <c r="BH153" s="78"/>
      <c r="BI153" s="78"/>
      <c r="BJ153" s="78"/>
      <c r="BK153" s="78"/>
      <c r="BL153" s="78"/>
      <c r="BM153" s="78"/>
      <c r="BN153" s="78"/>
      <c r="BO153" s="78"/>
      <c r="BP153" s="78"/>
      <c r="BQ153" s="78"/>
      <c r="BR153" s="78"/>
      <c r="BS153" s="78"/>
      <c r="BT153" s="78"/>
      <c r="BU153" s="78"/>
      <c r="BV153" s="78"/>
      <c r="BW153" s="78"/>
      <c r="BX153" s="78"/>
      <c r="BY153" s="78"/>
      <c r="BZ153" s="78"/>
    </row>
    <row r="154" spans="1:78" x14ac:dyDescent="0.2">
      <c r="A154" s="80"/>
      <c r="B154" s="79"/>
      <c r="C154" s="79"/>
      <c r="D154" s="79"/>
      <c r="E154" s="79"/>
      <c r="F154" s="79"/>
      <c r="G154" s="79"/>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78"/>
      <c r="AT154" s="78"/>
      <c r="AU154" s="78"/>
      <c r="AV154" s="78"/>
      <c r="AW154" s="78"/>
      <c r="AX154" s="78"/>
      <c r="AY154" s="78"/>
      <c r="AZ154" s="78"/>
      <c r="BA154" s="78"/>
      <c r="BB154" s="78"/>
      <c r="BC154" s="78"/>
      <c r="BD154" s="78"/>
      <c r="BE154" s="78"/>
      <c r="BF154" s="78"/>
      <c r="BG154" s="78"/>
      <c r="BH154" s="78"/>
      <c r="BI154" s="78"/>
      <c r="BJ154" s="78"/>
      <c r="BK154" s="78"/>
      <c r="BL154" s="78"/>
      <c r="BM154" s="78"/>
      <c r="BN154" s="78"/>
      <c r="BO154" s="78"/>
      <c r="BP154" s="78"/>
      <c r="BQ154" s="78"/>
      <c r="BR154" s="78"/>
      <c r="BS154" s="78"/>
      <c r="BT154" s="78"/>
      <c r="BU154" s="78"/>
      <c r="BV154" s="78"/>
      <c r="BW154" s="78"/>
      <c r="BX154" s="78"/>
      <c r="BY154" s="78"/>
      <c r="BZ154" s="78"/>
    </row>
    <row r="155" spans="1:78" x14ac:dyDescent="0.2">
      <c r="A155" s="80"/>
      <c r="B155" s="79"/>
      <c r="C155" s="79"/>
      <c r="D155" s="79"/>
      <c r="E155" s="79"/>
      <c r="F155" s="79"/>
      <c r="G155" s="79"/>
      <c r="H155" s="78"/>
      <c r="I155" s="78"/>
      <c r="J155" s="78"/>
      <c r="K155" s="78"/>
      <c r="L155" s="78"/>
      <c r="M155" s="78"/>
      <c r="N155" s="78"/>
      <c r="O155" s="78"/>
      <c r="P155" s="78"/>
      <c r="Q155" s="78"/>
      <c r="R155" s="78"/>
      <c r="S155" s="78"/>
      <c r="T155" s="78"/>
      <c r="U155" s="78"/>
      <c r="V155" s="78"/>
      <c r="W155" s="78"/>
      <c r="X155" s="78"/>
      <c r="Y155" s="78"/>
      <c r="Z155" s="78"/>
      <c r="AA155" s="78"/>
      <c r="AB155" s="78"/>
      <c r="AC155" s="78"/>
      <c r="AD155" s="78"/>
      <c r="AE155" s="78"/>
      <c r="AF155" s="78"/>
      <c r="AG155" s="78"/>
      <c r="AH155" s="78"/>
      <c r="AI155" s="78"/>
      <c r="AJ155" s="78"/>
      <c r="AK155" s="78"/>
      <c r="AL155" s="78"/>
      <c r="AM155" s="78"/>
      <c r="AN155" s="78"/>
      <c r="AO155" s="78"/>
      <c r="AP155" s="78"/>
      <c r="AQ155" s="78"/>
      <c r="AR155" s="78"/>
      <c r="AS155" s="78"/>
      <c r="AT155" s="78"/>
      <c r="AU155" s="78"/>
      <c r="AV155" s="78"/>
      <c r="AW155" s="78"/>
      <c r="AX155" s="78"/>
      <c r="AY155" s="78"/>
      <c r="AZ155" s="78"/>
      <c r="BA155" s="78"/>
      <c r="BB155" s="78"/>
      <c r="BC155" s="78"/>
      <c r="BD155" s="78"/>
      <c r="BE155" s="78"/>
      <c r="BF155" s="78"/>
      <c r="BG155" s="78"/>
      <c r="BH155" s="78"/>
      <c r="BI155" s="78"/>
      <c r="BJ155" s="78"/>
      <c r="BK155" s="78"/>
      <c r="BL155" s="78"/>
      <c r="BM155" s="78"/>
      <c r="BN155" s="78"/>
      <c r="BO155" s="78"/>
      <c r="BP155" s="78"/>
      <c r="BQ155" s="78"/>
      <c r="BR155" s="78"/>
      <c r="BS155" s="78"/>
      <c r="BT155" s="78"/>
      <c r="BU155" s="78"/>
      <c r="BV155" s="78"/>
      <c r="BW155" s="78"/>
      <c r="BX155" s="78"/>
      <c r="BY155" s="78"/>
      <c r="BZ155" s="78"/>
    </row>
    <row r="156" spans="1:78" x14ac:dyDescent="0.2">
      <c r="A156" s="80"/>
      <c r="B156" s="79"/>
      <c r="C156" s="79"/>
      <c r="D156" s="79"/>
      <c r="E156" s="79"/>
      <c r="F156" s="79"/>
      <c r="G156" s="79"/>
      <c r="H156" s="78"/>
      <c r="I156" s="78"/>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c r="AP156" s="78"/>
      <c r="AQ156" s="78"/>
      <c r="AR156" s="78"/>
      <c r="AS156" s="78"/>
      <c r="AT156" s="78"/>
      <c r="AU156" s="78"/>
      <c r="AV156" s="78"/>
      <c r="AW156" s="78"/>
      <c r="AX156" s="78"/>
      <c r="AY156" s="78"/>
      <c r="AZ156" s="78"/>
      <c r="BA156" s="78"/>
      <c r="BB156" s="78"/>
      <c r="BC156" s="78"/>
      <c r="BD156" s="78"/>
      <c r="BE156" s="78"/>
      <c r="BF156" s="78"/>
      <c r="BG156" s="78"/>
      <c r="BH156" s="78"/>
      <c r="BI156" s="78"/>
      <c r="BJ156" s="78"/>
      <c r="BK156" s="78"/>
      <c r="BL156" s="78"/>
      <c r="BM156" s="78"/>
      <c r="BN156" s="78"/>
      <c r="BO156" s="78"/>
      <c r="BP156" s="78"/>
      <c r="BQ156" s="78"/>
      <c r="BR156" s="78"/>
      <c r="BS156" s="78"/>
      <c r="BT156" s="78"/>
      <c r="BU156" s="78"/>
      <c r="BV156" s="78"/>
      <c r="BW156" s="78"/>
      <c r="BX156" s="78"/>
      <c r="BY156" s="78"/>
      <c r="BZ156" s="78"/>
    </row>
    <row r="157" spans="1:78" x14ac:dyDescent="0.2">
      <c r="A157" s="80"/>
      <c r="B157" s="79"/>
      <c r="C157" s="79"/>
      <c r="D157" s="79"/>
      <c r="E157" s="79"/>
      <c r="F157" s="79"/>
      <c r="G157" s="79"/>
      <c r="H157" s="78"/>
      <c r="I157" s="78"/>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78"/>
      <c r="AP157" s="78"/>
      <c r="AQ157" s="78"/>
      <c r="AR157" s="78"/>
      <c r="AS157" s="78"/>
      <c r="AT157" s="78"/>
      <c r="AU157" s="78"/>
      <c r="AV157" s="78"/>
      <c r="AW157" s="78"/>
      <c r="AX157" s="78"/>
      <c r="AY157" s="78"/>
      <c r="AZ157" s="78"/>
      <c r="BA157" s="78"/>
      <c r="BB157" s="78"/>
      <c r="BC157" s="78"/>
      <c r="BD157" s="78"/>
      <c r="BE157" s="78"/>
      <c r="BF157" s="78"/>
      <c r="BG157" s="78"/>
      <c r="BH157" s="78"/>
      <c r="BI157" s="78"/>
      <c r="BJ157" s="78"/>
      <c r="BK157" s="78"/>
      <c r="BL157" s="78"/>
      <c r="BM157" s="78"/>
      <c r="BN157" s="78"/>
      <c r="BO157" s="78"/>
      <c r="BP157" s="78"/>
      <c r="BQ157" s="78"/>
      <c r="BR157" s="78"/>
      <c r="BS157" s="78"/>
      <c r="BT157" s="78"/>
      <c r="BU157" s="78"/>
      <c r="BV157" s="78"/>
      <c r="BW157" s="78"/>
      <c r="BX157" s="78"/>
      <c r="BY157" s="78"/>
      <c r="BZ157" s="78"/>
    </row>
    <row r="158" spans="1:78" x14ac:dyDescent="0.2">
      <c r="A158" s="80"/>
      <c r="B158" s="79"/>
      <c r="C158" s="79"/>
      <c r="D158" s="79"/>
      <c r="E158" s="79"/>
      <c r="F158" s="79"/>
      <c r="G158" s="79"/>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8"/>
      <c r="AJ158" s="78"/>
      <c r="AK158" s="78"/>
      <c r="AL158" s="78"/>
      <c r="AM158" s="78"/>
      <c r="AN158" s="78"/>
      <c r="AO158" s="78"/>
      <c r="AP158" s="78"/>
      <c r="AQ158" s="78"/>
      <c r="AR158" s="78"/>
      <c r="AS158" s="78"/>
      <c r="AT158" s="78"/>
      <c r="AU158" s="78"/>
      <c r="AV158" s="78"/>
      <c r="AW158" s="78"/>
      <c r="AX158" s="78"/>
      <c r="AY158" s="78"/>
      <c r="AZ158" s="78"/>
      <c r="BA158" s="78"/>
      <c r="BB158" s="78"/>
      <c r="BC158" s="78"/>
      <c r="BD158" s="78"/>
      <c r="BE158" s="78"/>
      <c r="BF158" s="78"/>
      <c r="BG158" s="78"/>
      <c r="BH158" s="78"/>
      <c r="BI158" s="78"/>
      <c r="BJ158" s="78"/>
      <c r="BK158" s="78"/>
      <c r="BL158" s="78"/>
      <c r="BM158" s="78"/>
      <c r="BN158" s="78"/>
      <c r="BO158" s="78"/>
      <c r="BP158" s="78"/>
      <c r="BQ158" s="78"/>
      <c r="BR158" s="78"/>
      <c r="BS158" s="78"/>
      <c r="BT158" s="78"/>
      <c r="BU158" s="78"/>
      <c r="BV158" s="78"/>
      <c r="BW158" s="78"/>
      <c r="BX158" s="78"/>
      <c r="BY158" s="78"/>
      <c r="BZ158" s="78"/>
    </row>
    <row r="159" spans="1:78" x14ac:dyDescent="0.2">
      <c r="A159" s="80"/>
      <c r="B159" s="79"/>
      <c r="C159" s="79"/>
      <c r="D159" s="79"/>
      <c r="E159" s="79"/>
      <c r="F159" s="79"/>
      <c r="G159" s="79"/>
      <c r="H159" s="78"/>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c r="AM159" s="78"/>
      <c r="AN159" s="78"/>
      <c r="AO159" s="78"/>
      <c r="AP159" s="78"/>
      <c r="AQ159" s="78"/>
      <c r="AR159" s="78"/>
      <c r="AS159" s="78"/>
      <c r="AT159" s="78"/>
      <c r="AU159" s="78"/>
      <c r="AV159" s="78"/>
      <c r="AW159" s="78"/>
      <c r="AX159" s="78"/>
      <c r="AY159" s="78"/>
      <c r="AZ159" s="78"/>
      <c r="BA159" s="78"/>
      <c r="BB159" s="78"/>
      <c r="BC159" s="78"/>
      <c r="BD159" s="78"/>
      <c r="BE159" s="78"/>
      <c r="BF159" s="78"/>
      <c r="BG159" s="78"/>
      <c r="BH159" s="78"/>
      <c r="BI159" s="78"/>
      <c r="BJ159" s="78"/>
      <c r="BK159" s="78"/>
      <c r="BL159" s="78"/>
      <c r="BM159" s="78"/>
      <c r="BN159" s="78"/>
      <c r="BO159" s="78"/>
      <c r="BP159" s="78"/>
      <c r="BQ159" s="78"/>
      <c r="BR159" s="78"/>
      <c r="BS159" s="78"/>
      <c r="BT159" s="78"/>
      <c r="BU159" s="78"/>
      <c r="BV159" s="78"/>
      <c r="BW159" s="78"/>
      <c r="BX159" s="78"/>
      <c r="BY159" s="78"/>
      <c r="BZ159" s="78"/>
    </row>
    <row r="160" spans="1:78" x14ac:dyDescent="0.2">
      <c r="A160" s="80"/>
      <c r="B160" s="79"/>
      <c r="C160" s="79"/>
      <c r="D160" s="79"/>
      <c r="E160" s="79"/>
      <c r="F160" s="79"/>
      <c r="G160" s="79"/>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c r="AZ160" s="78"/>
      <c r="BA160" s="78"/>
      <c r="BB160" s="78"/>
      <c r="BC160" s="78"/>
      <c r="BD160" s="78"/>
      <c r="BE160" s="78"/>
      <c r="BF160" s="78"/>
      <c r="BG160" s="78"/>
      <c r="BH160" s="78"/>
      <c r="BI160" s="78"/>
      <c r="BJ160" s="78"/>
      <c r="BK160" s="78"/>
      <c r="BL160" s="78"/>
      <c r="BM160" s="78"/>
      <c r="BN160" s="78"/>
      <c r="BO160" s="78"/>
      <c r="BP160" s="78"/>
      <c r="BQ160" s="78"/>
      <c r="BR160" s="78"/>
      <c r="BS160" s="78"/>
      <c r="BT160" s="78"/>
      <c r="BU160" s="78"/>
      <c r="BV160" s="78"/>
      <c r="BW160" s="78"/>
      <c r="BX160" s="78"/>
      <c r="BY160" s="78"/>
      <c r="BZ160" s="78"/>
    </row>
    <row r="161" spans="1:78" x14ac:dyDescent="0.2">
      <c r="A161" s="80"/>
      <c r="B161" s="79"/>
      <c r="C161" s="79"/>
      <c r="D161" s="79"/>
      <c r="E161" s="79"/>
      <c r="F161" s="79"/>
      <c r="G161" s="79"/>
      <c r="H161" s="78"/>
      <c r="I161" s="78"/>
      <c r="J161" s="78"/>
      <c r="K161" s="78"/>
      <c r="L161" s="7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c r="AM161" s="78"/>
      <c r="AN161" s="78"/>
      <c r="AO161" s="78"/>
      <c r="AP161" s="78"/>
      <c r="AQ161" s="78"/>
      <c r="AR161" s="78"/>
      <c r="AS161" s="78"/>
      <c r="AT161" s="78"/>
      <c r="AU161" s="78"/>
      <c r="AV161" s="78"/>
      <c r="AW161" s="78"/>
      <c r="AX161" s="78"/>
      <c r="AY161" s="78"/>
      <c r="AZ161" s="78"/>
      <c r="BA161" s="78"/>
      <c r="BB161" s="78"/>
      <c r="BC161" s="78"/>
      <c r="BD161" s="78"/>
      <c r="BE161" s="78"/>
      <c r="BF161" s="78"/>
      <c r="BG161" s="78"/>
      <c r="BH161" s="78"/>
      <c r="BI161" s="78"/>
      <c r="BJ161" s="78"/>
      <c r="BK161" s="78"/>
      <c r="BL161" s="78"/>
      <c r="BM161" s="78"/>
      <c r="BN161" s="78"/>
      <c r="BO161" s="78"/>
      <c r="BP161" s="78"/>
      <c r="BQ161" s="78"/>
      <c r="BR161" s="78"/>
      <c r="BS161" s="78"/>
      <c r="BT161" s="78"/>
      <c r="BU161" s="78"/>
      <c r="BV161" s="78"/>
      <c r="BW161" s="78"/>
      <c r="BX161" s="78"/>
      <c r="BY161" s="78"/>
      <c r="BZ161" s="78"/>
    </row>
    <row r="162" spans="1:78" x14ac:dyDescent="0.2">
      <c r="A162" s="80"/>
      <c r="B162" s="79"/>
      <c r="C162" s="79"/>
      <c r="D162" s="79"/>
      <c r="E162" s="79"/>
      <c r="F162" s="79"/>
      <c r="G162" s="79"/>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c r="AQ162" s="78"/>
      <c r="AR162" s="78"/>
      <c r="AS162" s="78"/>
      <c r="AT162" s="78"/>
      <c r="AU162" s="78"/>
      <c r="AV162" s="78"/>
      <c r="AW162" s="78"/>
      <c r="AX162" s="78"/>
      <c r="AY162" s="78"/>
      <c r="AZ162" s="78"/>
      <c r="BA162" s="78"/>
      <c r="BB162" s="78"/>
      <c r="BC162" s="78"/>
      <c r="BD162" s="78"/>
      <c r="BE162" s="78"/>
      <c r="BF162" s="78"/>
      <c r="BG162" s="78"/>
      <c r="BH162" s="78"/>
      <c r="BI162" s="78"/>
      <c r="BJ162" s="78"/>
      <c r="BK162" s="78"/>
      <c r="BL162" s="78"/>
      <c r="BM162" s="78"/>
      <c r="BN162" s="78"/>
      <c r="BO162" s="78"/>
      <c r="BP162" s="78"/>
      <c r="BQ162" s="78"/>
      <c r="BR162" s="78"/>
      <c r="BS162" s="78"/>
      <c r="BT162" s="78"/>
      <c r="BU162" s="78"/>
      <c r="BV162" s="78"/>
      <c r="BW162" s="78"/>
      <c r="BX162" s="78"/>
      <c r="BY162" s="78"/>
      <c r="BZ162" s="78"/>
    </row>
    <row r="163" spans="1:78" x14ac:dyDescent="0.2">
      <c r="A163" s="80"/>
      <c r="B163" s="79"/>
      <c r="C163" s="79"/>
      <c r="D163" s="79"/>
      <c r="E163" s="79"/>
      <c r="F163" s="79"/>
      <c r="G163" s="79"/>
      <c r="H163" s="78"/>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8"/>
      <c r="BN163" s="78"/>
      <c r="BO163" s="78"/>
      <c r="BP163" s="78"/>
      <c r="BQ163" s="78"/>
      <c r="BR163" s="78"/>
      <c r="BS163" s="78"/>
      <c r="BT163" s="78"/>
      <c r="BU163" s="78"/>
      <c r="BV163" s="78"/>
      <c r="BW163" s="78"/>
      <c r="BX163" s="78"/>
      <c r="BY163" s="78"/>
      <c r="BZ163" s="78"/>
    </row>
    <row r="164" spans="1:78" x14ac:dyDescent="0.2">
      <c r="A164" s="80"/>
      <c r="B164" s="79"/>
      <c r="C164" s="79"/>
      <c r="D164" s="79"/>
      <c r="E164" s="79"/>
      <c r="F164" s="79"/>
      <c r="G164" s="79"/>
      <c r="H164" s="78"/>
      <c r="I164" s="78"/>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c r="AY164" s="78"/>
      <c r="AZ164" s="78"/>
      <c r="BA164" s="78"/>
      <c r="BB164" s="78"/>
      <c r="BC164" s="78"/>
      <c r="BD164" s="78"/>
      <c r="BE164" s="78"/>
      <c r="BF164" s="78"/>
      <c r="BG164" s="78"/>
      <c r="BH164" s="78"/>
      <c r="BI164" s="78"/>
      <c r="BJ164" s="78"/>
      <c r="BK164" s="78"/>
      <c r="BL164" s="78"/>
      <c r="BM164" s="78"/>
      <c r="BN164" s="78"/>
      <c r="BO164" s="78"/>
      <c r="BP164" s="78"/>
      <c r="BQ164" s="78"/>
      <c r="BR164" s="78"/>
      <c r="BS164" s="78"/>
      <c r="BT164" s="78"/>
      <c r="BU164" s="78"/>
      <c r="BV164" s="78"/>
      <c r="BW164" s="78"/>
      <c r="BX164" s="78"/>
      <c r="BY164" s="78"/>
      <c r="BZ164" s="78"/>
    </row>
    <row r="165" spans="1:78" x14ac:dyDescent="0.2">
      <c r="A165" s="80"/>
      <c r="B165" s="79"/>
      <c r="C165" s="79"/>
      <c r="D165" s="79"/>
      <c r="E165" s="79"/>
      <c r="F165" s="79"/>
      <c r="G165" s="79"/>
      <c r="H165" s="78"/>
      <c r="I165" s="78"/>
      <c r="J165" s="78"/>
      <c r="K165" s="78"/>
      <c r="L165" s="78"/>
      <c r="M165" s="78"/>
      <c r="N165" s="78"/>
      <c r="O165" s="78"/>
      <c r="P165" s="78"/>
      <c r="Q165" s="78"/>
      <c r="R165" s="78"/>
      <c r="S165" s="78"/>
      <c r="T165" s="78"/>
      <c r="U165" s="78"/>
      <c r="V165" s="78"/>
      <c r="W165" s="78"/>
      <c r="X165" s="78"/>
      <c r="Y165" s="78"/>
      <c r="Z165" s="78"/>
      <c r="AA165" s="78"/>
      <c r="AB165" s="78"/>
      <c r="AC165" s="78"/>
      <c r="AD165" s="78"/>
      <c r="AE165" s="78"/>
      <c r="AF165" s="78"/>
      <c r="AG165" s="78"/>
      <c r="AH165" s="78"/>
      <c r="AI165" s="78"/>
      <c r="AJ165" s="78"/>
      <c r="AK165" s="78"/>
      <c r="AL165" s="78"/>
      <c r="AM165" s="78"/>
      <c r="AN165" s="78"/>
      <c r="AO165" s="78"/>
      <c r="AP165" s="78"/>
      <c r="AQ165" s="78"/>
      <c r="AR165" s="78"/>
      <c r="AS165" s="78"/>
      <c r="AT165" s="78"/>
      <c r="AU165" s="78"/>
      <c r="AV165" s="78"/>
      <c r="AW165" s="78"/>
      <c r="AX165" s="78"/>
      <c r="AY165" s="78"/>
      <c r="AZ165" s="78"/>
      <c r="BA165" s="78"/>
      <c r="BB165" s="78"/>
      <c r="BC165" s="78"/>
      <c r="BD165" s="78"/>
      <c r="BE165" s="78"/>
      <c r="BF165" s="78"/>
      <c r="BG165" s="78"/>
      <c r="BH165" s="78"/>
      <c r="BI165" s="78"/>
      <c r="BJ165" s="78"/>
      <c r="BK165" s="78"/>
      <c r="BL165" s="78"/>
      <c r="BM165" s="78"/>
      <c r="BN165" s="78"/>
      <c r="BO165" s="78"/>
      <c r="BP165" s="78"/>
      <c r="BQ165" s="78"/>
      <c r="BR165" s="78"/>
      <c r="BS165" s="78"/>
      <c r="BT165" s="78"/>
      <c r="BU165" s="78"/>
      <c r="BV165" s="78"/>
      <c r="BW165" s="78"/>
      <c r="BX165" s="78"/>
      <c r="BY165" s="78"/>
      <c r="BZ165" s="78"/>
    </row>
    <row r="166" spans="1:78" x14ac:dyDescent="0.2">
      <c r="A166" s="80"/>
      <c r="B166" s="79"/>
      <c r="C166" s="79"/>
      <c r="D166" s="79"/>
      <c r="E166" s="79"/>
      <c r="F166" s="79"/>
      <c r="G166" s="79"/>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c r="BI166" s="78"/>
      <c r="BJ166" s="78"/>
      <c r="BK166" s="78"/>
      <c r="BL166" s="78"/>
      <c r="BM166" s="78"/>
      <c r="BN166" s="78"/>
      <c r="BO166" s="78"/>
      <c r="BP166" s="78"/>
      <c r="BQ166" s="78"/>
      <c r="BR166" s="78"/>
      <c r="BS166" s="78"/>
      <c r="BT166" s="78"/>
      <c r="BU166" s="78"/>
      <c r="BV166" s="78"/>
      <c r="BW166" s="78"/>
      <c r="BX166" s="78"/>
      <c r="BY166" s="78"/>
      <c r="BZ166" s="78"/>
    </row>
    <row r="167" spans="1:78" x14ac:dyDescent="0.2">
      <c r="A167" s="80"/>
      <c r="B167" s="79"/>
      <c r="C167" s="79"/>
      <c r="D167" s="79"/>
      <c r="E167" s="79"/>
      <c r="F167" s="79"/>
      <c r="G167" s="79"/>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c r="AQ167" s="78"/>
      <c r="AR167" s="78"/>
      <c r="AS167" s="78"/>
      <c r="AT167" s="78"/>
      <c r="AU167" s="78"/>
      <c r="AV167" s="78"/>
      <c r="AW167" s="78"/>
      <c r="AX167" s="78"/>
      <c r="AY167" s="78"/>
      <c r="AZ167" s="78"/>
      <c r="BA167" s="78"/>
      <c r="BB167" s="78"/>
      <c r="BC167" s="78"/>
      <c r="BD167" s="78"/>
      <c r="BE167" s="78"/>
      <c r="BF167" s="78"/>
      <c r="BG167" s="78"/>
      <c r="BH167" s="78"/>
      <c r="BI167" s="78"/>
      <c r="BJ167" s="78"/>
      <c r="BK167" s="78"/>
      <c r="BL167" s="78"/>
      <c r="BM167" s="78"/>
      <c r="BN167" s="78"/>
      <c r="BO167" s="78"/>
      <c r="BP167" s="78"/>
      <c r="BQ167" s="78"/>
      <c r="BR167" s="78"/>
      <c r="BS167" s="78"/>
      <c r="BT167" s="78"/>
      <c r="BU167" s="78"/>
      <c r="BV167" s="78"/>
      <c r="BW167" s="78"/>
      <c r="BX167" s="78"/>
      <c r="BY167" s="78"/>
      <c r="BZ167" s="78"/>
    </row>
    <row r="168" spans="1:78" x14ac:dyDescent="0.2">
      <c r="A168" s="80"/>
      <c r="B168" s="79"/>
      <c r="C168" s="79"/>
      <c r="D168" s="79"/>
      <c r="E168" s="79"/>
      <c r="F168" s="79"/>
      <c r="G168" s="79"/>
      <c r="H168" s="78"/>
      <c r="I168" s="78"/>
      <c r="J168" s="78"/>
      <c r="K168" s="78"/>
      <c r="L168" s="78"/>
      <c r="M168" s="78"/>
      <c r="N168" s="78"/>
      <c r="O168" s="78"/>
      <c r="P168" s="78"/>
      <c r="Q168" s="78"/>
      <c r="R168" s="78"/>
      <c r="S168" s="78"/>
      <c r="T168" s="78"/>
      <c r="U168" s="78"/>
      <c r="V168" s="78"/>
      <c r="W168" s="78"/>
      <c r="X168" s="78"/>
      <c r="Y168" s="78"/>
      <c r="Z168" s="78"/>
      <c r="AA168" s="78"/>
      <c r="AB168" s="78"/>
      <c r="AC168" s="78"/>
      <c r="AD168" s="78"/>
      <c r="AE168" s="78"/>
      <c r="AF168" s="78"/>
      <c r="AG168" s="78"/>
      <c r="AH168" s="78"/>
      <c r="AI168" s="78"/>
      <c r="AJ168" s="78"/>
      <c r="AK168" s="78"/>
      <c r="AL168" s="78"/>
      <c r="AM168" s="78"/>
      <c r="AN168" s="78"/>
      <c r="AO168" s="78"/>
      <c r="AP168" s="78"/>
      <c r="AQ168" s="78"/>
      <c r="AR168" s="78"/>
      <c r="AS168" s="78"/>
      <c r="AT168" s="78"/>
      <c r="AU168" s="78"/>
      <c r="AV168" s="78"/>
      <c r="AW168" s="78"/>
      <c r="AX168" s="78"/>
      <c r="AY168" s="78"/>
      <c r="AZ168" s="78"/>
      <c r="BA168" s="78"/>
      <c r="BB168" s="78"/>
      <c r="BC168" s="78"/>
      <c r="BD168" s="78"/>
      <c r="BE168" s="78"/>
      <c r="BF168" s="78"/>
      <c r="BG168" s="78"/>
      <c r="BH168" s="78"/>
      <c r="BI168" s="78"/>
      <c r="BJ168" s="78"/>
      <c r="BK168" s="78"/>
      <c r="BL168" s="78"/>
      <c r="BM168" s="78"/>
      <c r="BN168" s="78"/>
      <c r="BO168" s="78"/>
      <c r="BP168" s="78"/>
      <c r="BQ168" s="78"/>
      <c r="BR168" s="78"/>
      <c r="BS168" s="78"/>
      <c r="BT168" s="78"/>
      <c r="BU168" s="78"/>
      <c r="BV168" s="78"/>
      <c r="BW168" s="78"/>
      <c r="BX168" s="78"/>
      <c r="BY168" s="78"/>
      <c r="BZ168" s="78"/>
    </row>
    <row r="169" spans="1:78" x14ac:dyDescent="0.2">
      <c r="A169" s="80"/>
      <c r="B169" s="79"/>
      <c r="C169" s="79"/>
      <c r="D169" s="79"/>
      <c r="E169" s="79"/>
      <c r="F169" s="79"/>
      <c r="G169" s="79"/>
      <c r="H169" s="78"/>
      <c r="I169" s="78"/>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78"/>
      <c r="AM169" s="78"/>
      <c r="AN169" s="78"/>
      <c r="AO169" s="78"/>
      <c r="AP169" s="78"/>
      <c r="AQ169" s="78"/>
      <c r="AR169" s="78"/>
      <c r="AS169" s="78"/>
      <c r="AT169" s="78"/>
      <c r="AU169" s="78"/>
      <c r="AV169" s="78"/>
      <c r="AW169" s="78"/>
      <c r="AX169" s="78"/>
      <c r="AY169" s="78"/>
      <c r="AZ169" s="78"/>
      <c r="BA169" s="78"/>
      <c r="BB169" s="78"/>
      <c r="BC169" s="78"/>
      <c r="BD169" s="78"/>
      <c r="BE169" s="78"/>
      <c r="BF169" s="78"/>
      <c r="BG169" s="78"/>
      <c r="BH169" s="78"/>
      <c r="BI169" s="78"/>
      <c r="BJ169" s="78"/>
      <c r="BK169" s="78"/>
      <c r="BL169" s="78"/>
      <c r="BM169" s="78"/>
      <c r="BN169" s="78"/>
      <c r="BO169" s="78"/>
      <c r="BP169" s="78"/>
      <c r="BQ169" s="78"/>
      <c r="BR169" s="78"/>
      <c r="BS169" s="78"/>
      <c r="BT169" s="78"/>
      <c r="BU169" s="78"/>
      <c r="BV169" s="78"/>
      <c r="BW169" s="78"/>
      <c r="BX169" s="78"/>
      <c r="BY169" s="78"/>
      <c r="BZ169" s="78"/>
    </row>
    <row r="170" spans="1:78" x14ac:dyDescent="0.2">
      <c r="A170" s="80"/>
      <c r="B170" s="79"/>
      <c r="C170" s="79"/>
      <c r="D170" s="79"/>
      <c r="E170" s="79"/>
      <c r="F170" s="79"/>
      <c r="G170" s="79"/>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c r="AZ170" s="78"/>
      <c r="BA170" s="78"/>
      <c r="BB170" s="78"/>
      <c r="BC170" s="78"/>
      <c r="BD170" s="78"/>
      <c r="BE170" s="78"/>
      <c r="BF170" s="78"/>
      <c r="BG170" s="78"/>
      <c r="BH170" s="78"/>
      <c r="BI170" s="78"/>
      <c r="BJ170" s="78"/>
      <c r="BK170" s="78"/>
      <c r="BL170" s="78"/>
      <c r="BM170" s="78"/>
      <c r="BN170" s="78"/>
      <c r="BO170" s="78"/>
      <c r="BP170" s="78"/>
      <c r="BQ170" s="78"/>
      <c r="BR170" s="78"/>
      <c r="BS170" s="78"/>
      <c r="BT170" s="78"/>
      <c r="BU170" s="78"/>
      <c r="BV170" s="78"/>
      <c r="BW170" s="78"/>
      <c r="BX170" s="78"/>
      <c r="BY170" s="78"/>
      <c r="BZ170" s="78"/>
    </row>
    <row r="171" spans="1:78" x14ac:dyDescent="0.2">
      <c r="A171" s="80"/>
      <c r="B171" s="79"/>
      <c r="C171" s="79"/>
      <c r="D171" s="79"/>
      <c r="E171" s="79"/>
      <c r="F171" s="79"/>
      <c r="G171" s="79"/>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c r="AM171" s="78"/>
      <c r="AN171" s="78"/>
      <c r="AO171" s="78"/>
      <c r="AP171" s="78"/>
      <c r="AQ171" s="78"/>
      <c r="AR171" s="78"/>
      <c r="AS171" s="78"/>
      <c r="AT171" s="78"/>
      <c r="AU171" s="78"/>
      <c r="AV171" s="78"/>
      <c r="AW171" s="78"/>
      <c r="AX171" s="78"/>
      <c r="AY171" s="78"/>
      <c r="AZ171" s="78"/>
      <c r="BA171" s="78"/>
      <c r="BB171" s="78"/>
      <c r="BC171" s="78"/>
      <c r="BD171" s="78"/>
      <c r="BE171" s="78"/>
      <c r="BF171" s="78"/>
      <c r="BG171" s="78"/>
      <c r="BH171" s="78"/>
      <c r="BI171" s="78"/>
      <c r="BJ171" s="78"/>
      <c r="BK171" s="78"/>
      <c r="BL171" s="78"/>
      <c r="BM171" s="78"/>
      <c r="BN171" s="78"/>
      <c r="BO171" s="78"/>
      <c r="BP171" s="78"/>
      <c r="BQ171" s="78"/>
      <c r="BR171" s="78"/>
      <c r="BS171" s="78"/>
      <c r="BT171" s="78"/>
      <c r="BU171" s="78"/>
      <c r="BV171" s="78"/>
      <c r="BW171" s="78"/>
      <c r="BX171" s="78"/>
      <c r="BY171" s="78"/>
      <c r="BZ171" s="78"/>
    </row>
    <row r="172" spans="1:78" x14ac:dyDescent="0.2">
      <c r="A172" s="80"/>
      <c r="B172" s="79"/>
      <c r="C172" s="79"/>
      <c r="D172" s="79"/>
      <c r="E172" s="79"/>
      <c r="F172" s="79"/>
      <c r="G172" s="79"/>
      <c r="H172" s="78"/>
      <c r="I172" s="78"/>
      <c r="J172" s="78"/>
      <c r="K172" s="78"/>
      <c r="L172" s="7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c r="AQ172" s="78"/>
      <c r="AR172" s="78"/>
      <c r="AS172" s="78"/>
      <c r="AT172" s="78"/>
      <c r="AU172" s="78"/>
      <c r="AV172" s="78"/>
      <c r="AW172" s="78"/>
      <c r="AX172" s="78"/>
      <c r="AY172" s="78"/>
      <c r="AZ172" s="78"/>
      <c r="BA172" s="78"/>
      <c r="BB172" s="78"/>
      <c r="BC172" s="78"/>
      <c r="BD172" s="78"/>
      <c r="BE172" s="78"/>
      <c r="BF172" s="78"/>
      <c r="BG172" s="78"/>
      <c r="BH172" s="78"/>
      <c r="BI172" s="78"/>
      <c r="BJ172" s="78"/>
      <c r="BK172" s="78"/>
      <c r="BL172" s="78"/>
      <c r="BM172" s="78"/>
      <c r="BN172" s="78"/>
      <c r="BO172" s="78"/>
      <c r="BP172" s="78"/>
      <c r="BQ172" s="78"/>
      <c r="BR172" s="78"/>
      <c r="BS172" s="78"/>
      <c r="BT172" s="78"/>
      <c r="BU172" s="78"/>
      <c r="BV172" s="78"/>
      <c r="BW172" s="78"/>
      <c r="BX172" s="78"/>
      <c r="BY172" s="78"/>
      <c r="BZ172" s="78"/>
    </row>
    <row r="173" spans="1:78" x14ac:dyDescent="0.2">
      <c r="A173" s="80"/>
      <c r="B173" s="79"/>
      <c r="C173" s="79"/>
      <c r="D173" s="79"/>
      <c r="E173" s="79"/>
      <c r="F173" s="79"/>
      <c r="G173" s="79"/>
      <c r="H173" s="78"/>
      <c r="I173" s="78"/>
      <c r="J173" s="78"/>
      <c r="K173" s="78"/>
      <c r="L173" s="78"/>
      <c r="M173" s="78"/>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c r="AM173" s="78"/>
      <c r="AN173" s="78"/>
      <c r="AO173" s="78"/>
      <c r="AP173" s="78"/>
      <c r="AQ173" s="78"/>
      <c r="AR173" s="78"/>
      <c r="AS173" s="78"/>
      <c r="AT173" s="78"/>
      <c r="AU173" s="78"/>
      <c r="AV173" s="78"/>
      <c r="AW173" s="78"/>
      <c r="AX173" s="78"/>
      <c r="AY173" s="78"/>
      <c r="AZ173" s="78"/>
      <c r="BA173" s="78"/>
      <c r="BB173" s="78"/>
      <c r="BC173" s="78"/>
      <c r="BD173" s="78"/>
      <c r="BE173" s="78"/>
      <c r="BF173" s="78"/>
      <c r="BG173" s="78"/>
      <c r="BH173" s="78"/>
      <c r="BI173" s="78"/>
      <c r="BJ173" s="78"/>
      <c r="BK173" s="78"/>
      <c r="BL173" s="78"/>
      <c r="BM173" s="78"/>
      <c r="BN173" s="78"/>
      <c r="BO173" s="78"/>
      <c r="BP173" s="78"/>
      <c r="BQ173" s="78"/>
      <c r="BR173" s="78"/>
      <c r="BS173" s="78"/>
      <c r="BT173" s="78"/>
      <c r="BU173" s="78"/>
      <c r="BV173" s="78"/>
      <c r="BW173" s="78"/>
      <c r="BX173" s="78"/>
      <c r="BY173" s="78"/>
      <c r="BZ173" s="78"/>
    </row>
    <row r="174" spans="1:78" x14ac:dyDescent="0.2">
      <c r="A174" s="80"/>
      <c r="B174" s="79"/>
      <c r="C174" s="79"/>
      <c r="D174" s="79"/>
      <c r="E174" s="79"/>
      <c r="F174" s="79"/>
      <c r="G174" s="79"/>
      <c r="H174" s="78"/>
      <c r="I174" s="78"/>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c r="AP174" s="78"/>
      <c r="AQ174" s="78"/>
      <c r="AR174" s="78"/>
      <c r="AS174" s="78"/>
      <c r="AT174" s="78"/>
      <c r="AU174" s="78"/>
      <c r="AV174" s="78"/>
      <c r="AW174" s="78"/>
      <c r="AX174" s="78"/>
      <c r="AY174" s="78"/>
      <c r="AZ174" s="78"/>
      <c r="BA174" s="78"/>
      <c r="BB174" s="78"/>
      <c r="BC174" s="78"/>
      <c r="BD174" s="78"/>
      <c r="BE174" s="78"/>
      <c r="BF174" s="78"/>
      <c r="BG174" s="78"/>
      <c r="BH174" s="78"/>
      <c r="BI174" s="78"/>
      <c r="BJ174" s="78"/>
      <c r="BK174" s="78"/>
      <c r="BL174" s="78"/>
      <c r="BM174" s="78"/>
      <c r="BN174" s="78"/>
      <c r="BO174" s="78"/>
      <c r="BP174" s="78"/>
      <c r="BQ174" s="78"/>
      <c r="BR174" s="78"/>
      <c r="BS174" s="78"/>
      <c r="BT174" s="78"/>
      <c r="BU174" s="78"/>
      <c r="BV174" s="78"/>
      <c r="BW174" s="78"/>
      <c r="BX174" s="78"/>
      <c r="BY174" s="78"/>
      <c r="BZ174" s="78"/>
    </row>
    <row r="175" spans="1:78" x14ac:dyDescent="0.2">
      <c r="A175" s="80"/>
      <c r="B175" s="79"/>
      <c r="C175" s="79"/>
      <c r="D175" s="79"/>
      <c r="E175" s="79"/>
      <c r="F175" s="79"/>
      <c r="G175" s="79"/>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c r="AZ175" s="78"/>
      <c r="BA175" s="78"/>
      <c r="BB175" s="78"/>
      <c r="BC175" s="78"/>
      <c r="BD175" s="78"/>
      <c r="BE175" s="78"/>
      <c r="BF175" s="78"/>
      <c r="BG175" s="78"/>
      <c r="BH175" s="78"/>
      <c r="BI175" s="78"/>
      <c r="BJ175" s="78"/>
      <c r="BK175" s="78"/>
      <c r="BL175" s="78"/>
      <c r="BM175" s="78"/>
      <c r="BN175" s="78"/>
      <c r="BO175" s="78"/>
      <c r="BP175" s="78"/>
      <c r="BQ175" s="78"/>
      <c r="BR175" s="78"/>
      <c r="BS175" s="78"/>
      <c r="BT175" s="78"/>
      <c r="BU175" s="78"/>
      <c r="BV175" s="78"/>
      <c r="BW175" s="78"/>
      <c r="BX175" s="78"/>
      <c r="BY175" s="78"/>
      <c r="BZ175" s="78"/>
    </row>
    <row r="176" spans="1:78" x14ac:dyDescent="0.2">
      <c r="A176" s="80"/>
      <c r="B176" s="79"/>
      <c r="C176" s="79"/>
      <c r="D176" s="79"/>
      <c r="E176" s="79"/>
      <c r="F176" s="79"/>
      <c r="G176" s="79"/>
      <c r="H176" s="78"/>
      <c r="I176" s="78"/>
      <c r="J176" s="78"/>
      <c r="K176" s="78"/>
      <c r="L176" s="78"/>
      <c r="M176" s="78"/>
      <c r="N176" s="78"/>
      <c r="O176" s="78"/>
      <c r="P176" s="78"/>
      <c r="Q176" s="78"/>
      <c r="R176" s="78"/>
      <c r="S176" s="78"/>
      <c r="T176" s="78"/>
      <c r="U176" s="78"/>
      <c r="V176" s="78"/>
      <c r="W176" s="78"/>
      <c r="X176" s="78"/>
      <c r="Y176" s="78"/>
      <c r="Z176" s="78"/>
      <c r="AA176" s="78"/>
      <c r="AB176" s="78"/>
      <c r="AC176" s="78"/>
      <c r="AD176" s="78"/>
      <c r="AE176" s="78"/>
      <c r="AF176" s="78"/>
      <c r="AG176" s="78"/>
      <c r="AH176" s="78"/>
      <c r="AI176" s="78"/>
      <c r="AJ176" s="78"/>
      <c r="AK176" s="78"/>
      <c r="AL176" s="78"/>
      <c r="AM176" s="78"/>
      <c r="AN176" s="78"/>
      <c r="AO176" s="78"/>
      <c r="AP176" s="78"/>
      <c r="AQ176" s="78"/>
      <c r="AR176" s="78"/>
      <c r="AS176" s="78"/>
      <c r="AT176" s="78"/>
      <c r="AU176" s="78"/>
      <c r="AV176" s="78"/>
      <c r="AW176" s="78"/>
      <c r="AX176" s="78"/>
      <c r="AY176" s="78"/>
      <c r="AZ176" s="78"/>
      <c r="BA176" s="78"/>
      <c r="BB176" s="78"/>
      <c r="BC176" s="78"/>
      <c r="BD176" s="78"/>
      <c r="BE176" s="78"/>
      <c r="BF176" s="78"/>
      <c r="BG176" s="78"/>
      <c r="BH176" s="78"/>
      <c r="BI176" s="78"/>
      <c r="BJ176" s="78"/>
      <c r="BK176" s="78"/>
      <c r="BL176" s="78"/>
      <c r="BM176" s="78"/>
      <c r="BN176" s="78"/>
      <c r="BO176" s="78"/>
      <c r="BP176" s="78"/>
      <c r="BQ176" s="78"/>
      <c r="BR176" s="78"/>
      <c r="BS176" s="78"/>
      <c r="BT176" s="78"/>
      <c r="BU176" s="78"/>
      <c r="BV176" s="78"/>
      <c r="BW176" s="78"/>
      <c r="BX176" s="78"/>
      <c r="BY176" s="78"/>
      <c r="BZ176" s="78"/>
    </row>
    <row r="177" spans="1:78" x14ac:dyDescent="0.2">
      <c r="A177" s="80"/>
      <c r="B177" s="79"/>
      <c r="C177" s="79"/>
      <c r="D177" s="79"/>
      <c r="E177" s="79"/>
      <c r="F177" s="79"/>
      <c r="G177" s="79"/>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c r="AY177" s="78"/>
      <c r="AZ177" s="78"/>
      <c r="BA177" s="78"/>
      <c r="BB177" s="78"/>
      <c r="BC177" s="78"/>
      <c r="BD177" s="78"/>
      <c r="BE177" s="78"/>
      <c r="BF177" s="78"/>
      <c r="BG177" s="78"/>
      <c r="BH177" s="78"/>
      <c r="BI177" s="78"/>
      <c r="BJ177" s="78"/>
      <c r="BK177" s="78"/>
      <c r="BL177" s="78"/>
      <c r="BM177" s="78"/>
      <c r="BN177" s="78"/>
      <c r="BO177" s="78"/>
      <c r="BP177" s="78"/>
      <c r="BQ177" s="78"/>
      <c r="BR177" s="78"/>
      <c r="BS177" s="78"/>
      <c r="BT177" s="78"/>
      <c r="BU177" s="78"/>
      <c r="BV177" s="78"/>
      <c r="BW177" s="78"/>
      <c r="BX177" s="78"/>
      <c r="BY177" s="78"/>
      <c r="BZ177" s="78"/>
    </row>
    <row r="178" spans="1:78" x14ac:dyDescent="0.2">
      <c r="A178" s="80"/>
      <c r="B178" s="79"/>
      <c r="C178" s="79"/>
      <c r="D178" s="79"/>
      <c r="E178" s="79"/>
      <c r="F178" s="79"/>
      <c r="G178" s="79"/>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c r="AM178" s="78"/>
      <c r="AN178" s="78"/>
      <c r="AO178" s="78"/>
      <c r="AP178" s="78"/>
      <c r="AQ178" s="78"/>
      <c r="AR178" s="78"/>
      <c r="AS178" s="78"/>
      <c r="AT178" s="78"/>
      <c r="AU178" s="78"/>
      <c r="AV178" s="78"/>
      <c r="AW178" s="78"/>
      <c r="AX178" s="78"/>
      <c r="AY178" s="78"/>
      <c r="AZ178" s="78"/>
      <c r="BA178" s="78"/>
      <c r="BB178" s="78"/>
      <c r="BC178" s="78"/>
      <c r="BD178" s="78"/>
      <c r="BE178" s="78"/>
      <c r="BF178" s="78"/>
      <c r="BG178" s="78"/>
      <c r="BH178" s="78"/>
      <c r="BI178" s="78"/>
      <c r="BJ178" s="78"/>
      <c r="BK178" s="78"/>
      <c r="BL178" s="78"/>
      <c r="BM178" s="78"/>
      <c r="BN178" s="78"/>
      <c r="BO178" s="78"/>
      <c r="BP178" s="78"/>
      <c r="BQ178" s="78"/>
      <c r="BR178" s="78"/>
      <c r="BS178" s="78"/>
      <c r="BT178" s="78"/>
      <c r="BU178" s="78"/>
      <c r="BV178" s="78"/>
      <c r="BW178" s="78"/>
      <c r="BX178" s="78"/>
      <c r="BY178" s="78"/>
      <c r="BZ178" s="78"/>
    </row>
    <row r="179" spans="1:78" x14ac:dyDescent="0.2">
      <c r="A179" s="80"/>
      <c r="B179" s="79"/>
      <c r="C179" s="79"/>
      <c r="D179" s="79"/>
      <c r="E179" s="79"/>
      <c r="F179" s="79"/>
      <c r="G179" s="79"/>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c r="AQ179" s="78"/>
      <c r="AR179" s="78"/>
      <c r="AS179" s="78"/>
      <c r="AT179" s="78"/>
      <c r="AU179" s="78"/>
      <c r="AV179" s="78"/>
      <c r="AW179" s="78"/>
      <c r="AX179" s="78"/>
      <c r="AY179" s="78"/>
      <c r="AZ179" s="78"/>
      <c r="BA179" s="78"/>
      <c r="BB179" s="78"/>
      <c r="BC179" s="78"/>
      <c r="BD179" s="78"/>
      <c r="BE179" s="78"/>
      <c r="BF179" s="78"/>
      <c r="BG179" s="78"/>
      <c r="BH179" s="78"/>
      <c r="BI179" s="78"/>
      <c r="BJ179" s="78"/>
      <c r="BK179" s="78"/>
      <c r="BL179" s="78"/>
      <c r="BM179" s="78"/>
      <c r="BN179" s="78"/>
      <c r="BO179" s="78"/>
      <c r="BP179" s="78"/>
      <c r="BQ179" s="78"/>
      <c r="BR179" s="78"/>
      <c r="BS179" s="78"/>
      <c r="BT179" s="78"/>
      <c r="BU179" s="78"/>
      <c r="BV179" s="78"/>
      <c r="BW179" s="78"/>
      <c r="BX179" s="78"/>
      <c r="BY179" s="78"/>
      <c r="BZ179" s="78"/>
    </row>
    <row r="180" spans="1:78" x14ac:dyDescent="0.2">
      <c r="A180" s="7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c r="AA180" s="78"/>
      <c r="AB180" s="78"/>
      <c r="AC180" s="78"/>
      <c r="AD180" s="78"/>
      <c r="AE180" s="78"/>
      <c r="AF180" s="78"/>
      <c r="AG180" s="78"/>
      <c r="AH180" s="78"/>
      <c r="AI180" s="78"/>
      <c r="AJ180" s="78"/>
      <c r="AK180" s="78"/>
      <c r="AL180" s="78"/>
      <c r="AM180" s="78"/>
      <c r="AN180" s="78"/>
      <c r="AO180" s="78"/>
      <c r="AP180" s="78"/>
      <c r="AQ180" s="78"/>
      <c r="AR180" s="78"/>
      <c r="AS180" s="78"/>
      <c r="AT180" s="78"/>
      <c r="AU180" s="78"/>
      <c r="AV180" s="78"/>
      <c r="AW180" s="78"/>
      <c r="AX180" s="78"/>
      <c r="AY180" s="78"/>
      <c r="AZ180" s="78"/>
      <c r="BA180" s="78"/>
      <c r="BB180" s="78"/>
      <c r="BC180" s="78"/>
      <c r="BD180" s="78"/>
      <c r="BE180" s="78"/>
      <c r="BF180" s="78"/>
      <c r="BG180" s="78"/>
      <c r="BH180" s="78"/>
      <c r="BI180" s="78"/>
      <c r="BJ180" s="78"/>
      <c r="BK180" s="78"/>
      <c r="BL180" s="78"/>
      <c r="BM180" s="78"/>
      <c r="BN180" s="78"/>
      <c r="BO180" s="78"/>
      <c r="BP180" s="78"/>
      <c r="BQ180" s="78"/>
      <c r="BR180" s="78"/>
      <c r="BS180" s="78"/>
      <c r="BT180" s="78"/>
      <c r="BU180" s="78"/>
      <c r="BV180" s="78"/>
      <c r="BW180" s="78"/>
      <c r="BX180" s="78"/>
      <c r="BY180" s="78"/>
      <c r="BZ180" s="78"/>
    </row>
    <row r="181" spans="1:78" x14ac:dyDescent="0.2">
      <c r="A181" s="7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78"/>
      <c r="AO181" s="78"/>
      <c r="AP181" s="78"/>
      <c r="AQ181" s="78"/>
      <c r="AR181" s="78"/>
      <c r="AS181" s="78"/>
      <c r="AT181" s="78"/>
      <c r="AU181" s="78"/>
      <c r="AV181" s="78"/>
      <c r="AW181" s="78"/>
      <c r="AX181" s="78"/>
      <c r="AY181" s="78"/>
      <c r="AZ181" s="78"/>
      <c r="BA181" s="78"/>
      <c r="BB181" s="78"/>
      <c r="BC181" s="78"/>
      <c r="BD181" s="78"/>
      <c r="BE181" s="78"/>
      <c r="BF181" s="78"/>
      <c r="BG181" s="78"/>
      <c r="BH181" s="78"/>
      <c r="BI181" s="78"/>
      <c r="BJ181" s="78"/>
      <c r="BK181" s="78"/>
      <c r="BL181" s="78"/>
      <c r="BM181" s="78"/>
      <c r="BN181" s="78"/>
      <c r="BO181" s="78"/>
      <c r="BP181" s="78"/>
      <c r="BQ181" s="78"/>
      <c r="BR181" s="78"/>
      <c r="BS181" s="78"/>
      <c r="BT181" s="78"/>
      <c r="BU181" s="78"/>
      <c r="BV181" s="78"/>
      <c r="BW181" s="78"/>
      <c r="BX181" s="78"/>
      <c r="BY181" s="78"/>
      <c r="BZ181" s="78"/>
    </row>
    <row r="182" spans="1:78" x14ac:dyDescent="0.2">
      <c r="A182" s="78"/>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c r="AA182" s="78"/>
      <c r="AB182" s="78"/>
      <c r="AC182" s="78"/>
      <c r="AD182" s="78"/>
      <c r="AE182" s="78"/>
      <c r="AF182" s="78"/>
      <c r="AG182" s="78"/>
      <c r="AH182" s="78"/>
      <c r="AI182" s="78"/>
      <c r="AJ182" s="78"/>
      <c r="AK182" s="78"/>
      <c r="AL182" s="78"/>
      <c r="AM182" s="78"/>
      <c r="AN182" s="78"/>
      <c r="AO182" s="78"/>
      <c r="AP182" s="78"/>
      <c r="AQ182" s="78"/>
      <c r="AR182" s="78"/>
      <c r="AS182" s="78"/>
      <c r="AT182" s="78"/>
      <c r="AU182" s="78"/>
      <c r="AV182" s="78"/>
      <c r="AW182" s="78"/>
      <c r="AX182" s="78"/>
      <c r="AY182" s="78"/>
      <c r="AZ182" s="78"/>
      <c r="BA182" s="78"/>
      <c r="BB182" s="78"/>
      <c r="BC182" s="78"/>
      <c r="BD182" s="78"/>
      <c r="BE182" s="78"/>
      <c r="BF182" s="78"/>
      <c r="BG182" s="78"/>
      <c r="BH182" s="78"/>
      <c r="BI182" s="78"/>
      <c r="BJ182" s="78"/>
      <c r="BK182" s="78"/>
      <c r="BL182" s="78"/>
      <c r="BM182" s="78"/>
      <c r="BN182" s="78"/>
      <c r="BO182" s="78"/>
      <c r="BP182" s="78"/>
      <c r="BQ182" s="78"/>
      <c r="BR182" s="78"/>
      <c r="BS182" s="78"/>
      <c r="BT182" s="78"/>
      <c r="BU182" s="78"/>
      <c r="BV182" s="78"/>
      <c r="BW182" s="78"/>
      <c r="BX182" s="78"/>
      <c r="BY182" s="78"/>
      <c r="BZ182" s="78"/>
    </row>
    <row r="183" spans="1:78" x14ac:dyDescent="0.2">
      <c r="A183" s="78"/>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78"/>
      <c r="AE183" s="78"/>
      <c r="AF183" s="78"/>
      <c r="AG183" s="78"/>
      <c r="AH183" s="78"/>
      <c r="AI183" s="78"/>
      <c r="AJ183" s="78"/>
      <c r="AK183" s="78"/>
      <c r="AL183" s="78"/>
      <c r="AM183" s="78"/>
      <c r="AN183" s="78"/>
      <c r="AO183" s="78"/>
      <c r="AP183" s="78"/>
      <c r="AQ183" s="78"/>
      <c r="AR183" s="78"/>
      <c r="AS183" s="78"/>
      <c r="AT183" s="78"/>
      <c r="AU183" s="78"/>
      <c r="AV183" s="78"/>
      <c r="AW183" s="78"/>
      <c r="AX183" s="78"/>
      <c r="AY183" s="78"/>
      <c r="AZ183" s="78"/>
      <c r="BA183" s="78"/>
      <c r="BB183" s="78"/>
      <c r="BC183" s="78"/>
      <c r="BD183" s="78"/>
      <c r="BE183" s="78"/>
      <c r="BF183" s="78"/>
      <c r="BG183" s="78"/>
      <c r="BH183" s="78"/>
      <c r="BI183" s="78"/>
      <c r="BJ183" s="78"/>
      <c r="BK183" s="78"/>
      <c r="BL183" s="78"/>
      <c r="BM183" s="78"/>
      <c r="BN183" s="78"/>
      <c r="BO183" s="78"/>
      <c r="BP183" s="78"/>
      <c r="BQ183" s="78"/>
      <c r="BR183" s="78"/>
      <c r="BS183" s="78"/>
      <c r="BT183" s="78"/>
      <c r="BU183" s="78"/>
      <c r="BV183" s="78"/>
      <c r="BW183" s="78"/>
      <c r="BX183" s="78"/>
      <c r="BY183" s="78"/>
      <c r="BZ183" s="78"/>
    </row>
    <row r="184" spans="1:78" x14ac:dyDescent="0.2">
      <c r="A184" s="7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c r="AG184" s="78"/>
      <c r="AH184" s="78"/>
      <c r="AI184" s="78"/>
      <c r="AJ184" s="78"/>
      <c r="AK184" s="78"/>
      <c r="AL184" s="78"/>
      <c r="AM184" s="78"/>
      <c r="AN184" s="78"/>
      <c r="AO184" s="78"/>
      <c r="AP184" s="78"/>
      <c r="AQ184" s="78"/>
      <c r="AR184" s="78"/>
      <c r="AS184" s="78"/>
      <c r="AT184" s="78"/>
      <c r="AU184" s="78"/>
      <c r="AV184" s="78"/>
      <c r="AW184" s="78"/>
      <c r="AX184" s="78"/>
      <c r="AY184" s="78"/>
      <c r="AZ184" s="78"/>
      <c r="BA184" s="78"/>
      <c r="BB184" s="78"/>
      <c r="BC184" s="78"/>
      <c r="BD184" s="78"/>
      <c r="BE184" s="78"/>
      <c r="BF184" s="78"/>
      <c r="BG184" s="78"/>
      <c r="BH184" s="78"/>
      <c r="BI184" s="78"/>
      <c r="BJ184" s="78"/>
      <c r="BK184" s="78"/>
      <c r="BL184" s="78"/>
      <c r="BM184" s="78"/>
      <c r="BN184" s="78"/>
      <c r="BO184" s="78"/>
      <c r="BP184" s="78"/>
      <c r="BQ184" s="78"/>
      <c r="BR184" s="78"/>
      <c r="BS184" s="78"/>
      <c r="BT184" s="78"/>
      <c r="BU184" s="78"/>
      <c r="BV184" s="78"/>
      <c r="BW184" s="78"/>
      <c r="BX184" s="78"/>
      <c r="BY184" s="78"/>
      <c r="BZ184" s="78"/>
    </row>
    <row r="185" spans="1:78" x14ac:dyDescent="0.2">
      <c r="A185" s="7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78"/>
      <c r="AM185" s="78"/>
      <c r="AN185" s="78"/>
      <c r="AO185" s="78"/>
      <c r="AP185" s="78"/>
      <c r="AQ185" s="78"/>
      <c r="AR185" s="78"/>
      <c r="AS185" s="78"/>
      <c r="AT185" s="78"/>
      <c r="AU185" s="78"/>
      <c r="AV185" s="78"/>
      <c r="AW185" s="78"/>
      <c r="AX185" s="78"/>
      <c r="AY185" s="78"/>
      <c r="AZ185" s="78"/>
      <c r="BA185" s="78"/>
      <c r="BB185" s="78"/>
      <c r="BC185" s="78"/>
      <c r="BD185" s="78"/>
      <c r="BE185" s="78"/>
      <c r="BF185" s="78"/>
      <c r="BG185" s="78"/>
      <c r="BH185" s="78"/>
      <c r="BI185" s="78"/>
      <c r="BJ185" s="78"/>
      <c r="BK185" s="78"/>
      <c r="BL185" s="78"/>
      <c r="BM185" s="78"/>
      <c r="BN185" s="78"/>
      <c r="BO185" s="78"/>
      <c r="BP185" s="78"/>
      <c r="BQ185" s="78"/>
      <c r="BR185" s="78"/>
      <c r="BS185" s="78"/>
      <c r="BT185" s="78"/>
      <c r="BU185" s="78"/>
      <c r="BV185" s="78"/>
      <c r="BW185" s="78"/>
      <c r="BX185" s="78"/>
      <c r="BY185" s="78"/>
      <c r="BZ185" s="78"/>
    </row>
    <row r="186" spans="1:78" x14ac:dyDescent="0.2">
      <c r="A186" s="7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78"/>
      <c r="AO186" s="78"/>
      <c r="AP186" s="78"/>
      <c r="AQ186" s="78"/>
      <c r="AR186" s="78"/>
      <c r="AS186" s="78"/>
      <c r="AT186" s="78"/>
      <c r="AU186" s="78"/>
      <c r="AV186" s="78"/>
      <c r="AW186" s="78"/>
      <c r="AX186" s="78"/>
      <c r="AY186" s="78"/>
      <c r="AZ186" s="78"/>
      <c r="BA186" s="78"/>
      <c r="BB186" s="78"/>
      <c r="BC186" s="78"/>
      <c r="BD186" s="78"/>
      <c r="BE186" s="78"/>
      <c r="BF186" s="78"/>
      <c r="BG186" s="78"/>
      <c r="BH186" s="78"/>
      <c r="BI186" s="78"/>
      <c r="BJ186" s="78"/>
      <c r="BK186" s="78"/>
      <c r="BL186" s="78"/>
      <c r="BM186" s="78"/>
      <c r="BN186" s="78"/>
      <c r="BO186" s="78"/>
      <c r="BP186" s="78"/>
      <c r="BQ186" s="78"/>
      <c r="BR186" s="78"/>
      <c r="BS186" s="78"/>
      <c r="BT186" s="78"/>
      <c r="BU186" s="78"/>
      <c r="BV186" s="78"/>
      <c r="BW186" s="78"/>
      <c r="BX186" s="78"/>
      <c r="BY186" s="78"/>
      <c r="BZ186" s="78"/>
    </row>
    <row r="187" spans="1:78" x14ac:dyDescent="0.2">
      <c r="A187" s="78"/>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c r="AG187" s="78"/>
      <c r="AH187" s="78"/>
      <c r="AI187" s="78"/>
      <c r="AJ187" s="78"/>
      <c r="AK187" s="78"/>
      <c r="AL187" s="78"/>
      <c r="AM187" s="78"/>
      <c r="AN187" s="78"/>
      <c r="AO187" s="78"/>
      <c r="AP187" s="78"/>
      <c r="AQ187" s="78"/>
      <c r="AR187" s="78"/>
      <c r="AS187" s="78"/>
      <c r="AT187" s="78"/>
      <c r="AU187" s="78"/>
      <c r="AV187" s="78"/>
      <c r="AW187" s="78"/>
      <c r="AX187" s="78"/>
      <c r="AY187" s="78"/>
      <c r="AZ187" s="78"/>
      <c r="BA187" s="78"/>
      <c r="BB187" s="78"/>
      <c r="BC187" s="78"/>
      <c r="BD187" s="78"/>
      <c r="BE187" s="78"/>
      <c r="BF187" s="78"/>
      <c r="BG187" s="78"/>
      <c r="BH187" s="78"/>
      <c r="BI187" s="78"/>
      <c r="BJ187" s="78"/>
      <c r="BK187" s="78"/>
      <c r="BL187" s="78"/>
      <c r="BM187" s="78"/>
      <c r="BN187" s="78"/>
      <c r="BO187" s="78"/>
      <c r="BP187" s="78"/>
      <c r="BQ187" s="78"/>
      <c r="BR187" s="78"/>
      <c r="BS187" s="78"/>
      <c r="BT187" s="78"/>
      <c r="BU187" s="78"/>
      <c r="BV187" s="78"/>
      <c r="BW187" s="78"/>
      <c r="BX187" s="78"/>
      <c r="BY187" s="78"/>
      <c r="BZ187" s="78"/>
    </row>
    <row r="188" spans="1:78" x14ac:dyDescent="0.2">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c r="AA188" s="78"/>
      <c r="AB188" s="78"/>
      <c r="AC188" s="78"/>
      <c r="AD188" s="78"/>
      <c r="AE188" s="78"/>
      <c r="AF188" s="78"/>
      <c r="AG188" s="78"/>
      <c r="AH188" s="78"/>
      <c r="AI188" s="78"/>
      <c r="AJ188" s="78"/>
      <c r="AK188" s="78"/>
      <c r="AL188" s="78"/>
      <c r="AM188" s="78"/>
      <c r="AN188" s="78"/>
      <c r="AO188" s="78"/>
      <c r="AP188" s="78"/>
      <c r="AQ188" s="78"/>
      <c r="AR188" s="78"/>
      <c r="AS188" s="78"/>
      <c r="AT188" s="78"/>
      <c r="AU188" s="78"/>
      <c r="AV188" s="78"/>
      <c r="AW188" s="78"/>
      <c r="AX188" s="78"/>
      <c r="AY188" s="78"/>
      <c r="AZ188" s="78"/>
      <c r="BA188" s="78"/>
      <c r="BB188" s="78"/>
      <c r="BC188" s="78"/>
      <c r="BD188" s="78"/>
      <c r="BE188" s="78"/>
      <c r="BF188" s="78"/>
      <c r="BG188" s="78"/>
      <c r="BH188" s="78"/>
      <c r="BI188" s="78"/>
      <c r="BJ188" s="78"/>
      <c r="BK188" s="78"/>
      <c r="BL188" s="78"/>
      <c r="BM188" s="78"/>
      <c r="BN188" s="78"/>
      <c r="BO188" s="78"/>
      <c r="BP188" s="78"/>
      <c r="BQ188" s="78"/>
      <c r="BR188" s="78"/>
      <c r="BS188" s="78"/>
      <c r="BT188" s="78"/>
      <c r="BU188" s="78"/>
      <c r="BV188" s="78"/>
      <c r="BW188" s="78"/>
      <c r="BX188" s="78"/>
      <c r="BY188" s="78"/>
      <c r="BZ188" s="78"/>
    </row>
    <row r="189" spans="1:78" x14ac:dyDescent="0.2">
      <c r="A189" s="78"/>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c r="AC189" s="78"/>
      <c r="AD189" s="78"/>
      <c r="AE189" s="78"/>
      <c r="AF189" s="78"/>
      <c r="AG189" s="78"/>
      <c r="AH189" s="78"/>
      <c r="AI189" s="78"/>
      <c r="AJ189" s="78"/>
      <c r="AK189" s="78"/>
      <c r="AL189" s="78"/>
      <c r="AM189" s="78"/>
      <c r="AN189" s="78"/>
      <c r="AO189" s="78"/>
      <c r="AP189" s="78"/>
      <c r="AQ189" s="78"/>
      <c r="AR189" s="78"/>
      <c r="AS189" s="78"/>
      <c r="AT189" s="78"/>
      <c r="AU189" s="78"/>
      <c r="AV189" s="78"/>
      <c r="AW189" s="78"/>
      <c r="AX189" s="78"/>
      <c r="AY189" s="78"/>
      <c r="AZ189" s="78"/>
      <c r="BA189" s="78"/>
      <c r="BB189" s="78"/>
      <c r="BC189" s="78"/>
      <c r="BD189" s="78"/>
      <c r="BE189" s="78"/>
      <c r="BF189" s="78"/>
      <c r="BG189" s="78"/>
      <c r="BH189" s="78"/>
      <c r="BI189" s="78"/>
      <c r="BJ189" s="78"/>
      <c r="BK189" s="78"/>
      <c r="BL189" s="78"/>
      <c r="BM189" s="78"/>
      <c r="BN189" s="78"/>
      <c r="BO189" s="78"/>
      <c r="BP189" s="78"/>
      <c r="BQ189" s="78"/>
      <c r="BR189" s="78"/>
      <c r="BS189" s="78"/>
      <c r="BT189" s="78"/>
      <c r="BU189" s="78"/>
      <c r="BV189" s="78"/>
      <c r="BW189" s="78"/>
      <c r="BX189" s="78"/>
      <c r="BY189" s="78"/>
      <c r="BZ189" s="78"/>
    </row>
    <row r="190" spans="1:78" x14ac:dyDescent="0.2">
      <c r="A190" s="7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c r="AD190" s="78"/>
      <c r="AE190" s="78"/>
      <c r="AF190" s="78"/>
      <c r="AG190" s="78"/>
      <c r="AH190" s="78"/>
      <c r="AI190" s="78"/>
      <c r="AJ190" s="78"/>
      <c r="AK190" s="78"/>
      <c r="AL190" s="78"/>
      <c r="AM190" s="78"/>
      <c r="AN190" s="78"/>
      <c r="AO190" s="78"/>
      <c r="AP190" s="78"/>
      <c r="AQ190" s="78"/>
      <c r="AR190" s="78"/>
      <c r="AS190" s="78"/>
      <c r="AT190" s="78"/>
      <c r="AU190" s="78"/>
      <c r="AV190" s="78"/>
      <c r="AW190" s="78"/>
      <c r="AX190" s="78"/>
      <c r="AY190" s="78"/>
      <c r="AZ190" s="78"/>
      <c r="BA190" s="78"/>
      <c r="BB190" s="78"/>
      <c r="BC190" s="78"/>
      <c r="BD190" s="78"/>
      <c r="BE190" s="78"/>
      <c r="BF190" s="78"/>
      <c r="BG190" s="78"/>
      <c r="BH190" s="78"/>
      <c r="BI190" s="78"/>
      <c r="BJ190" s="78"/>
      <c r="BK190" s="78"/>
      <c r="BL190" s="78"/>
      <c r="BM190" s="78"/>
      <c r="BN190" s="78"/>
      <c r="BO190" s="78"/>
      <c r="BP190" s="78"/>
      <c r="BQ190" s="78"/>
      <c r="BR190" s="78"/>
      <c r="BS190" s="78"/>
      <c r="BT190" s="78"/>
      <c r="BU190" s="78"/>
      <c r="BV190" s="78"/>
      <c r="BW190" s="78"/>
      <c r="BX190" s="78"/>
      <c r="BY190" s="78"/>
      <c r="BZ190" s="78"/>
    </row>
    <row r="191" spans="1:78" x14ac:dyDescent="0.2">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78"/>
      <c r="AG191" s="78"/>
      <c r="AH191" s="78"/>
      <c r="AI191" s="78"/>
      <c r="AJ191" s="78"/>
      <c r="AK191" s="78"/>
      <c r="AL191" s="78"/>
      <c r="AM191" s="78"/>
      <c r="AN191" s="78"/>
      <c r="AO191" s="78"/>
      <c r="AP191" s="78"/>
      <c r="AQ191" s="78"/>
      <c r="AR191" s="78"/>
      <c r="AS191" s="78"/>
      <c r="AT191" s="78"/>
      <c r="AU191" s="78"/>
      <c r="AV191" s="78"/>
      <c r="AW191" s="78"/>
      <c r="AX191" s="78"/>
      <c r="AY191" s="78"/>
      <c r="AZ191" s="78"/>
      <c r="BA191" s="78"/>
      <c r="BB191" s="78"/>
      <c r="BC191" s="78"/>
      <c r="BD191" s="78"/>
      <c r="BE191" s="78"/>
      <c r="BF191" s="78"/>
      <c r="BG191" s="78"/>
      <c r="BH191" s="78"/>
      <c r="BI191" s="78"/>
      <c r="BJ191" s="78"/>
      <c r="BK191" s="78"/>
      <c r="BL191" s="78"/>
      <c r="BM191" s="78"/>
      <c r="BN191" s="78"/>
      <c r="BO191" s="78"/>
      <c r="BP191" s="78"/>
      <c r="BQ191" s="78"/>
      <c r="BR191" s="78"/>
      <c r="BS191" s="78"/>
      <c r="BT191" s="78"/>
      <c r="BU191" s="78"/>
      <c r="BV191" s="78"/>
      <c r="BW191" s="78"/>
      <c r="BX191" s="78"/>
      <c r="BY191" s="78"/>
      <c r="BZ191" s="78"/>
    </row>
    <row r="192" spans="1:78" x14ac:dyDescent="0.2">
      <c r="A192" s="7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78"/>
      <c r="AE192" s="78"/>
      <c r="AF192" s="78"/>
      <c r="AG192" s="78"/>
      <c r="AH192" s="78"/>
      <c r="AI192" s="78"/>
      <c r="AJ192" s="78"/>
      <c r="AK192" s="78"/>
      <c r="AL192" s="78"/>
      <c r="AM192" s="78"/>
      <c r="AN192" s="78"/>
      <c r="AO192" s="78"/>
      <c r="AP192" s="78"/>
      <c r="AQ192" s="78"/>
      <c r="AR192" s="78"/>
      <c r="AS192" s="78"/>
      <c r="AT192" s="78"/>
      <c r="AU192" s="78"/>
      <c r="AV192" s="78"/>
      <c r="AW192" s="78"/>
      <c r="AX192" s="78"/>
      <c r="AY192" s="78"/>
      <c r="AZ192" s="78"/>
      <c r="BA192" s="78"/>
      <c r="BB192" s="78"/>
      <c r="BC192" s="78"/>
      <c r="BD192" s="78"/>
      <c r="BE192" s="78"/>
      <c r="BF192" s="78"/>
      <c r="BG192" s="78"/>
      <c r="BH192" s="78"/>
      <c r="BI192" s="78"/>
      <c r="BJ192" s="78"/>
      <c r="BK192" s="78"/>
      <c r="BL192" s="78"/>
      <c r="BM192" s="78"/>
      <c r="BN192" s="78"/>
      <c r="BO192" s="78"/>
      <c r="BP192" s="78"/>
      <c r="BQ192" s="78"/>
      <c r="BR192" s="78"/>
      <c r="BS192" s="78"/>
      <c r="BT192" s="78"/>
      <c r="BU192" s="78"/>
      <c r="BV192" s="78"/>
      <c r="BW192" s="78"/>
      <c r="BX192" s="78"/>
      <c r="BY192" s="78"/>
      <c r="BZ192" s="78"/>
    </row>
    <row r="193" spans="1:78" x14ac:dyDescent="0.2">
      <c r="A193" s="7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c r="AA193" s="78"/>
      <c r="AB193" s="78"/>
      <c r="AC193" s="78"/>
      <c r="AD193" s="78"/>
      <c r="AE193" s="78"/>
      <c r="AF193" s="78"/>
      <c r="AG193" s="78"/>
      <c r="AH193" s="78"/>
      <c r="AI193" s="78"/>
      <c r="AJ193" s="78"/>
      <c r="AK193" s="78"/>
      <c r="AL193" s="78"/>
      <c r="AM193" s="78"/>
      <c r="AN193" s="78"/>
      <c r="AO193" s="78"/>
      <c r="AP193" s="78"/>
      <c r="AQ193" s="78"/>
      <c r="AR193" s="78"/>
      <c r="AS193" s="78"/>
      <c r="AT193" s="78"/>
      <c r="AU193" s="78"/>
      <c r="AV193" s="78"/>
      <c r="AW193" s="78"/>
      <c r="AX193" s="78"/>
      <c r="AY193" s="78"/>
      <c r="AZ193" s="78"/>
      <c r="BA193" s="78"/>
      <c r="BB193" s="78"/>
      <c r="BC193" s="78"/>
      <c r="BD193" s="78"/>
      <c r="BE193" s="78"/>
      <c r="BF193" s="78"/>
      <c r="BG193" s="78"/>
      <c r="BH193" s="78"/>
      <c r="BI193" s="78"/>
      <c r="BJ193" s="78"/>
      <c r="BK193" s="78"/>
      <c r="BL193" s="78"/>
      <c r="BM193" s="78"/>
      <c r="BN193" s="78"/>
      <c r="BO193" s="78"/>
      <c r="BP193" s="78"/>
      <c r="BQ193" s="78"/>
      <c r="BR193" s="78"/>
      <c r="BS193" s="78"/>
      <c r="BT193" s="78"/>
      <c r="BU193" s="78"/>
      <c r="BV193" s="78"/>
      <c r="BW193" s="78"/>
      <c r="BX193" s="78"/>
      <c r="BY193" s="78"/>
      <c r="BZ193" s="78"/>
    </row>
    <row r="194" spans="1:78" x14ac:dyDescent="0.2">
      <c r="A194" s="78"/>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c r="AA194" s="78"/>
      <c r="AB194" s="78"/>
      <c r="AC194" s="78"/>
      <c r="AD194" s="78"/>
      <c r="AE194" s="78"/>
      <c r="AF194" s="78"/>
      <c r="AG194" s="78"/>
      <c r="AH194" s="78"/>
      <c r="AI194" s="78"/>
      <c r="AJ194" s="78"/>
      <c r="AK194" s="78"/>
      <c r="AL194" s="78"/>
      <c r="AM194" s="78"/>
      <c r="AN194" s="78"/>
      <c r="AO194" s="78"/>
      <c r="AP194" s="78"/>
      <c r="AQ194" s="78"/>
      <c r="AR194" s="78"/>
      <c r="AS194" s="78"/>
      <c r="AT194" s="78"/>
      <c r="AU194" s="78"/>
      <c r="AV194" s="78"/>
      <c r="AW194" s="78"/>
      <c r="AX194" s="78"/>
      <c r="AY194" s="78"/>
      <c r="AZ194" s="78"/>
      <c r="BA194" s="78"/>
      <c r="BB194" s="78"/>
      <c r="BC194" s="78"/>
      <c r="BD194" s="78"/>
      <c r="BE194" s="78"/>
      <c r="BF194" s="78"/>
      <c r="BG194" s="78"/>
      <c r="BH194" s="78"/>
      <c r="BI194" s="78"/>
      <c r="BJ194" s="78"/>
      <c r="BK194" s="78"/>
      <c r="BL194" s="78"/>
      <c r="BM194" s="78"/>
      <c r="BN194" s="78"/>
      <c r="BO194" s="78"/>
      <c r="BP194" s="78"/>
      <c r="BQ194" s="78"/>
      <c r="BR194" s="78"/>
      <c r="BS194" s="78"/>
      <c r="BT194" s="78"/>
      <c r="BU194" s="78"/>
      <c r="BV194" s="78"/>
      <c r="BW194" s="78"/>
      <c r="BX194" s="78"/>
      <c r="BY194" s="78"/>
      <c r="BZ194" s="78"/>
    </row>
    <row r="195" spans="1:78" x14ac:dyDescent="0.2">
      <c r="A195" s="78"/>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c r="AA195" s="78"/>
      <c r="AB195" s="78"/>
      <c r="AC195" s="78"/>
      <c r="AD195" s="78"/>
      <c r="AE195" s="78"/>
      <c r="AF195" s="78"/>
      <c r="AG195" s="78"/>
      <c r="AH195" s="78"/>
      <c r="AI195" s="78"/>
      <c r="AJ195" s="78"/>
      <c r="AK195" s="78"/>
      <c r="AL195" s="78"/>
      <c r="AM195" s="78"/>
      <c r="AN195" s="78"/>
      <c r="AO195" s="78"/>
      <c r="AP195" s="78"/>
      <c r="AQ195" s="78"/>
      <c r="AR195" s="78"/>
      <c r="AS195" s="78"/>
      <c r="AT195" s="78"/>
      <c r="AU195" s="78"/>
      <c r="AV195" s="78"/>
      <c r="AW195" s="78"/>
      <c r="AX195" s="78"/>
      <c r="AY195" s="78"/>
      <c r="AZ195" s="78"/>
      <c r="BA195" s="78"/>
      <c r="BB195" s="78"/>
      <c r="BC195" s="78"/>
      <c r="BD195" s="78"/>
      <c r="BE195" s="78"/>
      <c r="BF195" s="78"/>
      <c r="BG195" s="78"/>
      <c r="BH195" s="78"/>
      <c r="BI195" s="78"/>
      <c r="BJ195" s="78"/>
      <c r="BK195" s="78"/>
      <c r="BL195" s="78"/>
      <c r="BM195" s="78"/>
      <c r="BN195" s="78"/>
      <c r="BO195" s="78"/>
      <c r="BP195" s="78"/>
      <c r="BQ195" s="78"/>
      <c r="BR195" s="78"/>
      <c r="BS195" s="78"/>
      <c r="BT195" s="78"/>
      <c r="BU195" s="78"/>
      <c r="BV195" s="78"/>
      <c r="BW195" s="78"/>
      <c r="BX195" s="78"/>
      <c r="BY195" s="78"/>
      <c r="BZ195" s="78"/>
    </row>
    <row r="196" spans="1:78" x14ac:dyDescent="0.2">
      <c r="A196" s="78"/>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c r="AA196" s="78"/>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78"/>
      <c r="BB196" s="78"/>
      <c r="BC196" s="78"/>
      <c r="BD196" s="78"/>
      <c r="BE196" s="78"/>
      <c r="BF196" s="78"/>
      <c r="BG196" s="78"/>
      <c r="BH196" s="78"/>
      <c r="BI196" s="78"/>
      <c r="BJ196" s="78"/>
      <c r="BK196" s="78"/>
      <c r="BL196" s="78"/>
      <c r="BM196" s="78"/>
      <c r="BN196" s="78"/>
      <c r="BO196" s="78"/>
      <c r="BP196" s="78"/>
      <c r="BQ196" s="78"/>
      <c r="BR196" s="78"/>
      <c r="BS196" s="78"/>
      <c r="BT196" s="78"/>
      <c r="BU196" s="78"/>
      <c r="BV196" s="78"/>
      <c r="BW196" s="78"/>
      <c r="BX196" s="78"/>
      <c r="BY196" s="78"/>
      <c r="BZ196" s="78"/>
    </row>
    <row r="197" spans="1:78" x14ac:dyDescent="0.2">
      <c r="A197" s="7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c r="AA197" s="78"/>
      <c r="AB197" s="78"/>
      <c r="AC197" s="78"/>
      <c r="AD197" s="78"/>
      <c r="AE197" s="78"/>
      <c r="AF197" s="78"/>
      <c r="AG197" s="78"/>
      <c r="AH197" s="78"/>
      <c r="AI197" s="78"/>
      <c r="AJ197" s="78"/>
      <c r="AK197" s="78"/>
      <c r="AL197" s="78"/>
      <c r="AM197" s="78"/>
      <c r="AN197" s="78"/>
      <c r="AO197" s="78"/>
      <c r="AP197" s="78"/>
      <c r="AQ197" s="78"/>
      <c r="AR197" s="78"/>
      <c r="AS197" s="78"/>
      <c r="AT197" s="78"/>
      <c r="AU197" s="78"/>
      <c r="AV197" s="78"/>
      <c r="AW197" s="78"/>
      <c r="AX197" s="78"/>
      <c r="AY197" s="78"/>
      <c r="AZ197" s="78"/>
      <c r="BA197" s="78"/>
      <c r="BB197" s="78"/>
      <c r="BC197" s="78"/>
      <c r="BD197" s="78"/>
      <c r="BE197" s="78"/>
      <c r="BF197" s="78"/>
      <c r="BG197" s="78"/>
      <c r="BH197" s="78"/>
      <c r="BI197" s="78"/>
      <c r="BJ197" s="78"/>
      <c r="BK197" s="78"/>
      <c r="BL197" s="78"/>
      <c r="BM197" s="78"/>
      <c r="BN197" s="78"/>
      <c r="BO197" s="78"/>
      <c r="BP197" s="78"/>
      <c r="BQ197" s="78"/>
      <c r="BR197" s="78"/>
      <c r="BS197" s="78"/>
      <c r="BT197" s="78"/>
      <c r="BU197" s="78"/>
      <c r="BV197" s="78"/>
      <c r="BW197" s="78"/>
      <c r="BX197" s="78"/>
      <c r="BY197" s="78"/>
      <c r="BZ197" s="78"/>
    </row>
    <row r="198" spans="1:78" x14ac:dyDescent="0.2">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78"/>
      <c r="AE198" s="78"/>
      <c r="AF198" s="78"/>
      <c r="AG198" s="78"/>
      <c r="AH198" s="78"/>
      <c r="AI198" s="78"/>
      <c r="AJ198" s="78"/>
      <c r="AK198" s="78"/>
      <c r="AL198" s="78"/>
      <c r="AM198" s="78"/>
      <c r="AN198" s="78"/>
      <c r="AO198" s="78"/>
      <c r="AP198" s="78"/>
      <c r="AQ198" s="78"/>
      <c r="AR198" s="78"/>
      <c r="AS198" s="78"/>
      <c r="AT198" s="78"/>
      <c r="AU198" s="78"/>
      <c r="AV198" s="78"/>
      <c r="AW198" s="78"/>
      <c r="AX198" s="78"/>
      <c r="AY198" s="78"/>
      <c r="AZ198" s="78"/>
      <c r="BA198" s="78"/>
      <c r="BB198" s="78"/>
      <c r="BC198" s="78"/>
      <c r="BD198" s="78"/>
      <c r="BE198" s="78"/>
      <c r="BF198" s="78"/>
      <c r="BG198" s="78"/>
      <c r="BH198" s="78"/>
      <c r="BI198" s="78"/>
      <c r="BJ198" s="78"/>
      <c r="BK198" s="78"/>
      <c r="BL198" s="78"/>
      <c r="BM198" s="78"/>
      <c r="BN198" s="78"/>
      <c r="BO198" s="78"/>
      <c r="BP198" s="78"/>
      <c r="BQ198" s="78"/>
      <c r="BR198" s="78"/>
      <c r="BS198" s="78"/>
      <c r="BT198" s="78"/>
      <c r="BU198" s="78"/>
      <c r="BV198" s="78"/>
      <c r="BW198" s="78"/>
      <c r="BX198" s="78"/>
      <c r="BY198" s="78"/>
      <c r="BZ198" s="78"/>
    </row>
    <row r="199" spans="1:78" x14ac:dyDescent="0.2">
      <c r="A199" s="78"/>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8"/>
      <c r="AA199" s="78"/>
      <c r="AB199" s="78"/>
      <c r="AC199" s="78"/>
      <c r="AD199" s="78"/>
      <c r="AE199" s="78"/>
      <c r="AF199" s="78"/>
      <c r="AG199" s="78"/>
      <c r="AH199" s="78"/>
      <c r="AI199" s="78"/>
      <c r="AJ199" s="78"/>
      <c r="AK199" s="78"/>
      <c r="AL199" s="78"/>
      <c r="AM199" s="78"/>
      <c r="AN199" s="78"/>
      <c r="AO199" s="78"/>
      <c r="AP199" s="78"/>
      <c r="AQ199" s="78"/>
      <c r="AR199" s="78"/>
      <c r="AS199" s="78"/>
      <c r="AT199" s="78"/>
      <c r="AU199" s="78"/>
      <c r="AV199" s="78"/>
      <c r="AW199" s="78"/>
      <c r="AX199" s="78"/>
      <c r="AY199" s="78"/>
      <c r="AZ199" s="78"/>
      <c r="BA199" s="78"/>
      <c r="BB199" s="78"/>
      <c r="BC199" s="78"/>
      <c r="BD199" s="78"/>
      <c r="BE199" s="78"/>
      <c r="BF199" s="78"/>
      <c r="BG199" s="78"/>
      <c r="BH199" s="78"/>
      <c r="BI199" s="78"/>
      <c r="BJ199" s="78"/>
      <c r="BK199" s="78"/>
      <c r="BL199" s="78"/>
      <c r="BM199" s="78"/>
      <c r="BN199" s="78"/>
      <c r="BO199" s="78"/>
      <c r="BP199" s="78"/>
      <c r="BQ199" s="78"/>
      <c r="BR199" s="78"/>
      <c r="BS199" s="78"/>
      <c r="BT199" s="78"/>
      <c r="BU199" s="78"/>
      <c r="BV199" s="78"/>
      <c r="BW199" s="78"/>
      <c r="BX199" s="78"/>
      <c r="BY199" s="78"/>
      <c r="BZ199" s="78"/>
    </row>
    <row r="200" spans="1:78" x14ac:dyDescent="0.2">
      <c r="A200" s="78"/>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c r="AA200" s="78"/>
      <c r="AB200" s="78"/>
      <c r="AC200" s="78"/>
      <c r="AD200" s="78"/>
      <c r="AE200" s="78"/>
      <c r="AF200" s="78"/>
      <c r="AG200" s="78"/>
      <c r="AH200" s="78"/>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c r="BE200" s="78"/>
      <c r="BF200" s="78"/>
      <c r="BG200" s="78"/>
      <c r="BH200" s="78"/>
      <c r="BI200" s="78"/>
      <c r="BJ200" s="78"/>
      <c r="BK200" s="78"/>
      <c r="BL200" s="78"/>
      <c r="BM200" s="78"/>
      <c r="BN200" s="78"/>
      <c r="BO200" s="78"/>
      <c r="BP200" s="78"/>
      <c r="BQ200" s="78"/>
      <c r="BR200" s="78"/>
      <c r="BS200" s="78"/>
      <c r="BT200" s="78"/>
      <c r="BU200" s="78"/>
      <c r="BV200" s="78"/>
      <c r="BW200" s="78"/>
      <c r="BX200" s="78"/>
      <c r="BY200" s="78"/>
      <c r="BZ200" s="78"/>
    </row>
    <row r="201" spans="1:78" x14ac:dyDescent="0.2">
      <c r="A201" s="78"/>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c r="AA201" s="78"/>
      <c r="AB201" s="78"/>
      <c r="AC201" s="78"/>
      <c r="AD201" s="78"/>
      <c r="AE201" s="78"/>
      <c r="AF201" s="78"/>
      <c r="AG201" s="78"/>
      <c r="AH201" s="78"/>
      <c r="AI201" s="78"/>
      <c r="AJ201" s="78"/>
      <c r="AK201" s="78"/>
      <c r="AL201" s="78"/>
      <c r="AM201" s="78"/>
      <c r="AN201" s="78"/>
      <c r="AO201" s="78"/>
      <c r="AP201" s="78"/>
      <c r="AQ201" s="78"/>
      <c r="AR201" s="78"/>
      <c r="AS201" s="78"/>
      <c r="AT201" s="78"/>
      <c r="AU201" s="78"/>
      <c r="AV201" s="78"/>
      <c r="AW201" s="78"/>
      <c r="AX201" s="78"/>
      <c r="AY201" s="78"/>
      <c r="AZ201" s="78"/>
      <c r="BA201" s="78"/>
      <c r="BB201" s="78"/>
      <c r="BC201" s="78"/>
      <c r="BD201" s="78"/>
      <c r="BE201" s="78"/>
      <c r="BF201" s="78"/>
      <c r="BG201" s="78"/>
      <c r="BH201" s="78"/>
      <c r="BI201" s="78"/>
      <c r="BJ201" s="78"/>
      <c r="BK201" s="78"/>
      <c r="BL201" s="78"/>
      <c r="BM201" s="78"/>
      <c r="BN201" s="78"/>
      <c r="BO201" s="78"/>
      <c r="BP201" s="78"/>
      <c r="BQ201" s="78"/>
      <c r="BR201" s="78"/>
      <c r="BS201" s="78"/>
      <c r="BT201" s="78"/>
      <c r="BU201" s="78"/>
      <c r="BV201" s="78"/>
      <c r="BW201" s="78"/>
      <c r="BX201" s="78"/>
      <c r="BY201" s="78"/>
      <c r="BZ201" s="78"/>
    </row>
    <row r="202" spans="1:78" x14ac:dyDescent="0.2">
      <c r="A202" s="78"/>
      <c r="B202" s="78"/>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c r="AA202" s="78"/>
      <c r="AB202" s="78"/>
      <c r="AC202" s="78"/>
      <c r="AD202" s="78"/>
      <c r="AE202" s="78"/>
      <c r="AF202" s="78"/>
      <c r="AG202" s="78"/>
      <c r="AH202" s="78"/>
      <c r="AI202" s="78"/>
      <c r="AJ202" s="78"/>
      <c r="AK202" s="78"/>
      <c r="AL202" s="78"/>
      <c r="AM202" s="78"/>
      <c r="AN202" s="78"/>
      <c r="AO202" s="78"/>
      <c r="AP202" s="78"/>
      <c r="AQ202" s="78"/>
      <c r="AR202" s="78"/>
      <c r="AS202" s="78"/>
      <c r="AT202" s="78"/>
      <c r="AU202" s="78"/>
      <c r="AV202" s="78"/>
      <c r="AW202" s="78"/>
      <c r="AX202" s="78"/>
      <c r="AY202" s="78"/>
      <c r="AZ202" s="78"/>
      <c r="BA202" s="78"/>
      <c r="BB202" s="78"/>
      <c r="BC202" s="78"/>
      <c r="BD202" s="78"/>
      <c r="BE202" s="78"/>
      <c r="BF202" s="78"/>
      <c r="BG202" s="78"/>
      <c r="BH202" s="78"/>
      <c r="BI202" s="78"/>
      <c r="BJ202" s="78"/>
      <c r="BK202" s="78"/>
      <c r="BL202" s="78"/>
      <c r="BM202" s="78"/>
      <c r="BN202" s="78"/>
      <c r="BO202" s="78"/>
      <c r="BP202" s="78"/>
      <c r="BQ202" s="78"/>
      <c r="BR202" s="78"/>
      <c r="BS202" s="78"/>
      <c r="BT202" s="78"/>
      <c r="BU202" s="78"/>
      <c r="BV202" s="78"/>
      <c r="BW202" s="78"/>
      <c r="BX202" s="78"/>
      <c r="BY202" s="78"/>
      <c r="BZ202" s="78"/>
    </row>
    <row r="203" spans="1:78" x14ac:dyDescent="0.2">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78"/>
      <c r="AE203" s="78"/>
      <c r="AF203" s="78"/>
      <c r="AG203" s="78"/>
      <c r="AH203" s="78"/>
      <c r="AI203" s="78"/>
      <c r="AJ203" s="78"/>
      <c r="AK203" s="78"/>
      <c r="AL203" s="78"/>
      <c r="AM203" s="78"/>
      <c r="AN203" s="78"/>
      <c r="AO203" s="78"/>
      <c r="AP203" s="78"/>
      <c r="AQ203" s="78"/>
      <c r="AR203" s="78"/>
      <c r="AS203" s="78"/>
      <c r="AT203" s="78"/>
      <c r="AU203" s="78"/>
      <c r="AV203" s="78"/>
      <c r="AW203" s="78"/>
      <c r="AX203" s="78"/>
      <c r="AY203" s="78"/>
      <c r="AZ203" s="78"/>
      <c r="BA203" s="78"/>
      <c r="BB203" s="78"/>
      <c r="BC203" s="78"/>
      <c r="BD203" s="78"/>
      <c r="BE203" s="78"/>
      <c r="BF203" s="78"/>
      <c r="BG203" s="78"/>
      <c r="BH203" s="78"/>
      <c r="BI203" s="78"/>
      <c r="BJ203" s="78"/>
      <c r="BK203" s="78"/>
      <c r="BL203" s="78"/>
      <c r="BM203" s="78"/>
      <c r="BN203" s="78"/>
      <c r="BO203" s="78"/>
      <c r="BP203" s="78"/>
      <c r="BQ203" s="78"/>
      <c r="BR203" s="78"/>
      <c r="BS203" s="78"/>
      <c r="BT203" s="78"/>
      <c r="BU203" s="78"/>
      <c r="BV203" s="78"/>
      <c r="BW203" s="78"/>
      <c r="BX203" s="78"/>
      <c r="BY203" s="78"/>
      <c r="BZ203" s="78"/>
    </row>
    <row r="204" spans="1:78" x14ac:dyDescent="0.2">
      <c r="A204" s="78"/>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c r="AA204" s="78"/>
      <c r="AB204" s="78"/>
      <c r="AC204" s="78"/>
      <c r="AD204" s="78"/>
      <c r="AE204" s="78"/>
      <c r="AF204" s="78"/>
      <c r="AG204" s="78"/>
      <c r="AH204" s="78"/>
      <c r="AI204" s="78"/>
      <c r="AJ204" s="78"/>
      <c r="AK204" s="78"/>
      <c r="AL204" s="78"/>
      <c r="AM204" s="78"/>
      <c r="AN204" s="78"/>
      <c r="AO204" s="78"/>
      <c r="AP204" s="78"/>
      <c r="AQ204" s="78"/>
      <c r="AR204" s="78"/>
      <c r="AS204" s="78"/>
      <c r="AT204" s="78"/>
      <c r="AU204" s="78"/>
      <c r="AV204" s="78"/>
      <c r="AW204" s="78"/>
      <c r="AX204" s="78"/>
      <c r="AY204" s="78"/>
      <c r="AZ204" s="78"/>
      <c r="BA204" s="78"/>
      <c r="BB204" s="78"/>
      <c r="BC204" s="78"/>
      <c r="BD204" s="78"/>
      <c r="BE204" s="78"/>
      <c r="BF204" s="78"/>
      <c r="BG204" s="78"/>
      <c r="BH204" s="78"/>
      <c r="BI204" s="78"/>
      <c r="BJ204" s="78"/>
      <c r="BK204" s="78"/>
      <c r="BL204" s="78"/>
      <c r="BM204" s="78"/>
      <c r="BN204" s="78"/>
      <c r="BO204" s="78"/>
      <c r="BP204" s="78"/>
      <c r="BQ204" s="78"/>
      <c r="BR204" s="78"/>
      <c r="BS204" s="78"/>
      <c r="BT204" s="78"/>
      <c r="BU204" s="78"/>
      <c r="BV204" s="78"/>
      <c r="BW204" s="78"/>
      <c r="BX204" s="78"/>
      <c r="BY204" s="78"/>
      <c r="BZ204" s="78"/>
    </row>
    <row r="205" spans="1:78" x14ac:dyDescent="0.2">
      <c r="A205" s="78"/>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c r="AA205" s="78"/>
      <c r="AB205" s="78"/>
      <c r="AC205" s="78"/>
      <c r="AD205" s="78"/>
      <c r="AE205" s="78"/>
      <c r="AF205" s="78"/>
      <c r="AG205" s="78"/>
      <c r="AH205" s="78"/>
      <c r="AI205" s="78"/>
      <c r="AJ205" s="78"/>
      <c r="AK205" s="78"/>
      <c r="AL205" s="78"/>
      <c r="AM205" s="78"/>
      <c r="AN205" s="78"/>
      <c r="AO205" s="78"/>
      <c r="AP205" s="78"/>
      <c r="AQ205" s="78"/>
      <c r="AR205" s="78"/>
      <c r="AS205" s="78"/>
      <c r="AT205" s="78"/>
      <c r="AU205" s="78"/>
      <c r="AV205" s="78"/>
      <c r="AW205" s="78"/>
      <c r="AX205" s="78"/>
      <c r="AY205" s="78"/>
      <c r="AZ205" s="78"/>
      <c r="BA205" s="78"/>
      <c r="BB205" s="78"/>
      <c r="BC205" s="78"/>
      <c r="BD205" s="78"/>
      <c r="BE205" s="78"/>
      <c r="BF205" s="78"/>
      <c r="BG205" s="78"/>
      <c r="BH205" s="78"/>
      <c r="BI205" s="78"/>
      <c r="BJ205" s="78"/>
      <c r="BK205" s="78"/>
      <c r="BL205" s="78"/>
      <c r="BM205" s="78"/>
      <c r="BN205" s="78"/>
      <c r="BO205" s="78"/>
      <c r="BP205" s="78"/>
      <c r="BQ205" s="78"/>
      <c r="BR205" s="78"/>
      <c r="BS205" s="78"/>
      <c r="BT205" s="78"/>
      <c r="BU205" s="78"/>
      <c r="BV205" s="78"/>
      <c r="BW205" s="78"/>
      <c r="BX205" s="78"/>
      <c r="BY205" s="78"/>
      <c r="BZ205" s="78"/>
    </row>
    <row r="206" spans="1:78" x14ac:dyDescent="0.2">
      <c r="A206" s="78"/>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c r="AA206" s="78"/>
      <c r="AB206" s="78"/>
      <c r="AC206" s="78"/>
      <c r="AD206" s="78"/>
      <c r="AE206" s="78"/>
      <c r="AF206" s="78"/>
      <c r="AG206" s="78"/>
      <c r="AH206" s="78"/>
      <c r="AI206" s="78"/>
      <c r="AJ206" s="78"/>
      <c r="AK206" s="78"/>
      <c r="AL206" s="78"/>
      <c r="AM206" s="78"/>
      <c r="AN206" s="78"/>
      <c r="AO206" s="78"/>
      <c r="AP206" s="78"/>
      <c r="AQ206" s="78"/>
      <c r="AR206" s="78"/>
      <c r="AS206" s="78"/>
      <c r="AT206" s="78"/>
      <c r="AU206" s="78"/>
      <c r="AV206" s="78"/>
      <c r="AW206" s="78"/>
      <c r="AX206" s="78"/>
      <c r="AY206" s="78"/>
      <c r="AZ206" s="78"/>
      <c r="BA206" s="78"/>
      <c r="BB206" s="78"/>
      <c r="BC206" s="78"/>
      <c r="BD206" s="78"/>
      <c r="BE206" s="78"/>
      <c r="BF206" s="78"/>
      <c r="BG206" s="78"/>
      <c r="BH206" s="78"/>
      <c r="BI206" s="78"/>
      <c r="BJ206" s="78"/>
      <c r="BK206" s="78"/>
      <c r="BL206" s="78"/>
      <c r="BM206" s="78"/>
      <c r="BN206" s="78"/>
      <c r="BO206" s="78"/>
      <c r="BP206" s="78"/>
      <c r="BQ206" s="78"/>
      <c r="BR206" s="78"/>
      <c r="BS206" s="78"/>
      <c r="BT206" s="78"/>
      <c r="BU206" s="78"/>
      <c r="BV206" s="78"/>
      <c r="BW206" s="78"/>
      <c r="BX206" s="78"/>
      <c r="BY206" s="78"/>
      <c r="BZ206" s="78"/>
    </row>
    <row r="207" spans="1:78" x14ac:dyDescent="0.2">
      <c r="A207" s="78"/>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c r="AA207" s="78"/>
      <c r="AB207" s="78"/>
      <c r="AC207" s="78"/>
      <c r="AD207" s="78"/>
      <c r="AE207" s="78"/>
      <c r="AF207" s="78"/>
      <c r="AG207" s="78"/>
      <c r="AH207" s="78"/>
      <c r="AI207" s="78"/>
      <c r="AJ207" s="78"/>
      <c r="AK207" s="78"/>
      <c r="AL207" s="78"/>
      <c r="AM207" s="78"/>
      <c r="AN207" s="78"/>
      <c r="AO207" s="78"/>
      <c r="AP207" s="78"/>
      <c r="AQ207" s="78"/>
      <c r="AR207" s="78"/>
      <c r="AS207" s="78"/>
      <c r="AT207" s="78"/>
      <c r="AU207" s="78"/>
      <c r="AV207" s="78"/>
      <c r="AW207" s="78"/>
      <c r="AX207" s="78"/>
      <c r="AY207" s="78"/>
      <c r="AZ207" s="78"/>
      <c r="BA207" s="78"/>
      <c r="BB207" s="78"/>
      <c r="BC207" s="78"/>
      <c r="BD207" s="78"/>
      <c r="BE207" s="78"/>
      <c r="BF207" s="78"/>
      <c r="BG207" s="78"/>
      <c r="BH207" s="78"/>
      <c r="BI207" s="78"/>
      <c r="BJ207" s="78"/>
      <c r="BK207" s="78"/>
      <c r="BL207" s="78"/>
      <c r="BM207" s="78"/>
      <c r="BN207" s="78"/>
      <c r="BO207" s="78"/>
      <c r="BP207" s="78"/>
      <c r="BQ207" s="78"/>
      <c r="BR207" s="78"/>
      <c r="BS207" s="78"/>
      <c r="BT207" s="78"/>
      <c r="BU207" s="78"/>
      <c r="BV207" s="78"/>
      <c r="BW207" s="78"/>
      <c r="BX207" s="78"/>
      <c r="BY207" s="78"/>
      <c r="BZ207" s="78"/>
    </row>
    <row r="208" spans="1:78" x14ac:dyDescent="0.2">
      <c r="A208" s="7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c r="AA208" s="78"/>
      <c r="AB208" s="78"/>
      <c r="AC208" s="78"/>
      <c r="AD208" s="78"/>
      <c r="AE208" s="78"/>
      <c r="AF208" s="78"/>
      <c r="AG208" s="78"/>
      <c r="AH208" s="78"/>
      <c r="AI208" s="78"/>
      <c r="AJ208" s="78"/>
      <c r="AK208" s="78"/>
      <c r="AL208" s="78"/>
      <c r="AM208" s="78"/>
      <c r="AN208" s="78"/>
      <c r="AO208" s="78"/>
      <c r="AP208" s="78"/>
      <c r="AQ208" s="78"/>
      <c r="AR208" s="78"/>
      <c r="AS208" s="78"/>
      <c r="AT208" s="78"/>
      <c r="AU208" s="78"/>
      <c r="AV208" s="78"/>
      <c r="AW208" s="78"/>
      <c r="AX208" s="78"/>
      <c r="AY208" s="78"/>
      <c r="AZ208" s="78"/>
      <c r="BA208" s="78"/>
      <c r="BB208" s="78"/>
      <c r="BC208" s="78"/>
      <c r="BD208" s="78"/>
      <c r="BE208" s="78"/>
      <c r="BF208" s="78"/>
      <c r="BG208" s="78"/>
      <c r="BH208" s="78"/>
      <c r="BI208" s="78"/>
      <c r="BJ208" s="78"/>
      <c r="BK208" s="78"/>
      <c r="BL208" s="78"/>
      <c r="BM208" s="78"/>
      <c r="BN208" s="78"/>
      <c r="BO208" s="78"/>
      <c r="BP208" s="78"/>
      <c r="BQ208" s="78"/>
      <c r="BR208" s="78"/>
      <c r="BS208" s="78"/>
      <c r="BT208" s="78"/>
      <c r="BU208" s="78"/>
      <c r="BV208" s="78"/>
      <c r="BW208" s="78"/>
      <c r="BX208" s="78"/>
      <c r="BY208" s="78"/>
      <c r="BZ208" s="78"/>
    </row>
    <row r="209" spans="1:78" x14ac:dyDescent="0.2">
      <c r="A209" s="78"/>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c r="AA209" s="78"/>
      <c r="AB209" s="78"/>
      <c r="AC209" s="78"/>
      <c r="AD209" s="78"/>
      <c r="AE209" s="78"/>
      <c r="AF209" s="78"/>
      <c r="AG209" s="78"/>
      <c r="AH209" s="78"/>
      <c r="AI209" s="78"/>
      <c r="AJ209" s="78"/>
      <c r="AK209" s="78"/>
      <c r="AL209" s="78"/>
      <c r="AM209" s="78"/>
      <c r="AN209" s="78"/>
      <c r="AO209" s="78"/>
      <c r="AP209" s="78"/>
      <c r="AQ209" s="78"/>
      <c r="AR209" s="78"/>
      <c r="AS209" s="78"/>
      <c r="AT209" s="78"/>
      <c r="AU209" s="78"/>
      <c r="AV209" s="78"/>
      <c r="AW209" s="78"/>
      <c r="AX209" s="78"/>
      <c r="AY209" s="78"/>
      <c r="AZ209" s="78"/>
      <c r="BA209" s="78"/>
      <c r="BB209" s="78"/>
      <c r="BC209" s="78"/>
      <c r="BD209" s="78"/>
      <c r="BE209" s="78"/>
      <c r="BF209" s="78"/>
      <c r="BG209" s="78"/>
      <c r="BH209" s="78"/>
      <c r="BI209" s="78"/>
      <c r="BJ209" s="78"/>
      <c r="BK209" s="78"/>
      <c r="BL209" s="78"/>
      <c r="BM209" s="78"/>
      <c r="BN209" s="78"/>
      <c r="BO209" s="78"/>
      <c r="BP209" s="78"/>
      <c r="BQ209" s="78"/>
      <c r="BR209" s="78"/>
      <c r="BS209" s="78"/>
      <c r="BT209" s="78"/>
      <c r="BU209" s="78"/>
      <c r="BV209" s="78"/>
      <c r="BW209" s="78"/>
      <c r="BX209" s="78"/>
      <c r="BY209" s="78"/>
      <c r="BZ209" s="78"/>
    </row>
    <row r="210" spans="1:78" x14ac:dyDescent="0.2">
      <c r="A210" s="78"/>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c r="AA210" s="78"/>
      <c r="AB210" s="78"/>
      <c r="AC210" s="78"/>
      <c r="AD210" s="78"/>
      <c r="AE210" s="78"/>
      <c r="AF210" s="78"/>
      <c r="AG210" s="78"/>
      <c r="AH210" s="78"/>
      <c r="AI210" s="78"/>
      <c r="AJ210" s="78"/>
      <c r="AK210" s="78"/>
      <c r="AL210" s="78"/>
      <c r="AM210" s="78"/>
      <c r="AN210" s="78"/>
      <c r="AO210" s="78"/>
      <c r="AP210" s="78"/>
      <c r="AQ210" s="78"/>
      <c r="AR210" s="78"/>
      <c r="AS210" s="78"/>
      <c r="AT210" s="78"/>
      <c r="AU210" s="78"/>
      <c r="AV210" s="78"/>
      <c r="AW210" s="78"/>
      <c r="AX210" s="78"/>
      <c r="AY210" s="78"/>
      <c r="AZ210" s="78"/>
      <c r="BA210" s="78"/>
      <c r="BB210" s="78"/>
      <c r="BC210" s="78"/>
      <c r="BD210" s="78"/>
      <c r="BE210" s="78"/>
      <c r="BF210" s="78"/>
      <c r="BG210" s="78"/>
      <c r="BH210" s="78"/>
      <c r="BI210" s="78"/>
      <c r="BJ210" s="78"/>
      <c r="BK210" s="78"/>
      <c r="BL210" s="78"/>
      <c r="BM210" s="78"/>
      <c r="BN210" s="78"/>
      <c r="BO210" s="78"/>
      <c r="BP210" s="78"/>
      <c r="BQ210" s="78"/>
      <c r="BR210" s="78"/>
      <c r="BS210" s="78"/>
      <c r="BT210" s="78"/>
      <c r="BU210" s="78"/>
      <c r="BV210" s="78"/>
      <c r="BW210" s="78"/>
      <c r="BX210" s="78"/>
      <c r="BY210" s="78"/>
      <c r="BZ210" s="78"/>
    </row>
    <row r="211" spans="1:78" x14ac:dyDescent="0.2">
      <c r="A211" s="78"/>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c r="Z211" s="78"/>
      <c r="AA211" s="78"/>
      <c r="AB211" s="78"/>
      <c r="AC211" s="78"/>
      <c r="AD211" s="78"/>
      <c r="AE211" s="78"/>
      <c r="AF211" s="78"/>
      <c r="AG211" s="78"/>
      <c r="AH211" s="78"/>
      <c r="AI211" s="78"/>
      <c r="AJ211" s="78"/>
      <c r="AK211" s="78"/>
      <c r="AL211" s="78"/>
      <c r="AM211" s="78"/>
      <c r="AN211" s="78"/>
      <c r="AO211" s="78"/>
      <c r="AP211" s="78"/>
      <c r="AQ211" s="78"/>
      <c r="AR211" s="78"/>
      <c r="AS211" s="78"/>
      <c r="AT211" s="78"/>
      <c r="AU211" s="78"/>
      <c r="AV211" s="78"/>
      <c r="AW211" s="78"/>
      <c r="AX211" s="78"/>
      <c r="AY211" s="78"/>
      <c r="AZ211" s="78"/>
      <c r="BA211" s="78"/>
      <c r="BB211" s="78"/>
      <c r="BC211" s="78"/>
      <c r="BD211" s="78"/>
      <c r="BE211" s="78"/>
      <c r="BF211" s="78"/>
      <c r="BG211" s="78"/>
      <c r="BH211" s="78"/>
      <c r="BI211" s="78"/>
      <c r="BJ211" s="78"/>
      <c r="BK211" s="78"/>
      <c r="BL211" s="78"/>
      <c r="BM211" s="78"/>
      <c r="BN211" s="78"/>
      <c r="BO211" s="78"/>
      <c r="BP211" s="78"/>
      <c r="BQ211" s="78"/>
      <c r="BR211" s="78"/>
      <c r="BS211" s="78"/>
      <c r="BT211" s="78"/>
      <c r="BU211" s="78"/>
      <c r="BV211" s="78"/>
      <c r="BW211" s="78"/>
      <c r="BX211" s="78"/>
      <c r="BY211" s="78"/>
      <c r="BZ211" s="78"/>
    </row>
    <row r="212" spans="1:78" x14ac:dyDescent="0.2">
      <c r="A212" s="78"/>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c r="AA212" s="78"/>
      <c r="AB212" s="78"/>
      <c r="AC212" s="78"/>
      <c r="AD212" s="78"/>
      <c r="AE212" s="78"/>
      <c r="AF212" s="78"/>
      <c r="AG212" s="78"/>
      <c r="AH212" s="78"/>
      <c r="AI212" s="78"/>
      <c r="AJ212" s="78"/>
      <c r="AK212" s="78"/>
      <c r="AL212" s="78"/>
      <c r="AM212" s="78"/>
      <c r="AN212" s="78"/>
      <c r="AO212" s="78"/>
      <c r="AP212" s="78"/>
      <c r="AQ212" s="78"/>
      <c r="AR212" s="78"/>
      <c r="AS212" s="78"/>
      <c r="AT212" s="78"/>
      <c r="AU212" s="78"/>
      <c r="AV212" s="78"/>
      <c r="AW212" s="78"/>
      <c r="AX212" s="78"/>
      <c r="AY212" s="78"/>
      <c r="AZ212" s="78"/>
      <c r="BA212" s="78"/>
      <c r="BB212" s="78"/>
      <c r="BC212" s="78"/>
      <c r="BD212" s="78"/>
      <c r="BE212" s="78"/>
      <c r="BF212" s="78"/>
      <c r="BG212" s="78"/>
      <c r="BH212" s="78"/>
      <c r="BI212" s="78"/>
      <c r="BJ212" s="78"/>
      <c r="BK212" s="78"/>
      <c r="BL212" s="78"/>
      <c r="BM212" s="78"/>
      <c r="BN212" s="78"/>
      <c r="BO212" s="78"/>
      <c r="BP212" s="78"/>
      <c r="BQ212" s="78"/>
      <c r="BR212" s="78"/>
      <c r="BS212" s="78"/>
      <c r="BT212" s="78"/>
      <c r="BU212" s="78"/>
      <c r="BV212" s="78"/>
      <c r="BW212" s="78"/>
      <c r="BX212" s="78"/>
      <c r="BY212" s="78"/>
      <c r="BZ212" s="78"/>
    </row>
    <row r="213" spans="1:78" x14ac:dyDescent="0.2">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c r="AA213" s="78"/>
      <c r="AB213" s="78"/>
      <c r="AC213" s="78"/>
      <c r="AD213" s="78"/>
      <c r="AE213" s="78"/>
      <c r="AF213" s="78"/>
      <c r="AG213" s="78"/>
      <c r="AH213" s="78"/>
      <c r="AI213" s="78"/>
      <c r="AJ213" s="78"/>
      <c r="AK213" s="78"/>
      <c r="AL213" s="78"/>
      <c r="AM213" s="78"/>
      <c r="AN213" s="78"/>
      <c r="AO213" s="78"/>
      <c r="AP213" s="78"/>
      <c r="AQ213" s="78"/>
      <c r="AR213" s="78"/>
      <c r="AS213" s="78"/>
      <c r="AT213" s="78"/>
      <c r="AU213" s="78"/>
      <c r="AV213" s="78"/>
      <c r="AW213" s="78"/>
      <c r="AX213" s="78"/>
      <c r="AY213" s="78"/>
      <c r="AZ213" s="78"/>
      <c r="BA213" s="78"/>
      <c r="BB213" s="78"/>
      <c r="BC213" s="78"/>
      <c r="BD213" s="78"/>
      <c r="BE213" s="78"/>
      <c r="BF213" s="78"/>
      <c r="BG213" s="78"/>
      <c r="BH213" s="78"/>
      <c r="BI213" s="78"/>
      <c r="BJ213" s="78"/>
      <c r="BK213" s="78"/>
      <c r="BL213" s="78"/>
      <c r="BM213" s="78"/>
      <c r="BN213" s="78"/>
      <c r="BO213" s="78"/>
      <c r="BP213" s="78"/>
      <c r="BQ213" s="78"/>
      <c r="BR213" s="78"/>
      <c r="BS213" s="78"/>
      <c r="BT213" s="78"/>
      <c r="BU213" s="78"/>
      <c r="BV213" s="78"/>
      <c r="BW213" s="78"/>
      <c r="BX213" s="78"/>
      <c r="BY213" s="78"/>
      <c r="BZ213" s="78"/>
    </row>
    <row r="214" spans="1:78" x14ac:dyDescent="0.2">
      <c r="A214" s="78"/>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c r="AA214" s="78"/>
      <c r="AB214" s="78"/>
      <c r="AC214" s="78"/>
      <c r="AD214" s="78"/>
      <c r="AE214" s="78"/>
      <c r="AF214" s="78"/>
      <c r="AG214" s="78"/>
      <c r="AH214" s="78"/>
      <c r="AI214" s="78"/>
      <c r="AJ214" s="78"/>
      <c r="AK214" s="78"/>
      <c r="AL214" s="78"/>
      <c r="AM214" s="78"/>
      <c r="AN214" s="78"/>
      <c r="AO214" s="78"/>
      <c r="AP214" s="78"/>
      <c r="AQ214" s="78"/>
      <c r="AR214" s="78"/>
      <c r="AS214" s="78"/>
      <c r="AT214" s="78"/>
      <c r="AU214" s="78"/>
      <c r="AV214" s="78"/>
      <c r="AW214" s="78"/>
      <c r="AX214" s="78"/>
      <c r="AY214" s="78"/>
      <c r="AZ214" s="78"/>
      <c r="BA214" s="78"/>
      <c r="BB214" s="78"/>
      <c r="BC214" s="78"/>
      <c r="BD214" s="78"/>
      <c r="BE214" s="78"/>
      <c r="BF214" s="78"/>
      <c r="BG214" s="78"/>
      <c r="BH214" s="78"/>
      <c r="BI214" s="78"/>
      <c r="BJ214" s="78"/>
      <c r="BK214" s="78"/>
      <c r="BL214" s="78"/>
      <c r="BM214" s="78"/>
      <c r="BN214" s="78"/>
      <c r="BO214" s="78"/>
      <c r="BP214" s="78"/>
      <c r="BQ214" s="78"/>
      <c r="BR214" s="78"/>
      <c r="BS214" s="78"/>
      <c r="BT214" s="78"/>
      <c r="BU214" s="78"/>
      <c r="BV214" s="78"/>
      <c r="BW214" s="78"/>
      <c r="BX214" s="78"/>
      <c r="BY214" s="78"/>
      <c r="BZ214" s="78"/>
    </row>
    <row r="215" spans="1:78" x14ac:dyDescent="0.2">
      <c r="A215" s="7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c r="AA215" s="78"/>
      <c r="AB215" s="78"/>
      <c r="AC215" s="78"/>
      <c r="AD215" s="78"/>
      <c r="AE215" s="78"/>
      <c r="AF215" s="78"/>
      <c r="AG215" s="78"/>
      <c r="AH215" s="78"/>
      <c r="AI215" s="78"/>
      <c r="AJ215" s="78"/>
      <c r="AK215" s="78"/>
      <c r="AL215" s="78"/>
      <c r="AM215" s="78"/>
      <c r="AN215" s="78"/>
      <c r="AO215" s="78"/>
      <c r="AP215" s="78"/>
      <c r="AQ215" s="78"/>
      <c r="AR215" s="78"/>
      <c r="AS215" s="78"/>
      <c r="AT215" s="78"/>
      <c r="AU215" s="78"/>
      <c r="AV215" s="78"/>
      <c r="AW215" s="78"/>
      <c r="AX215" s="78"/>
      <c r="AY215" s="78"/>
      <c r="AZ215" s="78"/>
      <c r="BA215" s="78"/>
      <c r="BB215" s="78"/>
      <c r="BC215" s="78"/>
      <c r="BD215" s="78"/>
      <c r="BE215" s="78"/>
      <c r="BF215" s="78"/>
      <c r="BG215" s="78"/>
      <c r="BH215" s="78"/>
      <c r="BI215" s="78"/>
      <c r="BJ215" s="78"/>
      <c r="BK215" s="78"/>
      <c r="BL215" s="78"/>
      <c r="BM215" s="78"/>
      <c r="BN215" s="78"/>
      <c r="BO215" s="78"/>
      <c r="BP215" s="78"/>
      <c r="BQ215" s="78"/>
      <c r="BR215" s="78"/>
      <c r="BS215" s="78"/>
      <c r="BT215" s="78"/>
      <c r="BU215" s="78"/>
      <c r="BV215" s="78"/>
      <c r="BW215" s="78"/>
      <c r="BX215" s="78"/>
      <c r="BY215" s="78"/>
      <c r="BZ215" s="78"/>
    </row>
    <row r="216" spans="1:78" x14ac:dyDescent="0.2">
      <c r="A216" s="78"/>
      <c r="B216" s="78"/>
      <c r="C216" s="78"/>
      <c r="D216" s="78"/>
      <c r="E216" s="78"/>
      <c r="F216" s="78"/>
      <c r="G216" s="78"/>
      <c r="H216" s="78"/>
      <c r="I216" s="78"/>
      <c r="J216" s="78"/>
      <c r="K216" s="78"/>
      <c r="L216" s="78"/>
      <c r="M216" s="78"/>
      <c r="N216" s="78"/>
      <c r="O216" s="78"/>
      <c r="P216" s="78"/>
      <c r="Q216" s="78"/>
      <c r="R216" s="78"/>
      <c r="S216" s="78"/>
      <c r="T216" s="78"/>
      <c r="U216" s="78"/>
      <c r="V216" s="78"/>
      <c r="W216" s="78"/>
      <c r="X216" s="78"/>
      <c r="Y216" s="78"/>
      <c r="Z216" s="78"/>
      <c r="AA216" s="78"/>
      <c r="AB216" s="78"/>
      <c r="AC216" s="78"/>
      <c r="AD216" s="78"/>
      <c r="AE216" s="78"/>
      <c r="AF216" s="78"/>
      <c r="AG216" s="78"/>
      <c r="AH216" s="78"/>
      <c r="AI216" s="78"/>
      <c r="AJ216" s="78"/>
      <c r="AK216" s="78"/>
      <c r="AL216" s="78"/>
      <c r="AM216" s="78"/>
      <c r="AN216" s="78"/>
      <c r="AO216" s="78"/>
      <c r="AP216" s="78"/>
      <c r="AQ216" s="78"/>
      <c r="AR216" s="78"/>
      <c r="AS216" s="78"/>
      <c r="AT216" s="78"/>
      <c r="AU216" s="78"/>
      <c r="AV216" s="78"/>
      <c r="AW216" s="78"/>
      <c r="AX216" s="78"/>
      <c r="AY216" s="78"/>
      <c r="AZ216" s="78"/>
      <c r="BA216" s="78"/>
      <c r="BB216" s="78"/>
      <c r="BC216" s="78"/>
      <c r="BD216" s="78"/>
      <c r="BE216" s="78"/>
      <c r="BF216" s="78"/>
      <c r="BG216" s="78"/>
      <c r="BH216" s="78"/>
      <c r="BI216" s="78"/>
      <c r="BJ216" s="78"/>
      <c r="BK216" s="78"/>
      <c r="BL216" s="78"/>
      <c r="BM216" s="78"/>
      <c r="BN216" s="78"/>
      <c r="BO216" s="78"/>
      <c r="BP216" s="78"/>
      <c r="BQ216" s="78"/>
      <c r="BR216" s="78"/>
      <c r="BS216" s="78"/>
      <c r="BT216" s="78"/>
      <c r="BU216" s="78"/>
      <c r="BV216" s="78"/>
      <c r="BW216" s="78"/>
      <c r="BX216" s="78"/>
      <c r="BY216" s="78"/>
      <c r="BZ216" s="78"/>
    </row>
    <row r="217" spans="1:78" x14ac:dyDescent="0.2">
      <c r="A217" s="78"/>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c r="AQ217" s="78"/>
      <c r="AR217" s="78"/>
      <c r="AS217" s="78"/>
      <c r="AT217" s="78"/>
      <c r="AU217" s="78"/>
      <c r="AV217" s="78"/>
      <c r="AW217" s="78"/>
      <c r="AX217" s="78"/>
      <c r="AY217" s="78"/>
      <c r="AZ217" s="78"/>
      <c r="BA217" s="78"/>
      <c r="BB217" s="78"/>
      <c r="BC217" s="78"/>
      <c r="BD217" s="78"/>
      <c r="BE217" s="78"/>
      <c r="BF217" s="78"/>
      <c r="BG217" s="78"/>
      <c r="BH217" s="78"/>
      <c r="BI217" s="78"/>
      <c r="BJ217" s="78"/>
      <c r="BK217" s="78"/>
      <c r="BL217" s="78"/>
      <c r="BM217" s="78"/>
      <c r="BN217" s="78"/>
      <c r="BO217" s="78"/>
      <c r="BP217" s="78"/>
      <c r="BQ217" s="78"/>
      <c r="BR217" s="78"/>
      <c r="BS217" s="78"/>
      <c r="BT217" s="78"/>
      <c r="BU217" s="78"/>
      <c r="BV217" s="78"/>
      <c r="BW217" s="78"/>
      <c r="BX217" s="78"/>
      <c r="BY217" s="78"/>
      <c r="BZ217" s="78"/>
    </row>
    <row r="218" spans="1:78" x14ac:dyDescent="0.2">
      <c r="A218" s="7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c r="AQ218" s="78"/>
      <c r="AR218" s="78"/>
      <c r="AS218" s="78"/>
      <c r="AT218" s="78"/>
      <c r="AU218" s="78"/>
      <c r="AV218" s="78"/>
      <c r="AW218" s="78"/>
      <c r="AX218" s="78"/>
      <c r="AY218" s="78"/>
      <c r="AZ218" s="78"/>
      <c r="BA218" s="78"/>
      <c r="BB218" s="78"/>
      <c r="BC218" s="78"/>
      <c r="BD218" s="78"/>
      <c r="BE218" s="78"/>
      <c r="BF218" s="78"/>
      <c r="BG218" s="78"/>
      <c r="BH218" s="78"/>
      <c r="BI218" s="78"/>
      <c r="BJ218" s="78"/>
      <c r="BK218" s="78"/>
      <c r="BL218" s="78"/>
      <c r="BM218" s="78"/>
      <c r="BN218" s="78"/>
      <c r="BO218" s="78"/>
      <c r="BP218" s="78"/>
      <c r="BQ218" s="78"/>
      <c r="BR218" s="78"/>
      <c r="BS218" s="78"/>
      <c r="BT218" s="78"/>
      <c r="BU218" s="78"/>
      <c r="BV218" s="78"/>
      <c r="BW218" s="78"/>
      <c r="BX218" s="78"/>
      <c r="BY218" s="78"/>
      <c r="BZ218" s="78"/>
    </row>
    <row r="219" spans="1:78" x14ac:dyDescent="0.2">
      <c r="A219" s="78"/>
      <c r="B219" s="78"/>
      <c r="C219" s="78"/>
      <c r="D219" s="78"/>
      <c r="E219" s="78"/>
      <c r="F219" s="78"/>
      <c r="G219" s="78"/>
      <c r="H219" s="78"/>
      <c r="I219" s="78"/>
      <c r="J219" s="78"/>
      <c r="K219" s="78"/>
      <c r="L219" s="78"/>
      <c r="M219" s="78"/>
      <c r="N219" s="78"/>
      <c r="O219" s="78"/>
      <c r="P219" s="78"/>
      <c r="Q219" s="78"/>
      <c r="R219" s="78"/>
      <c r="S219" s="78"/>
      <c r="T219" s="78"/>
      <c r="U219" s="78"/>
      <c r="V219" s="78"/>
      <c r="W219" s="78"/>
      <c r="X219" s="78"/>
      <c r="Y219" s="78"/>
      <c r="Z219" s="78"/>
      <c r="AA219" s="78"/>
      <c r="AB219" s="78"/>
      <c r="AC219" s="78"/>
      <c r="AD219" s="78"/>
      <c r="AE219" s="78"/>
      <c r="AF219" s="78"/>
      <c r="AG219" s="78"/>
      <c r="AH219" s="78"/>
      <c r="AI219" s="78"/>
      <c r="AJ219" s="78"/>
      <c r="AK219" s="78"/>
      <c r="AL219" s="78"/>
      <c r="AM219" s="78"/>
      <c r="AN219" s="78"/>
      <c r="AO219" s="78"/>
      <c r="AP219" s="78"/>
      <c r="AQ219" s="78"/>
      <c r="AR219" s="78"/>
      <c r="AS219" s="78"/>
      <c r="AT219" s="78"/>
      <c r="AU219" s="78"/>
      <c r="AV219" s="78"/>
      <c r="AW219" s="78"/>
      <c r="AX219" s="78"/>
      <c r="AY219" s="78"/>
      <c r="AZ219" s="78"/>
      <c r="BA219" s="78"/>
      <c r="BB219" s="78"/>
      <c r="BC219" s="78"/>
      <c r="BD219" s="78"/>
      <c r="BE219" s="78"/>
      <c r="BF219" s="78"/>
      <c r="BG219" s="78"/>
      <c r="BH219" s="78"/>
      <c r="BI219" s="78"/>
      <c r="BJ219" s="78"/>
      <c r="BK219" s="78"/>
      <c r="BL219" s="78"/>
      <c r="BM219" s="78"/>
      <c r="BN219" s="78"/>
      <c r="BO219" s="78"/>
      <c r="BP219" s="78"/>
      <c r="BQ219" s="78"/>
      <c r="BR219" s="78"/>
      <c r="BS219" s="78"/>
      <c r="BT219" s="78"/>
      <c r="BU219" s="78"/>
      <c r="BV219" s="78"/>
      <c r="BW219" s="78"/>
      <c r="BX219" s="78"/>
      <c r="BY219" s="78"/>
      <c r="BZ219" s="78"/>
    </row>
    <row r="220" spans="1:78" x14ac:dyDescent="0.2">
      <c r="A220" s="78"/>
      <c r="B220" s="78"/>
      <c r="C220" s="78"/>
      <c r="D220" s="78"/>
      <c r="E220" s="78"/>
      <c r="F220" s="78"/>
      <c r="G220" s="78"/>
      <c r="H220" s="78"/>
      <c r="I220" s="78"/>
      <c r="J220" s="78"/>
      <c r="K220" s="78"/>
      <c r="L220" s="78"/>
      <c r="M220" s="78"/>
      <c r="N220" s="78"/>
      <c r="O220" s="78"/>
      <c r="P220" s="78"/>
      <c r="Q220" s="78"/>
      <c r="R220" s="78"/>
      <c r="S220" s="78"/>
      <c r="T220" s="78"/>
      <c r="U220" s="78"/>
      <c r="V220" s="78"/>
      <c r="W220" s="78"/>
      <c r="X220" s="78"/>
      <c r="Y220" s="78"/>
      <c r="Z220" s="78"/>
      <c r="AA220" s="78"/>
      <c r="AB220" s="78"/>
      <c r="AC220" s="78"/>
      <c r="AD220" s="78"/>
      <c r="AE220" s="78"/>
      <c r="AF220" s="78"/>
      <c r="AG220" s="78"/>
      <c r="AH220" s="78"/>
      <c r="AI220" s="78"/>
      <c r="AJ220" s="78"/>
      <c r="AK220" s="78"/>
      <c r="AL220" s="78"/>
      <c r="AM220" s="78"/>
      <c r="AN220" s="78"/>
      <c r="AO220" s="78"/>
      <c r="AP220" s="78"/>
      <c r="AQ220" s="78"/>
      <c r="AR220" s="78"/>
      <c r="AS220" s="78"/>
      <c r="AT220" s="78"/>
      <c r="AU220" s="78"/>
      <c r="AV220" s="78"/>
      <c r="AW220" s="78"/>
      <c r="AX220" s="78"/>
      <c r="AY220" s="78"/>
      <c r="AZ220" s="78"/>
      <c r="BA220" s="78"/>
      <c r="BB220" s="78"/>
      <c r="BC220" s="78"/>
      <c r="BD220" s="78"/>
      <c r="BE220" s="78"/>
      <c r="BF220" s="78"/>
      <c r="BG220" s="78"/>
      <c r="BH220" s="78"/>
      <c r="BI220" s="78"/>
      <c r="BJ220" s="78"/>
      <c r="BK220" s="78"/>
      <c r="BL220" s="78"/>
      <c r="BM220" s="78"/>
      <c r="BN220" s="78"/>
      <c r="BO220" s="78"/>
      <c r="BP220" s="78"/>
      <c r="BQ220" s="78"/>
      <c r="BR220" s="78"/>
      <c r="BS220" s="78"/>
      <c r="BT220" s="78"/>
      <c r="BU220" s="78"/>
      <c r="BV220" s="78"/>
      <c r="BW220" s="78"/>
      <c r="BX220" s="78"/>
      <c r="BY220" s="78"/>
      <c r="BZ220" s="78"/>
    </row>
    <row r="221" spans="1:78" x14ac:dyDescent="0.2">
      <c r="A221" s="78"/>
      <c r="B221" s="78"/>
      <c r="C221" s="78"/>
      <c r="D221" s="78"/>
      <c r="E221" s="78"/>
      <c r="F221" s="78"/>
      <c r="G221" s="78"/>
      <c r="H221" s="78"/>
      <c r="I221" s="78"/>
      <c r="J221" s="78"/>
      <c r="K221" s="78"/>
      <c r="L221" s="78"/>
      <c r="M221" s="78"/>
      <c r="N221" s="78"/>
      <c r="O221" s="78"/>
      <c r="P221" s="78"/>
      <c r="Q221" s="78"/>
      <c r="R221" s="78"/>
      <c r="S221" s="78"/>
      <c r="T221" s="78"/>
      <c r="U221" s="78"/>
      <c r="V221" s="78"/>
      <c r="W221" s="78"/>
      <c r="X221" s="78"/>
      <c r="Y221" s="78"/>
      <c r="Z221" s="78"/>
      <c r="AA221" s="78"/>
      <c r="AB221" s="78"/>
      <c r="AC221" s="78"/>
      <c r="AD221" s="78"/>
      <c r="AE221" s="78"/>
      <c r="AF221" s="78"/>
      <c r="AG221" s="78"/>
      <c r="AH221" s="78"/>
      <c r="AI221" s="78"/>
      <c r="AJ221" s="78"/>
      <c r="AK221" s="78"/>
      <c r="AL221" s="78"/>
      <c r="AM221" s="78"/>
      <c r="AN221" s="78"/>
      <c r="AO221" s="78"/>
      <c r="AP221" s="78"/>
      <c r="AQ221" s="78"/>
      <c r="AR221" s="78"/>
      <c r="AS221" s="78"/>
      <c r="AT221" s="78"/>
      <c r="AU221" s="78"/>
      <c r="AV221" s="78"/>
      <c r="AW221" s="78"/>
      <c r="AX221" s="78"/>
      <c r="AY221" s="78"/>
      <c r="AZ221" s="78"/>
      <c r="BA221" s="78"/>
      <c r="BB221" s="78"/>
      <c r="BC221" s="78"/>
      <c r="BD221" s="78"/>
      <c r="BE221" s="78"/>
      <c r="BF221" s="78"/>
      <c r="BG221" s="78"/>
      <c r="BH221" s="78"/>
      <c r="BI221" s="78"/>
      <c r="BJ221" s="78"/>
      <c r="BK221" s="78"/>
      <c r="BL221" s="78"/>
      <c r="BM221" s="78"/>
      <c r="BN221" s="78"/>
      <c r="BO221" s="78"/>
      <c r="BP221" s="78"/>
      <c r="BQ221" s="78"/>
      <c r="BR221" s="78"/>
      <c r="BS221" s="78"/>
      <c r="BT221" s="78"/>
      <c r="BU221" s="78"/>
      <c r="BV221" s="78"/>
      <c r="BW221" s="78"/>
      <c r="BX221" s="78"/>
      <c r="BY221" s="78"/>
      <c r="BZ221" s="78"/>
    </row>
    <row r="222" spans="1:78" x14ac:dyDescent="0.2">
      <c r="A222" s="78"/>
      <c r="B222" s="78"/>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c r="AQ222" s="78"/>
      <c r="AR222" s="78"/>
      <c r="AS222" s="78"/>
      <c r="AT222" s="78"/>
      <c r="AU222" s="78"/>
      <c r="AV222" s="78"/>
      <c r="AW222" s="78"/>
      <c r="AX222" s="78"/>
      <c r="AY222" s="78"/>
      <c r="AZ222" s="78"/>
      <c r="BA222" s="78"/>
      <c r="BB222" s="78"/>
      <c r="BC222" s="78"/>
      <c r="BD222" s="78"/>
      <c r="BE222" s="78"/>
      <c r="BF222" s="78"/>
      <c r="BG222" s="78"/>
      <c r="BH222" s="78"/>
      <c r="BI222" s="78"/>
      <c r="BJ222" s="78"/>
      <c r="BK222" s="78"/>
      <c r="BL222" s="78"/>
      <c r="BM222" s="78"/>
      <c r="BN222" s="78"/>
      <c r="BO222" s="78"/>
      <c r="BP222" s="78"/>
      <c r="BQ222" s="78"/>
      <c r="BR222" s="78"/>
      <c r="BS222" s="78"/>
      <c r="BT222" s="78"/>
      <c r="BU222" s="78"/>
      <c r="BV222" s="78"/>
      <c r="BW222" s="78"/>
      <c r="BX222" s="78"/>
      <c r="BY222" s="78"/>
      <c r="BZ222" s="78"/>
    </row>
    <row r="223" spans="1:78" x14ac:dyDescent="0.2">
      <c r="A223" s="78"/>
      <c r="B223" s="78"/>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E223" s="78"/>
      <c r="AF223" s="78"/>
      <c r="AG223" s="78"/>
      <c r="AH223" s="78"/>
      <c r="AI223" s="78"/>
      <c r="AJ223" s="78"/>
      <c r="AK223" s="78"/>
      <c r="AL223" s="78"/>
      <c r="AM223" s="78"/>
      <c r="AN223" s="78"/>
      <c r="AO223" s="78"/>
      <c r="AP223" s="78"/>
      <c r="AQ223" s="78"/>
      <c r="AR223" s="78"/>
      <c r="AS223" s="78"/>
      <c r="AT223" s="78"/>
      <c r="AU223" s="78"/>
      <c r="AV223" s="78"/>
      <c r="AW223" s="78"/>
      <c r="AX223" s="78"/>
      <c r="AY223" s="78"/>
      <c r="AZ223" s="78"/>
      <c r="BA223" s="78"/>
      <c r="BB223" s="78"/>
      <c r="BC223" s="78"/>
      <c r="BD223" s="78"/>
      <c r="BE223" s="78"/>
      <c r="BF223" s="78"/>
      <c r="BG223" s="78"/>
      <c r="BH223" s="78"/>
      <c r="BI223" s="78"/>
      <c r="BJ223" s="78"/>
      <c r="BK223" s="78"/>
      <c r="BL223" s="78"/>
      <c r="BM223" s="78"/>
      <c r="BN223" s="78"/>
      <c r="BO223" s="78"/>
      <c r="BP223" s="78"/>
      <c r="BQ223" s="78"/>
      <c r="BR223" s="78"/>
      <c r="BS223" s="78"/>
      <c r="BT223" s="78"/>
      <c r="BU223" s="78"/>
      <c r="BV223" s="78"/>
      <c r="BW223" s="78"/>
      <c r="BX223" s="78"/>
      <c r="BY223" s="78"/>
      <c r="BZ223" s="78"/>
    </row>
    <row r="224" spans="1:78" x14ac:dyDescent="0.2">
      <c r="A224" s="78"/>
      <c r="B224" s="78"/>
      <c r="C224" s="78"/>
      <c r="D224" s="78"/>
      <c r="E224" s="78"/>
      <c r="F224" s="78"/>
      <c r="G224" s="78"/>
      <c r="H224" s="78"/>
      <c r="I224" s="78"/>
      <c r="J224" s="78"/>
      <c r="K224" s="78"/>
      <c r="L224" s="78"/>
      <c r="M224" s="78"/>
      <c r="N224" s="78"/>
      <c r="O224" s="78"/>
      <c r="P224" s="78"/>
      <c r="Q224" s="78"/>
      <c r="R224" s="78"/>
      <c r="S224" s="78"/>
      <c r="T224" s="78"/>
      <c r="U224" s="78"/>
      <c r="V224" s="78"/>
      <c r="W224" s="78"/>
      <c r="X224" s="78"/>
      <c r="Y224" s="78"/>
      <c r="Z224" s="78"/>
      <c r="AA224" s="78"/>
      <c r="AB224" s="78"/>
      <c r="AC224" s="78"/>
      <c r="AD224" s="78"/>
      <c r="AE224" s="78"/>
      <c r="AF224" s="78"/>
      <c r="AG224" s="78"/>
      <c r="AH224" s="78"/>
      <c r="AI224" s="78"/>
      <c r="AJ224" s="78"/>
      <c r="AK224" s="78"/>
      <c r="AL224" s="78"/>
      <c r="AM224" s="78"/>
      <c r="AN224" s="78"/>
      <c r="AO224" s="78"/>
      <c r="AP224" s="78"/>
      <c r="AQ224" s="78"/>
      <c r="AR224" s="78"/>
      <c r="AS224" s="78"/>
      <c r="AT224" s="78"/>
      <c r="AU224" s="78"/>
      <c r="AV224" s="78"/>
      <c r="AW224" s="78"/>
      <c r="AX224" s="78"/>
      <c r="AY224" s="78"/>
      <c r="AZ224" s="78"/>
      <c r="BA224" s="78"/>
      <c r="BB224" s="78"/>
      <c r="BC224" s="78"/>
      <c r="BD224" s="78"/>
      <c r="BE224" s="78"/>
      <c r="BF224" s="78"/>
      <c r="BG224" s="78"/>
      <c r="BH224" s="78"/>
      <c r="BI224" s="78"/>
      <c r="BJ224" s="78"/>
      <c r="BK224" s="78"/>
      <c r="BL224" s="78"/>
      <c r="BM224" s="78"/>
      <c r="BN224" s="78"/>
      <c r="BO224" s="78"/>
      <c r="BP224" s="78"/>
      <c r="BQ224" s="78"/>
      <c r="BR224" s="78"/>
      <c r="BS224" s="78"/>
      <c r="BT224" s="78"/>
      <c r="BU224" s="78"/>
      <c r="BV224" s="78"/>
      <c r="BW224" s="78"/>
      <c r="BX224" s="78"/>
      <c r="BY224" s="78"/>
      <c r="BZ224" s="78"/>
    </row>
    <row r="225" spans="1:78" x14ac:dyDescent="0.2">
      <c r="A225" s="78"/>
      <c r="B225" s="78"/>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c r="AA225" s="78"/>
      <c r="AB225" s="78"/>
      <c r="AC225" s="78"/>
      <c r="AD225" s="78"/>
      <c r="AE225" s="78"/>
      <c r="AF225" s="78"/>
      <c r="AG225" s="78"/>
      <c r="AH225" s="78"/>
      <c r="AI225" s="78"/>
      <c r="AJ225" s="78"/>
      <c r="AK225" s="78"/>
      <c r="AL225" s="78"/>
      <c r="AM225" s="78"/>
      <c r="AN225" s="78"/>
      <c r="AO225" s="78"/>
      <c r="AP225" s="78"/>
      <c r="AQ225" s="78"/>
      <c r="AR225" s="78"/>
      <c r="AS225" s="78"/>
      <c r="AT225" s="78"/>
      <c r="AU225" s="78"/>
      <c r="AV225" s="78"/>
      <c r="AW225" s="78"/>
      <c r="AX225" s="78"/>
      <c r="AY225" s="78"/>
      <c r="AZ225" s="78"/>
      <c r="BA225" s="78"/>
      <c r="BB225" s="78"/>
      <c r="BC225" s="78"/>
      <c r="BD225" s="78"/>
      <c r="BE225" s="78"/>
      <c r="BF225" s="78"/>
      <c r="BG225" s="78"/>
      <c r="BH225" s="78"/>
      <c r="BI225" s="78"/>
      <c r="BJ225" s="78"/>
      <c r="BK225" s="78"/>
      <c r="BL225" s="78"/>
      <c r="BM225" s="78"/>
      <c r="BN225" s="78"/>
      <c r="BO225" s="78"/>
      <c r="BP225" s="78"/>
      <c r="BQ225" s="78"/>
      <c r="BR225" s="78"/>
      <c r="BS225" s="78"/>
      <c r="BT225" s="78"/>
      <c r="BU225" s="78"/>
      <c r="BV225" s="78"/>
      <c r="BW225" s="78"/>
      <c r="BX225" s="78"/>
      <c r="BY225" s="78"/>
      <c r="BZ225" s="78"/>
    </row>
    <row r="226" spans="1:78" x14ac:dyDescent="0.2">
      <c r="A226" s="78"/>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78"/>
      <c r="AC226" s="78"/>
      <c r="AD226" s="78"/>
      <c r="AE226" s="78"/>
      <c r="AF226" s="78"/>
      <c r="AG226" s="78"/>
      <c r="AH226" s="78"/>
      <c r="AI226" s="78"/>
      <c r="AJ226" s="78"/>
      <c r="AK226" s="78"/>
      <c r="AL226" s="78"/>
      <c r="AM226" s="78"/>
      <c r="AN226" s="78"/>
      <c r="AO226" s="78"/>
      <c r="AP226" s="78"/>
      <c r="AQ226" s="78"/>
      <c r="AR226" s="78"/>
      <c r="AS226" s="78"/>
      <c r="AT226" s="78"/>
      <c r="AU226" s="78"/>
      <c r="AV226" s="78"/>
      <c r="AW226" s="78"/>
      <c r="AX226" s="78"/>
      <c r="AY226" s="78"/>
      <c r="AZ226" s="78"/>
      <c r="BA226" s="78"/>
      <c r="BB226" s="78"/>
      <c r="BC226" s="78"/>
      <c r="BD226" s="78"/>
      <c r="BE226" s="78"/>
      <c r="BF226" s="78"/>
      <c r="BG226" s="78"/>
      <c r="BH226" s="78"/>
      <c r="BI226" s="78"/>
      <c r="BJ226" s="78"/>
      <c r="BK226" s="78"/>
      <c r="BL226" s="78"/>
      <c r="BM226" s="78"/>
      <c r="BN226" s="78"/>
      <c r="BO226" s="78"/>
      <c r="BP226" s="78"/>
      <c r="BQ226" s="78"/>
      <c r="BR226" s="78"/>
      <c r="BS226" s="78"/>
      <c r="BT226" s="78"/>
      <c r="BU226" s="78"/>
      <c r="BV226" s="78"/>
      <c r="BW226" s="78"/>
      <c r="BX226" s="78"/>
      <c r="BY226" s="78"/>
      <c r="BZ226" s="78"/>
    </row>
    <row r="227" spans="1:78" x14ac:dyDescent="0.2">
      <c r="A227" s="78"/>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c r="AF227" s="78"/>
      <c r="AG227" s="78"/>
      <c r="AH227" s="78"/>
      <c r="AI227" s="78"/>
      <c r="AJ227" s="78"/>
      <c r="AK227" s="78"/>
      <c r="AL227" s="78"/>
      <c r="AM227" s="78"/>
      <c r="AN227" s="78"/>
      <c r="AO227" s="78"/>
      <c r="AP227" s="78"/>
      <c r="AQ227" s="78"/>
      <c r="AR227" s="78"/>
      <c r="AS227" s="78"/>
      <c r="AT227" s="78"/>
      <c r="AU227" s="78"/>
      <c r="AV227" s="78"/>
      <c r="AW227" s="78"/>
      <c r="AX227" s="78"/>
      <c r="AY227" s="78"/>
      <c r="AZ227" s="78"/>
      <c r="BA227" s="78"/>
      <c r="BB227" s="78"/>
      <c r="BC227" s="78"/>
      <c r="BD227" s="78"/>
      <c r="BE227" s="78"/>
      <c r="BF227" s="78"/>
      <c r="BG227" s="78"/>
      <c r="BH227" s="78"/>
      <c r="BI227" s="78"/>
      <c r="BJ227" s="78"/>
      <c r="BK227" s="78"/>
      <c r="BL227" s="78"/>
      <c r="BM227" s="78"/>
      <c r="BN227" s="78"/>
      <c r="BO227" s="78"/>
      <c r="BP227" s="78"/>
      <c r="BQ227" s="78"/>
      <c r="BR227" s="78"/>
      <c r="BS227" s="78"/>
      <c r="BT227" s="78"/>
      <c r="BU227" s="78"/>
      <c r="BV227" s="78"/>
      <c r="BW227" s="78"/>
      <c r="BX227" s="78"/>
      <c r="BY227" s="78"/>
      <c r="BZ227" s="78"/>
    </row>
    <row r="228" spans="1:78" x14ac:dyDescent="0.2">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78"/>
      <c r="AT228" s="78"/>
      <c r="AU228" s="78"/>
      <c r="AV228" s="78"/>
      <c r="AW228" s="78"/>
      <c r="AX228" s="78"/>
      <c r="AY228" s="78"/>
      <c r="AZ228" s="78"/>
      <c r="BA228" s="78"/>
      <c r="BB228" s="78"/>
      <c r="BC228" s="78"/>
      <c r="BD228" s="78"/>
      <c r="BE228" s="78"/>
      <c r="BF228" s="78"/>
      <c r="BG228" s="78"/>
      <c r="BH228" s="78"/>
      <c r="BI228" s="78"/>
      <c r="BJ228" s="78"/>
      <c r="BK228" s="78"/>
      <c r="BL228" s="78"/>
      <c r="BM228" s="78"/>
      <c r="BN228" s="78"/>
      <c r="BO228" s="78"/>
      <c r="BP228" s="78"/>
      <c r="BQ228" s="78"/>
      <c r="BR228" s="78"/>
      <c r="BS228" s="78"/>
      <c r="BT228" s="78"/>
      <c r="BU228" s="78"/>
      <c r="BV228" s="78"/>
      <c r="BW228" s="78"/>
      <c r="BX228" s="78"/>
      <c r="BY228" s="78"/>
      <c r="BZ228" s="78"/>
    </row>
    <row r="229" spans="1:78" x14ac:dyDescent="0.2">
      <c r="A229" s="78"/>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c r="AE229" s="78"/>
      <c r="AF229" s="78"/>
      <c r="AG229" s="78"/>
      <c r="AH229" s="78"/>
      <c r="AI229" s="78"/>
      <c r="AJ229" s="78"/>
      <c r="AK229" s="78"/>
      <c r="AL229" s="78"/>
      <c r="AM229" s="78"/>
      <c r="AN229" s="78"/>
      <c r="AO229" s="78"/>
      <c r="AP229" s="78"/>
      <c r="AQ229" s="78"/>
      <c r="AR229" s="78"/>
      <c r="AS229" s="78"/>
      <c r="AT229" s="78"/>
      <c r="AU229" s="78"/>
      <c r="AV229" s="78"/>
      <c r="AW229" s="78"/>
      <c r="AX229" s="78"/>
      <c r="AY229" s="78"/>
      <c r="AZ229" s="78"/>
      <c r="BA229" s="78"/>
      <c r="BB229" s="78"/>
      <c r="BC229" s="78"/>
      <c r="BD229" s="78"/>
      <c r="BE229" s="78"/>
      <c r="BF229" s="78"/>
      <c r="BG229" s="78"/>
      <c r="BH229" s="78"/>
      <c r="BI229" s="78"/>
      <c r="BJ229" s="78"/>
      <c r="BK229" s="78"/>
      <c r="BL229" s="78"/>
      <c r="BM229" s="78"/>
      <c r="BN229" s="78"/>
      <c r="BO229" s="78"/>
      <c r="BP229" s="78"/>
      <c r="BQ229" s="78"/>
      <c r="BR229" s="78"/>
      <c r="BS229" s="78"/>
      <c r="BT229" s="78"/>
      <c r="BU229" s="78"/>
      <c r="BV229" s="78"/>
      <c r="BW229" s="78"/>
      <c r="BX229" s="78"/>
      <c r="BY229" s="78"/>
      <c r="BZ229" s="78"/>
    </row>
    <row r="230" spans="1:78" x14ac:dyDescent="0.2">
      <c r="A230" s="78"/>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c r="AF230" s="78"/>
      <c r="AG230" s="78"/>
      <c r="AH230" s="78"/>
      <c r="AI230" s="78"/>
      <c r="AJ230" s="78"/>
      <c r="AK230" s="78"/>
      <c r="AL230" s="78"/>
      <c r="AM230" s="78"/>
      <c r="AN230" s="78"/>
      <c r="AO230" s="78"/>
      <c r="AP230" s="78"/>
      <c r="AQ230" s="78"/>
      <c r="AR230" s="78"/>
      <c r="AS230" s="78"/>
      <c r="AT230" s="78"/>
      <c r="AU230" s="78"/>
      <c r="AV230" s="78"/>
      <c r="AW230" s="78"/>
      <c r="AX230" s="78"/>
      <c r="AY230" s="78"/>
      <c r="AZ230" s="78"/>
      <c r="BA230" s="78"/>
      <c r="BB230" s="78"/>
      <c r="BC230" s="78"/>
      <c r="BD230" s="78"/>
      <c r="BE230" s="78"/>
      <c r="BF230" s="78"/>
      <c r="BG230" s="78"/>
      <c r="BH230" s="78"/>
      <c r="BI230" s="78"/>
      <c r="BJ230" s="78"/>
      <c r="BK230" s="78"/>
      <c r="BL230" s="78"/>
      <c r="BM230" s="78"/>
      <c r="BN230" s="78"/>
      <c r="BO230" s="78"/>
      <c r="BP230" s="78"/>
      <c r="BQ230" s="78"/>
      <c r="BR230" s="78"/>
      <c r="BS230" s="78"/>
      <c r="BT230" s="78"/>
      <c r="BU230" s="78"/>
      <c r="BV230" s="78"/>
      <c r="BW230" s="78"/>
      <c r="BX230" s="78"/>
      <c r="BY230" s="78"/>
      <c r="BZ230" s="78"/>
    </row>
    <row r="231" spans="1:78" x14ac:dyDescent="0.2">
      <c r="A231" s="78"/>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c r="AF231" s="78"/>
      <c r="AG231" s="78"/>
      <c r="AH231" s="78"/>
      <c r="AI231" s="78"/>
      <c r="AJ231" s="78"/>
      <c r="AK231" s="78"/>
      <c r="AL231" s="78"/>
      <c r="AM231" s="78"/>
      <c r="AN231" s="78"/>
      <c r="AO231" s="78"/>
      <c r="AP231" s="78"/>
      <c r="AQ231" s="78"/>
      <c r="AR231" s="78"/>
      <c r="AS231" s="78"/>
      <c r="AT231" s="78"/>
      <c r="AU231" s="78"/>
      <c r="AV231" s="78"/>
      <c r="AW231" s="78"/>
      <c r="AX231" s="78"/>
      <c r="AY231" s="78"/>
      <c r="AZ231" s="78"/>
      <c r="BA231" s="78"/>
      <c r="BB231" s="78"/>
      <c r="BC231" s="78"/>
      <c r="BD231" s="78"/>
      <c r="BE231" s="78"/>
      <c r="BF231" s="78"/>
      <c r="BG231" s="78"/>
      <c r="BH231" s="78"/>
      <c r="BI231" s="78"/>
      <c r="BJ231" s="78"/>
      <c r="BK231" s="78"/>
      <c r="BL231" s="78"/>
      <c r="BM231" s="78"/>
      <c r="BN231" s="78"/>
      <c r="BO231" s="78"/>
      <c r="BP231" s="78"/>
      <c r="BQ231" s="78"/>
      <c r="BR231" s="78"/>
      <c r="BS231" s="78"/>
      <c r="BT231" s="78"/>
      <c r="BU231" s="78"/>
      <c r="BV231" s="78"/>
      <c r="BW231" s="78"/>
      <c r="BX231" s="78"/>
      <c r="BY231" s="78"/>
      <c r="BZ231" s="78"/>
    </row>
    <row r="232" spans="1:78" x14ac:dyDescent="0.2">
      <c r="A232" s="78"/>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c r="AF232" s="78"/>
      <c r="AG232" s="78"/>
      <c r="AH232" s="78"/>
      <c r="AI232" s="78"/>
      <c r="AJ232" s="78"/>
      <c r="AK232" s="78"/>
      <c r="AL232" s="78"/>
      <c r="AM232" s="78"/>
      <c r="AN232" s="78"/>
      <c r="AO232" s="78"/>
      <c r="AP232" s="78"/>
      <c r="AQ232" s="78"/>
      <c r="AR232" s="78"/>
      <c r="AS232" s="78"/>
      <c r="AT232" s="78"/>
      <c r="AU232" s="78"/>
      <c r="AV232" s="78"/>
      <c r="AW232" s="78"/>
      <c r="AX232" s="78"/>
      <c r="AY232" s="78"/>
      <c r="AZ232" s="78"/>
      <c r="BA232" s="78"/>
      <c r="BB232" s="78"/>
      <c r="BC232" s="78"/>
      <c r="BD232" s="78"/>
      <c r="BE232" s="78"/>
      <c r="BF232" s="78"/>
      <c r="BG232" s="78"/>
      <c r="BH232" s="78"/>
      <c r="BI232" s="78"/>
      <c r="BJ232" s="78"/>
      <c r="BK232" s="78"/>
      <c r="BL232" s="78"/>
      <c r="BM232" s="78"/>
      <c r="BN232" s="78"/>
      <c r="BO232" s="78"/>
      <c r="BP232" s="78"/>
      <c r="BQ232" s="78"/>
      <c r="BR232" s="78"/>
      <c r="BS232" s="78"/>
      <c r="BT232" s="78"/>
      <c r="BU232" s="78"/>
      <c r="BV232" s="78"/>
      <c r="BW232" s="78"/>
      <c r="BX232" s="78"/>
      <c r="BY232" s="78"/>
      <c r="BZ232" s="78"/>
    </row>
    <row r="233" spans="1:78" x14ac:dyDescent="0.2">
      <c r="A233" s="78"/>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8"/>
      <c r="AL233" s="78"/>
      <c r="AM233" s="78"/>
      <c r="AN233" s="78"/>
      <c r="AO233" s="78"/>
      <c r="AP233" s="78"/>
      <c r="AQ233" s="78"/>
      <c r="AR233" s="78"/>
      <c r="AS233" s="78"/>
      <c r="AT233" s="78"/>
      <c r="AU233" s="78"/>
      <c r="AV233" s="78"/>
      <c r="AW233" s="78"/>
      <c r="AX233" s="78"/>
      <c r="AY233" s="78"/>
      <c r="AZ233" s="78"/>
      <c r="BA233" s="78"/>
      <c r="BB233" s="78"/>
      <c r="BC233" s="78"/>
      <c r="BD233" s="78"/>
      <c r="BE233" s="78"/>
      <c r="BF233" s="78"/>
      <c r="BG233" s="78"/>
      <c r="BH233" s="78"/>
      <c r="BI233" s="78"/>
      <c r="BJ233" s="78"/>
      <c r="BK233" s="78"/>
      <c r="BL233" s="78"/>
      <c r="BM233" s="78"/>
      <c r="BN233" s="78"/>
      <c r="BO233" s="78"/>
      <c r="BP233" s="78"/>
      <c r="BQ233" s="78"/>
      <c r="BR233" s="78"/>
      <c r="BS233" s="78"/>
      <c r="BT233" s="78"/>
      <c r="BU233" s="78"/>
      <c r="BV233" s="78"/>
      <c r="BW233" s="78"/>
      <c r="BX233" s="78"/>
      <c r="BY233" s="78"/>
      <c r="BZ233" s="78"/>
    </row>
    <row r="234" spans="1:78" x14ac:dyDescent="0.2">
      <c r="A234" s="78"/>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c r="AF234" s="78"/>
      <c r="AG234" s="78"/>
      <c r="AH234" s="78"/>
      <c r="AI234" s="78"/>
      <c r="AJ234" s="78"/>
      <c r="AK234" s="78"/>
      <c r="AL234" s="78"/>
      <c r="AM234" s="78"/>
      <c r="AN234" s="78"/>
      <c r="AO234" s="78"/>
      <c r="AP234" s="78"/>
      <c r="AQ234" s="78"/>
      <c r="AR234" s="78"/>
      <c r="AS234" s="78"/>
      <c r="AT234" s="78"/>
      <c r="AU234" s="78"/>
      <c r="AV234" s="78"/>
      <c r="AW234" s="78"/>
      <c r="AX234" s="78"/>
      <c r="AY234" s="78"/>
      <c r="AZ234" s="78"/>
      <c r="BA234" s="78"/>
      <c r="BB234" s="78"/>
      <c r="BC234" s="78"/>
      <c r="BD234" s="78"/>
      <c r="BE234" s="78"/>
      <c r="BF234" s="78"/>
      <c r="BG234" s="78"/>
      <c r="BH234" s="78"/>
      <c r="BI234" s="78"/>
      <c r="BJ234" s="78"/>
      <c r="BK234" s="78"/>
      <c r="BL234" s="78"/>
      <c r="BM234" s="78"/>
      <c r="BN234" s="78"/>
      <c r="BO234" s="78"/>
      <c r="BP234" s="78"/>
      <c r="BQ234" s="78"/>
      <c r="BR234" s="78"/>
      <c r="BS234" s="78"/>
      <c r="BT234" s="78"/>
      <c r="BU234" s="78"/>
      <c r="BV234" s="78"/>
      <c r="BW234" s="78"/>
      <c r="BX234" s="78"/>
      <c r="BY234" s="78"/>
      <c r="BZ234" s="78"/>
    </row>
    <row r="235" spans="1:78" x14ac:dyDescent="0.2">
      <c r="A235" s="78"/>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c r="AF235" s="78"/>
      <c r="AG235" s="78"/>
      <c r="AH235" s="78"/>
      <c r="AI235" s="78"/>
      <c r="AJ235" s="78"/>
      <c r="AK235" s="78"/>
      <c r="AL235" s="78"/>
      <c r="AM235" s="78"/>
      <c r="AN235" s="78"/>
      <c r="AO235" s="78"/>
      <c r="AP235" s="78"/>
      <c r="AQ235" s="78"/>
      <c r="AR235" s="78"/>
      <c r="AS235" s="78"/>
      <c r="AT235" s="78"/>
      <c r="AU235" s="78"/>
      <c r="AV235" s="78"/>
      <c r="AW235" s="78"/>
      <c r="AX235" s="78"/>
      <c r="AY235" s="78"/>
      <c r="AZ235" s="78"/>
      <c r="BA235" s="78"/>
      <c r="BB235" s="78"/>
      <c r="BC235" s="78"/>
      <c r="BD235" s="78"/>
      <c r="BE235" s="78"/>
      <c r="BF235" s="78"/>
      <c r="BG235" s="78"/>
      <c r="BH235" s="78"/>
      <c r="BI235" s="78"/>
      <c r="BJ235" s="78"/>
      <c r="BK235" s="78"/>
      <c r="BL235" s="78"/>
      <c r="BM235" s="78"/>
      <c r="BN235" s="78"/>
      <c r="BO235" s="78"/>
      <c r="BP235" s="78"/>
      <c r="BQ235" s="78"/>
      <c r="BR235" s="78"/>
      <c r="BS235" s="78"/>
      <c r="BT235" s="78"/>
      <c r="BU235" s="78"/>
      <c r="BV235" s="78"/>
      <c r="BW235" s="78"/>
      <c r="BX235" s="78"/>
      <c r="BY235" s="78"/>
      <c r="BZ235" s="78"/>
    </row>
    <row r="236" spans="1:78" x14ac:dyDescent="0.2">
      <c r="A236" s="78"/>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78"/>
      <c r="AM236" s="78"/>
      <c r="AN236" s="78"/>
      <c r="AO236" s="78"/>
      <c r="AP236" s="78"/>
      <c r="AQ236" s="78"/>
      <c r="AR236" s="78"/>
      <c r="AS236" s="78"/>
      <c r="AT236" s="78"/>
      <c r="AU236" s="78"/>
      <c r="AV236" s="78"/>
      <c r="AW236" s="78"/>
      <c r="AX236" s="78"/>
      <c r="AY236" s="78"/>
      <c r="AZ236" s="78"/>
      <c r="BA236" s="78"/>
      <c r="BB236" s="78"/>
      <c r="BC236" s="78"/>
      <c r="BD236" s="78"/>
      <c r="BE236" s="78"/>
      <c r="BF236" s="78"/>
      <c r="BG236" s="78"/>
      <c r="BH236" s="78"/>
      <c r="BI236" s="78"/>
      <c r="BJ236" s="78"/>
      <c r="BK236" s="78"/>
      <c r="BL236" s="78"/>
      <c r="BM236" s="78"/>
      <c r="BN236" s="78"/>
      <c r="BO236" s="78"/>
      <c r="BP236" s="78"/>
      <c r="BQ236" s="78"/>
      <c r="BR236" s="78"/>
      <c r="BS236" s="78"/>
      <c r="BT236" s="78"/>
      <c r="BU236" s="78"/>
      <c r="BV236" s="78"/>
      <c r="BW236" s="78"/>
      <c r="BX236" s="78"/>
      <c r="BY236" s="78"/>
      <c r="BZ236" s="78"/>
    </row>
    <row r="237" spans="1:78" x14ac:dyDescent="0.2">
      <c r="A237" s="78"/>
      <c r="B237" s="78"/>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c r="AF237" s="78"/>
      <c r="AG237" s="78"/>
      <c r="AH237" s="78"/>
      <c r="AI237" s="78"/>
      <c r="AJ237" s="78"/>
      <c r="AK237" s="78"/>
      <c r="AL237" s="78"/>
      <c r="AM237" s="78"/>
      <c r="AN237" s="78"/>
      <c r="AO237" s="78"/>
      <c r="AP237" s="78"/>
      <c r="AQ237" s="78"/>
      <c r="AR237" s="78"/>
      <c r="AS237" s="78"/>
      <c r="AT237" s="78"/>
      <c r="AU237" s="78"/>
      <c r="AV237" s="78"/>
      <c r="AW237" s="78"/>
      <c r="AX237" s="78"/>
      <c r="AY237" s="78"/>
      <c r="AZ237" s="78"/>
      <c r="BA237" s="78"/>
      <c r="BB237" s="78"/>
      <c r="BC237" s="78"/>
      <c r="BD237" s="78"/>
      <c r="BE237" s="78"/>
      <c r="BF237" s="78"/>
      <c r="BG237" s="78"/>
      <c r="BH237" s="78"/>
      <c r="BI237" s="78"/>
      <c r="BJ237" s="78"/>
      <c r="BK237" s="78"/>
      <c r="BL237" s="78"/>
      <c r="BM237" s="78"/>
      <c r="BN237" s="78"/>
      <c r="BO237" s="78"/>
      <c r="BP237" s="78"/>
      <c r="BQ237" s="78"/>
      <c r="BR237" s="78"/>
      <c r="BS237" s="78"/>
      <c r="BT237" s="78"/>
      <c r="BU237" s="78"/>
      <c r="BV237" s="78"/>
      <c r="BW237" s="78"/>
      <c r="BX237" s="78"/>
      <c r="BY237" s="78"/>
      <c r="BZ237" s="78"/>
    </row>
    <row r="238" spans="1:78" x14ac:dyDescent="0.2">
      <c r="A238" s="78"/>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c r="AF238" s="78"/>
      <c r="AG238" s="78"/>
      <c r="AH238" s="78"/>
      <c r="AI238" s="78"/>
      <c r="AJ238" s="78"/>
      <c r="AK238" s="78"/>
      <c r="AL238" s="78"/>
      <c r="AM238" s="78"/>
      <c r="AN238" s="78"/>
      <c r="AO238" s="78"/>
      <c r="AP238" s="78"/>
      <c r="AQ238" s="78"/>
      <c r="AR238" s="78"/>
      <c r="AS238" s="78"/>
      <c r="AT238" s="78"/>
      <c r="AU238" s="78"/>
      <c r="AV238" s="78"/>
      <c r="AW238" s="78"/>
      <c r="AX238" s="78"/>
      <c r="AY238" s="78"/>
      <c r="AZ238" s="78"/>
      <c r="BA238" s="78"/>
      <c r="BB238" s="78"/>
      <c r="BC238" s="78"/>
      <c r="BD238" s="78"/>
      <c r="BE238" s="78"/>
      <c r="BF238" s="78"/>
      <c r="BG238" s="78"/>
      <c r="BH238" s="78"/>
      <c r="BI238" s="78"/>
      <c r="BJ238" s="78"/>
      <c r="BK238" s="78"/>
      <c r="BL238" s="78"/>
      <c r="BM238" s="78"/>
      <c r="BN238" s="78"/>
      <c r="BO238" s="78"/>
      <c r="BP238" s="78"/>
      <c r="BQ238" s="78"/>
      <c r="BR238" s="78"/>
      <c r="BS238" s="78"/>
      <c r="BT238" s="78"/>
      <c r="BU238" s="78"/>
      <c r="BV238" s="78"/>
      <c r="BW238" s="78"/>
      <c r="BX238" s="78"/>
      <c r="BY238" s="78"/>
      <c r="BZ238" s="78"/>
    </row>
    <row r="239" spans="1:78" x14ac:dyDescent="0.2">
      <c r="A239" s="78"/>
      <c r="B239" s="78"/>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c r="AF239" s="78"/>
      <c r="AG239" s="78"/>
      <c r="AH239" s="78"/>
      <c r="AI239" s="78"/>
      <c r="AJ239" s="78"/>
      <c r="AK239" s="78"/>
      <c r="AL239" s="78"/>
      <c r="AM239" s="78"/>
      <c r="AN239" s="78"/>
      <c r="AO239" s="78"/>
      <c r="AP239" s="78"/>
      <c r="AQ239" s="78"/>
      <c r="AR239" s="78"/>
      <c r="AS239" s="78"/>
      <c r="AT239" s="78"/>
      <c r="AU239" s="78"/>
      <c r="AV239" s="78"/>
      <c r="AW239" s="78"/>
      <c r="AX239" s="78"/>
      <c r="AY239" s="78"/>
      <c r="AZ239" s="78"/>
      <c r="BA239" s="78"/>
      <c r="BB239" s="78"/>
      <c r="BC239" s="78"/>
      <c r="BD239" s="78"/>
      <c r="BE239" s="78"/>
      <c r="BF239" s="78"/>
      <c r="BG239" s="78"/>
      <c r="BH239" s="78"/>
      <c r="BI239" s="78"/>
      <c r="BJ239" s="78"/>
      <c r="BK239" s="78"/>
      <c r="BL239" s="78"/>
      <c r="BM239" s="78"/>
      <c r="BN239" s="78"/>
      <c r="BO239" s="78"/>
      <c r="BP239" s="78"/>
      <c r="BQ239" s="78"/>
      <c r="BR239" s="78"/>
      <c r="BS239" s="78"/>
      <c r="BT239" s="78"/>
      <c r="BU239" s="78"/>
      <c r="BV239" s="78"/>
      <c r="BW239" s="78"/>
      <c r="BX239" s="78"/>
      <c r="BY239" s="78"/>
      <c r="BZ239" s="78"/>
    </row>
    <row r="240" spans="1:78" x14ac:dyDescent="0.2">
      <c r="A240" s="78"/>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c r="AF240" s="78"/>
      <c r="AG240" s="78"/>
      <c r="AH240" s="78"/>
      <c r="AI240" s="78"/>
      <c r="AJ240" s="78"/>
      <c r="AK240" s="78"/>
      <c r="AL240" s="78"/>
      <c r="AM240" s="78"/>
      <c r="AN240" s="78"/>
      <c r="AO240" s="78"/>
      <c r="AP240" s="78"/>
      <c r="AQ240" s="78"/>
      <c r="AR240" s="78"/>
      <c r="AS240" s="78"/>
      <c r="AT240" s="78"/>
      <c r="AU240" s="78"/>
      <c r="AV240" s="78"/>
      <c r="AW240" s="78"/>
      <c r="AX240" s="78"/>
      <c r="AY240" s="78"/>
      <c r="AZ240" s="78"/>
      <c r="BA240" s="78"/>
      <c r="BB240" s="78"/>
      <c r="BC240" s="78"/>
      <c r="BD240" s="78"/>
      <c r="BE240" s="78"/>
      <c r="BF240" s="78"/>
      <c r="BG240" s="78"/>
      <c r="BH240" s="78"/>
      <c r="BI240" s="78"/>
      <c r="BJ240" s="78"/>
      <c r="BK240" s="78"/>
      <c r="BL240" s="78"/>
      <c r="BM240" s="78"/>
      <c r="BN240" s="78"/>
      <c r="BO240" s="78"/>
      <c r="BP240" s="78"/>
      <c r="BQ240" s="78"/>
      <c r="BR240" s="78"/>
      <c r="BS240" s="78"/>
      <c r="BT240" s="78"/>
      <c r="BU240" s="78"/>
      <c r="BV240" s="78"/>
      <c r="BW240" s="78"/>
      <c r="BX240" s="78"/>
      <c r="BY240" s="78"/>
      <c r="BZ240" s="78"/>
    </row>
    <row r="241" spans="1:78" x14ac:dyDescent="0.2">
      <c r="A241" s="78"/>
      <c r="B241" s="78"/>
      <c r="C241" s="78"/>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c r="AF241" s="78"/>
      <c r="AG241" s="78"/>
      <c r="AH241" s="78"/>
      <c r="AI241" s="78"/>
      <c r="AJ241" s="78"/>
      <c r="AK241" s="78"/>
      <c r="AL241" s="78"/>
      <c r="AM241" s="78"/>
      <c r="AN241" s="78"/>
      <c r="AO241" s="78"/>
      <c r="AP241" s="78"/>
      <c r="AQ241" s="78"/>
      <c r="AR241" s="78"/>
      <c r="AS241" s="78"/>
      <c r="AT241" s="78"/>
      <c r="AU241" s="78"/>
      <c r="AV241" s="78"/>
      <c r="AW241" s="78"/>
      <c r="AX241" s="78"/>
      <c r="AY241" s="78"/>
      <c r="AZ241" s="78"/>
      <c r="BA241" s="78"/>
      <c r="BB241" s="78"/>
      <c r="BC241" s="78"/>
      <c r="BD241" s="78"/>
      <c r="BE241" s="78"/>
      <c r="BF241" s="78"/>
      <c r="BG241" s="78"/>
      <c r="BH241" s="78"/>
      <c r="BI241" s="78"/>
      <c r="BJ241" s="78"/>
      <c r="BK241" s="78"/>
      <c r="BL241" s="78"/>
      <c r="BM241" s="78"/>
      <c r="BN241" s="78"/>
      <c r="BO241" s="78"/>
      <c r="BP241" s="78"/>
      <c r="BQ241" s="78"/>
      <c r="BR241" s="78"/>
      <c r="BS241" s="78"/>
      <c r="BT241" s="78"/>
      <c r="BU241" s="78"/>
      <c r="BV241" s="78"/>
      <c r="BW241" s="78"/>
      <c r="BX241" s="78"/>
      <c r="BY241" s="78"/>
      <c r="BZ241" s="78"/>
    </row>
    <row r="242" spans="1:78" x14ac:dyDescent="0.2">
      <c r="A242" s="78"/>
      <c r="B242" s="78"/>
      <c r="C242" s="78"/>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78"/>
      <c r="AC242" s="78"/>
      <c r="AD242" s="78"/>
      <c r="AE242" s="78"/>
      <c r="AF242" s="78"/>
      <c r="AG242" s="78"/>
      <c r="AH242" s="78"/>
      <c r="AI242" s="78"/>
      <c r="AJ242" s="78"/>
      <c r="AK242" s="78"/>
      <c r="AL242" s="78"/>
      <c r="AM242" s="78"/>
      <c r="AN242" s="78"/>
      <c r="AO242" s="78"/>
      <c r="AP242" s="78"/>
      <c r="AQ242" s="78"/>
      <c r="AR242" s="78"/>
      <c r="AS242" s="78"/>
      <c r="AT242" s="78"/>
      <c r="AU242" s="78"/>
      <c r="AV242" s="78"/>
      <c r="AW242" s="78"/>
      <c r="AX242" s="78"/>
      <c r="AY242" s="78"/>
      <c r="AZ242" s="78"/>
      <c r="BA242" s="78"/>
      <c r="BB242" s="78"/>
      <c r="BC242" s="78"/>
      <c r="BD242" s="78"/>
      <c r="BE242" s="78"/>
      <c r="BF242" s="78"/>
      <c r="BG242" s="78"/>
      <c r="BH242" s="78"/>
      <c r="BI242" s="78"/>
      <c r="BJ242" s="78"/>
      <c r="BK242" s="78"/>
      <c r="BL242" s="78"/>
      <c r="BM242" s="78"/>
      <c r="BN242" s="78"/>
      <c r="BO242" s="78"/>
      <c r="BP242" s="78"/>
      <c r="BQ242" s="78"/>
      <c r="BR242" s="78"/>
      <c r="BS242" s="78"/>
      <c r="BT242" s="78"/>
      <c r="BU242" s="78"/>
      <c r="BV242" s="78"/>
      <c r="BW242" s="78"/>
      <c r="BX242" s="78"/>
      <c r="BY242" s="78"/>
      <c r="BZ242" s="78"/>
    </row>
    <row r="243" spans="1:78" x14ac:dyDescent="0.2">
      <c r="A243" s="78"/>
      <c r="B243" s="78"/>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c r="AF243" s="78"/>
      <c r="AG243" s="78"/>
      <c r="AH243" s="78"/>
      <c r="AI243" s="78"/>
      <c r="AJ243" s="78"/>
      <c r="AK243" s="78"/>
      <c r="AL243" s="78"/>
      <c r="AM243" s="78"/>
      <c r="AN243" s="78"/>
      <c r="AO243" s="78"/>
      <c r="AP243" s="78"/>
      <c r="AQ243" s="78"/>
      <c r="AR243" s="78"/>
      <c r="AS243" s="78"/>
      <c r="AT243" s="78"/>
      <c r="AU243" s="78"/>
      <c r="AV243" s="78"/>
      <c r="AW243" s="78"/>
      <c r="AX243" s="78"/>
      <c r="AY243" s="78"/>
      <c r="AZ243" s="78"/>
      <c r="BA243" s="78"/>
      <c r="BB243" s="78"/>
      <c r="BC243" s="78"/>
      <c r="BD243" s="78"/>
      <c r="BE243" s="78"/>
      <c r="BF243" s="78"/>
      <c r="BG243" s="78"/>
      <c r="BH243" s="78"/>
      <c r="BI243" s="78"/>
      <c r="BJ243" s="78"/>
      <c r="BK243" s="78"/>
      <c r="BL243" s="78"/>
      <c r="BM243" s="78"/>
      <c r="BN243" s="78"/>
      <c r="BO243" s="78"/>
      <c r="BP243" s="78"/>
      <c r="BQ243" s="78"/>
      <c r="BR243" s="78"/>
      <c r="BS243" s="78"/>
      <c r="BT243" s="78"/>
      <c r="BU243" s="78"/>
      <c r="BV243" s="78"/>
      <c r="BW243" s="78"/>
      <c r="BX243" s="78"/>
      <c r="BY243" s="78"/>
      <c r="BZ243" s="78"/>
    </row>
    <row r="244" spans="1:78" x14ac:dyDescent="0.2">
      <c r="A244" s="78"/>
      <c r="B244" s="78"/>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c r="AF244" s="78"/>
      <c r="AG244" s="78"/>
      <c r="AH244" s="78"/>
      <c r="AI244" s="78"/>
      <c r="AJ244" s="78"/>
      <c r="AK244" s="78"/>
      <c r="AL244" s="78"/>
      <c r="AM244" s="78"/>
      <c r="AN244" s="78"/>
      <c r="AO244" s="78"/>
      <c r="AP244" s="78"/>
      <c r="AQ244" s="78"/>
      <c r="AR244" s="78"/>
      <c r="AS244" s="78"/>
      <c r="AT244" s="78"/>
      <c r="AU244" s="78"/>
      <c r="AV244" s="78"/>
      <c r="AW244" s="78"/>
      <c r="AX244" s="78"/>
      <c r="AY244" s="78"/>
      <c r="AZ244" s="78"/>
      <c r="BA244" s="78"/>
      <c r="BB244" s="78"/>
      <c r="BC244" s="78"/>
      <c r="BD244" s="78"/>
      <c r="BE244" s="78"/>
      <c r="BF244" s="78"/>
      <c r="BG244" s="78"/>
      <c r="BH244" s="78"/>
      <c r="BI244" s="78"/>
      <c r="BJ244" s="78"/>
      <c r="BK244" s="78"/>
      <c r="BL244" s="78"/>
      <c r="BM244" s="78"/>
      <c r="BN244" s="78"/>
      <c r="BO244" s="78"/>
      <c r="BP244" s="78"/>
      <c r="BQ244" s="78"/>
      <c r="BR244" s="78"/>
      <c r="BS244" s="78"/>
      <c r="BT244" s="78"/>
      <c r="BU244" s="78"/>
      <c r="BV244" s="78"/>
      <c r="BW244" s="78"/>
      <c r="BX244" s="78"/>
      <c r="BY244" s="78"/>
      <c r="BZ244" s="78"/>
    </row>
    <row r="245" spans="1:78" x14ac:dyDescent="0.2">
      <c r="A245" s="78"/>
      <c r="B245" s="78"/>
      <c r="C245" s="78"/>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c r="AF245" s="78"/>
      <c r="AG245" s="78"/>
      <c r="AH245" s="78"/>
      <c r="AI245" s="78"/>
      <c r="AJ245" s="78"/>
      <c r="AK245" s="78"/>
      <c r="AL245" s="78"/>
      <c r="AM245" s="78"/>
      <c r="AN245" s="78"/>
      <c r="AO245" s="78"/>
      <c r="AP245" s="78"/>
      <c r="AQ245" s="78"/>
      <c r="AR245" s="78"/>
      <c r="AS245" s="78"/>
      <c r="AT245" s="78"/>
      <c r="AU245" s="78"/>
      <c r="AV245" s="78"/>
      <c r="AW245" s="78"/>
      <c r="AX245" s="78"/>
      <c r="AY245" s="78"/>
      <c r="AZ245" s="78"/>
      <c r="BA245" s="78"/>
      <c r="BB245" s="78"/>
      <c r="BC245" s="78"/>
      <c r="BD245" s="78"/>
      <c r="BE245" s="78"/>
      <c r="BF245" s="78"/>
      <c r="BG245" s="78"/>
      <c r="BH245" s="78"/>
      <c r="BI245" s="78"/>
      <c r="BJ245" s="78"/>
      <c r="BK245" s="78"/>
      <c r="BL245" s="78"/>
      <c r="BM245" s="78"/>
      <c r="BN245" s="78"/>
      <c r="BO245" s="78"/>
      <c r="BP245" s="78"/>
      <c r="BQ245" s="78"/>
      <c r="BR245" s="78"/>
      <c r="BS245" s="78"/>
      <c r="BT245" s="78"/>
      <c r="BU245" s="78"/>
      <c r="BV245" s="78"/>
      <c r="BW245" s="78"/>
      <c r="BX245" s="78"/>
      <c r="BY245" s="78"/>
      <c r="BZ245" s="78"/>
    </row>
    <row r="246" spans="1:78" x14ac:dyDescent="0.2">
      <c r="A246" s="78"/>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c r="AF246" s="78"/>
      <c r="AG246" s="78"/>
      <c r="AH246" s="78"/>
      <c r="AI246" s="78"/>
      <c r="AJ246" s="78"/>
      <c r="AK246" s="78"/>
      <c r="AL246" s="78"/>
      <c r="AM246" s="78"/>
      <c r="AN246" s="78"/>
      <c r="AO246" s="78"/>
      <c r="AP246" s="78"/>
      <c r="AQ246" s="78"/>
      <c r="AR246" s="78"/>
      <c r="AS246" s="78"/>
      <c r="AT246" s="78"/>
      <c r="AU246" s="78"/>
      <c r="AV246" s="78"/>
      <c r="AW246" s="78"/>
      <c r="AX246" s="78"/>
      <c r="AY246" s="78"/>
      <c r="AZ246" s="78"/>
      <c r="BA246" s="78"/>
      <c r="BB246" s="78"/>
      <c r="BC246" s="78"/>
      <c r="BD246" s="78"/>
      <c r="BE246" s="78"/>
      <c r="BF246" s="78"/>
      <c r="BG246" s="78"/>
      <c r="BH246" s="78"/>
      <c r="BI246" s="78"/>
      <c r="BJ246" s="78"/>
      <c r="BK246" s="78"/>
      <c r="BL246" s="78"/>
      <c r="BM246" s="78"/>
      <c r="BN246" s="78"/>
      <c r="BO246" s="78"/>
      <c r="BP246" s="78"/>
      <c r="BQ246" s="78"/>
      <c r="BR246" s="78"/>
      <c r="BS246" s="78"/>
      <c r="BT246" s="78"/>
      <c r="BU246" s="78"/>
      <c r="BV246" s="78"/>
      <c r="BW246" s="78"/>
      <c r="BX246" s="78"/>
      <c r="BY246" s="78"/>
      <c r="BZ246" s="78"/>
    </row>
    <row r="247" spans="1:78" x14ac:dyDescent="0.2">
      <c r="A247" s="78"/>
      <c r="B247" s="78"/>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c r="AF247" s="78"/>
      <c r="AG247" s="78"/>
      <c r="AH247" s="78"/>
      <c r="AI247" s="78"/>
      <c r="AJ247" s="78"/>
      <c r="AK247" s="78"/>
      <c r="AL247" s="78"/>
      <c r="AM247" s="78"/>
      <c r="AN247" s="78"/>
      <c r="AO247" s="78"/>
      <c r="AP247" s="78"/>
      <c r="AQ247" s="78"/>
      <c r="AR247" s="78"/>
      <c r="AS247" s="78"/>
      <c r="AT247" s="78"/>
      <c r="AU247" s="78"/>
      <c r="AV247" s="78"/>
      <c r="AW247" s="78"/>
      <c r="AX247" s="78"/>
      <c r="AY247" s="78"/>
      <c r="AZ247" s="78"/>
      <c r="BA247" s="78"/>
      <c r="BB247" s="78"/>
      <c r="BC247" s="78"/>
      <c r="BD247" s="78"/>
      <c r="BE247" s="78"/>
      <c r="BF247" s="78"/>
      <c r="BG247" s="78"/>
      <c r="BH247" s="78"/>
      <c r="BI247" s="78"/>
      <c r="BJ247" s="78"/>
      <c r="BK247" s="78"/>
      <c r="BL247" s="78"/>
      <c r="BM247" s="78"/>
      <c r="BN247" s="78"/>
      <c r="BO247" s="78"/>
      <c r="BP247" s="78"/>
      <c r="BQ247" s="78"/>
      <c r="BR247" s="78"/>
      <c r="BS247" s="78"/>
      <c r="BT247" s="78"/>
      <c r="BU247" s="78"/>
      <c r="BV247" s="78"/>
      <c r="BW247" s="78"/>
      <c r="BX247" s="78"/>
      <c r="BY247" s="78"/>
      <c r="BZ247" s="78"/>
    </row>
    <row r="248" spans="1:78" x14ac:dyDescent="0.2">
      <c r="A248" s="78"/>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c r="AF248" s="78"/>
      <c r="AG248" s="78"/>
      <c r="AH248" s="78"/>
      <c r="AI248" s="78"/>
      <c r="AJ248" s="78"/>
      <c r="AK248" s="78"/>
      <c r="AL248" s="78"/>
      <c r="AM248" s="78"/>
      <c r="AN248" s="78"/>
      <c r="AO248" s="78"/>
      <c r="AP248" s="78"/>
      <c r="AQ248" s="78"/>
      <c r="AR248" s="78"/>
      <c r="AS248" s="78"/>
      <c r="AT248" s="78"/>
      <c r="AU248" s="78"/>
      <c r="AV248" s="78"/>
      <c r="AW248" s="78"/>
      <c r="AX248" s="78"/>
      <c r="AY248" s="78"/>
      <c r="AZ248" s="78"/>
      <c r="BA248" s="78"/>
      <c r="BB248" s="78"/>
      <c r="BC248" s="78"/>
      <c r="BD248" s="78"/>
      <c r="BE248" s="78"/>
      <c r="BF248" s="78"/>
      <c r="BG248" s="78"/>
      <c r="BH248" s="78"/>
      <c r="BI248" s="78"/>
      <c r="BJ248" s="78"/>
      <c r="BK248" s="78"/>
      <c r="BL248" s="78"/>
      <c r="BM248" s="78"/>
      <c r="BN248" s="78"/>
      <c r="BO248" s="78"/>
      <c r="BP248" s="78"/>
      <c r="BQ248" s="78"/>
      <c r="BR248" s="78"/>
      <c r="BS248" s="78"/>
      <c r="BT248" s="78"/>
      <c r="BU248" s="78"/>
      <c r="BV248" s="78"/>
      <c r="BW248" s="78"/>
      <c r="BX248" s="78"/>
      <c r="BY248" s="78"/>
      <c r="BZ248" s="78"/>
    </row>
    <row r="249" spans="1:78" x14ac:dyDescent="0.2">
      <c r="A249" s="78"/>
      <c r="B249" s="78"/>
      <c r="C249" s="78"/>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c r="AF249" s="78"/>
      <c r="AG249" s="78"/>
      <c r="AH249" s="78"/>
      <c r="AI249" s="78"/>
      <c r="AJ249" s="78"/>
      <c r="AK249" s="78"/>
      <c r="AL249" s="78"/>
      <c r="AM249" s="78"/>
      <c r="AN249" s="78"/>
      <c r="AO249" s="78"/>
      <c r="AP249" s="78"/>
      <c r="AQ249" s="78"/>
      <c r="AR249" s="78"/>
      <c r="AS249" s="78"/>
      <c r="AT249" s="78"/>
      <c r="AU249" s="78"/>
      <c r="AV249" s="78"/>
      <c r="AW249" s="78"/>
      <c r="AX249" s="78"/>
      <c r="AY249" s="78"/>
      <c r="AZ249" s="78"/>
      <c r="BA249" s="78"/>
      <c r="BB249" s="78"/>
      <c r="BC249" s="78"/>
      <c r="BD249" s="78"/>
      <c r="BE249" s="78"/>
      <c r="BF249" s="78"/>
      <c r="BG249" s="78"/>
      <c r="BH249" s="78"/>
      <c r="BI249" s="78"/>
      <c r="BJ249" s="78"/>
      <c r="BK249" s="78"/>
      <c r="BL249" s="78"/>
      <c r="BM249" s="78"/>
      <c r="BN249" s="78"/>
      <c r="BO249" s="78"/>
      <c r="BP249" s="78"/>
      <c r="BQ249" s="78"/>
      <c r="BR249" s="78"/>
      <c r="BS249" s="78"/>
      <c r="BT249" s="78"/>
      <c r="BU249" s="78"/>
      <c r="BV249" s="78"/>
      <c r="BW249" s="78"/>
      <c r="BX249" s="78"/>
      <c r="BY249" s="78"/>
      <c r="BZ249" s="78"/>
    </row>
    <row r="250" spans="1:78" x14ac:dyDescent="0.2">
      <c r="A250" s="78"/>
      <c r="B250" s="78"/>
      <c r="C250" s="78"/>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c r="AC250" s="78"/>
      <c r="AD250" s="78"/>
      <c r="AE250" s="78"/>
      <c r="AF250" s="78"/>
      <c r="AG250" s="78"/>
      <c r="AH250" s="78"/>
      <c r="AI250" s="78"/>
      <c r="AJ250" s="78"/>
      <c r="AK250" s="78"/>
      <c r="AL250" s="78"/>
      <c r="AM250" s="78"/>
      <c r="AN250" s="78"/>
      <c r="AO250" s="78"/>
      <c r="AP250" s="78"/>
      <c r="AQ250" s="78"/>
      <c r="AR250" s="78"/>
      <c r="AS250" s="78"/>
      <c r="AT250" s="78"/>
      <c r="AU250" s="78"/>
      <c r="AV250" s="78"/>
      <c r="AW250" s="78"/>
      <c r="AX250" s="78"/>
      <c r="AY250" s="78"/>
      <c r="AZ250" s="78"/>
      <c r="BA250" s="78"/>
      <c r="BB250" s="78"/>
      <c r="BC250" s="78"/>
      <c r="BD250" s="78"/>
      <c r="BE250" s="78"/>
      <c r="BF250" s="78"/>
      <c r="BG250" s="78"/>
      <c r="BH250" s="78"/>
      <c r="BI250" s="78"/>
      <c r="BJ250" s="78"/>
      <c r="BK250" s="78"/>
      <c r="BL250" s="78"/>
      <c r="BM250" s="78"/>
      <c r="BN250" s="78"/>
      <c r="BO250" s="78"/>
      <c r="BP250" s="78"/>
      <c r="BQ250" s="78"/>
      <c r="BR250" s="78"/>
      <c r="BS250" s="78"/>
      <c r="BT250" s="78"/>
      <c r="BU250" s="78"/>
      <c r="BV250" s="78"/>
      <c r="BW250" s="78"/>
      <c r="BX250" s="78"/>
      <c r="BY250" s="78"/>
      <c r="BZ250" s="78"/>
    </row>
    <row r="251" spans="1:78" x14ac:dyDescent="0.2">
      <c r="A251" s="78"/>
      <c r="B251" s="78"/>
      <c r="C251" s="78"/>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E251" s="78"/>
      <c r="AF251" s="78"/>
      <c r="AG251" s="78"/>
      <c r="AH251" s="78"/>
      <c r="AI251" s="78"/>
      <c r="AJ251" s="78"/>
      <c r="AK251" s="78"/>
      <c r="AL251" s="78"/>
      <c r="AM251" s="78"/>
      <c r="AN251" s="78"/>
      <c r="AO251" s="78"/>
      <c r="AP251" s="78"/>
      <c r="AQ251" s="78"/>
      <c r="AR251" s="78"/>
      <c r="AS251" s="78"/>
      <c r="AT251" s="78"/>
      <c r="AU251" s="78"/>
      <c r="AV251" s="78"/>
      <c r="AW251" s="78"/>
      <c r="AX251" s="78"/>
      <c r="AY251" s="78"/>
      <c r="AZ251" s="78"/>
      <c r="BA251" s="78"/>
      <c r="BB251" s="78"/>
      <c r="BC251" s="78"/>
      <c r="BD251" s="78"/>
      <c r="BE251" s="78"/>
      <c r="BF251" s="78"/>
      <c r="BG251" s="78"/>
      <c r="BH251" s="78"/>
      <c r="BI251" s="78"/>
      <c r="BJ251" s="78"/>
      <c r="BK251" s="78"/>
      <c r="BL251" s="78"/>
      <c r="BM251" s="78"/>
      <c r="BN251" s="78"/>
      <c r="BO251" s="78"/>
      <c r="BP251" s="78"/>
      <c r="BQ251" s="78"/>
      <c r="BR251" s="78"/>
      <c r="BS251" s="78"/>
      <c r="BT251" s="78"/>
      <c r="BU251" s="78"/>
      <c r="BV251" s="78"/>
      <c r="BW251" s="78"/>
      <c r="BX251" s="78"/>
      <c r="BY251" s="78"/>
      <c r="BZ251" s="78"/>
    </row>
    <row r="252" spans="1:78" x14ac:dyDescent="0.2">
      <c r="A252" s="78"/>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c r="AF252" s="78"/>
      <c r="AG252" s="78"/>
      <c r="AH252" s="78"/>
      <c r="AI252" s="78"/>
      <c r="AJ252" s="78"/>
      <c r="AK252" s="78"/>
      <c r="AL252" s="78"/>
      <c r="AM252" s="78"/>
      <c r="AN252" s="78"/>
      <c r="AO252" s="78"/>
      <c r="AP252" s="78"/>
      <c r="AQ252" s="78"/>
      <c r="AR252" s="78"/>
      <c r="AS252" s="78"/>
      <c r="AT252" s="78"/>
      <c r="AU252" s="78"/>
      <c r="AV252" s="78"/>
      <c r="AW252" s="78"/>
      <c r="AX252" s="78"/>
      <c r="AY252" s="78"/>
      <c r="AZ252" s="78"/>
      <c r="BA252" s="78"/>
      <c r="BB252" s="78"/>
      <c r="BC252" s="78"/>
      <c r="BD252" s="78"/>
      <c r="BE252" s="78"/>
      <c r="BF252" s="78"/>
      <c r="BG252" s="78"/>
      <c r="BH252" s="78"/>
      <c r="BI252" s="78"/>
      <c r="BJ252" s="78"/>
      <c r="BK252" s="78"/>
      <c r="BL252" s="78"/>
      <c r="BM252" s="78"/>
      <c r="BN252" s="78"/>
      <c r="BO252" s="78"/>
      <c r="BP252" s="78"/>
      <c r="BQ252" s="78"/>
      <c r="BR252" s="78"/>
      <c r="BS252" s="78"/>
      <c r="BT252" s="78"/>
      <c r="BU252" s="78"/>
      <c r="BV252" s="78"/>
      <c r="BW252" s="78"/>
      <c r="BX252" s="78"/>
      <c r="BY252" s="78"/>
      <c r="BZ252" s="78"/>
    </row>
    <row r="253" spans="1:78" x14ac:dyDescent="0.2">
      <c r="A253" s="78"/>
      <c r="B253" s="78"/>
      <c r="C253" s="78"/>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c r="AF253" s="78"/>
      <c r="AG253" s="78"/>
      <c r="AH253" s="78"/>
      <c r="AI253" s="78"/>
      <c r="AJ253" s="78"/>
      <c r="AK253" s="78"/>
      <c r="AL253" s="78"/>
      <c r="AM253" s="78"/>
      <c r="AN253" s="78"/>
      <c r="AO253" s="78"/>
      <c r="AP253" s="78"/>
      <c r="AQ253" s="78"/>
      <c r="AR253" s="78"/>
      <c r="AS253" s="78"/>
      <c r="AT253" s="78"/>
      <c r="AU253" s="78"/>
      <c r="AV253" s="78"/>
      <c r="AW253" s="78"/>
      <c r="AX253" s="78"/>
      <c r="AY253" s="78"/>
      <c r="AZ253" s="78"/>
      <c r="BA253" s="78"/>
      <c r="BB253" s="78"/>
      <c r="BC253" s="78"/>
      <c r="BD253" s="78"/>
      <c r="BE253" s="78"/>
      <c r="BF253" s="78"/>
      <c r="BG253" s="78"/>
      <c r="BH253" s="78"/>
      <c r="BI253" s="78"/>
      <c r="BJ253" s="78"/>
      <c r="BK253" s="78"/>
      <c r="BL253" s="78"/>
      <c r="BM253" s="78"/>
      <c r="BN253" s="78"/>
      <c r="BO253" s="78"/>
      <c r="BP253" s="78"/>
      <c r="BQ253" s="78"/>
      <c r="BR253" s="78"/>
      <c r="BS253" s="78"/>
      <c r="BT253" s="78"/>
      <c r="BU253" s="78"/>
      <c r="BV253" s="78"/>
      <c r="BW253" s="78"/>
      <c r="BX253" s="78"/>
      <c r="BY253" s="78"/>
      <c r="BZ253" s="78"/>
    </row>
    <row r="254" spans="1:78" x14ac:dyDescent="0.2">
      <c r="A254" s="78"/>
      <c r="B254" s="78"/>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c r="AF254" s="78"/>
      <c r="AG254" s="78"/>
      <c r="AH254" s="78"/>
      <c r="AI254" s="78"/>
      <c r="AJ254" s="78"/>
      <c r="AK254" s="78"/>
      <c r="AL254" s="78"/>
      <c r="AM254" s="78"/>
      <c r="AN254" s="78"/>
      <c r="AO254" s="78"/>
      <c r="AP254" s="78"/>
      <c r="AQ254" s="78"/>
      <c r="AR254" s="78"/>
      <c r="AS254" s="78"/>
      <c r="AT254" s="78"/>
      <c r="AU254" s="78"/>
      <c r="AV254" s="78"/>
      <c r="AW254" s="78"/>
      <c r="AX254" s="78"/>
      <c r="AY254" s="78"/>
      <c r="AZ254" s="78"/>
      <c r="BA254" s="78"/>
      <c r="BB254" s="78"/>
      <c r="BC254" s="78"/>
      <c r="BD254" s="78"/>
      <c r="BE254" s="78"/>
      <c r="BF254" s="78"/>
      <c r="BG254" s="78"/>
      <c r="BH254" s="78"/>
      <c r="BI254" s="78"/>
      <c r="BJ254" s="78"/>
      <c r="BK254" s="78"/>
      <c r="BL254" s="78"/>
      <c r="BM254" s="78"/>
      <c r="BN254" s="78"/>
      <c r="BO254" s="78"/>
      <c r="BP254" s="78"/>
      <c r="BQ254" s="78"/>
      <c r="BR254" s="78"/>
      <c r="BS254" s="78"/>
      <c r="BT254" s="78"/>
      <c r="BU254" s="78"/>
      <c r="BV254" s="78"/>
      <c r="BW254" s="78"/>
      <c r="BX254" s="78"/>
      <c r="BY254" s="78"/>
      <c r="BZ254" s="78"/>
    </row>
    <row r="255" spans="1:78" x14ac:dyDescent="0.2">
      <c r="A255" s="78"/>
      <c r="B255" s="78"/>
      <c r="C255" s="78"/>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c r="AF255" s="78"/>
      <c r="AG255" s="78"/>
      <c r="AH255" s="78"/>
      <c r="AI255" s="78"/>
      <c r="AJ255" s="78"/>
      <c r="AK255" s="78"/>
      <c r="AL255" s="78"/>
      <c r="AM255" s="78"/>
      <c r="AN255" s="78"/>
      <c r="AO255" s="78"/>
      <c r="AP255" s="78"/>
      <c r="AQ255" s="78"/>
      <c r="AR255" s="78"/>
      <c r="AS255" s="78"/>
      <c r="AT255" s="78"/>
      <c r="AU255" s="78"/>
      <c r="AV255" s="78"/>
      <c r="AW255" s="78"/>
      <c r="AX255" s="78"/>
      <c r="AY255" s="78"/>
      <c r="AZ255" s="78"/>
      <c r="BA255" s="78"/>
      <c r="BB255" s="78"/>
      <c r="BC255" s="78"/>
      <c r="BD255" s="78"/>
      <c r="BE255" s="78"/>
      <c r="BF255" s="78"/>
      <c r="BG255" s="78"/>
      <c r="BH255" s="78"/>
      <c r="BI255" s="78"/>
      <c r="BJ255" s="78"/>
      <c r="BK255" s="78"/>
      <c r="BL255" s="78"/>
      <c r="BM255" s="78"/>
      <c r="BN255" s="78"/>
      <c r="BO255" s="78"/>
      <c r="BP255" s="78"/>
      <c r="BQ255" s="78"/>
      <c r="BR255" s="78"/>
      <c r="BS255" s="78"/>
      <c r="BT255" s="78"/>
      <c r="BU255" s="78"/>
      <c r="BV255" s="78"/>
      <c r="BW255" s="78"/>
      <c r="BX255" s="78"/>
      <c r="BY255" s="78"/>
      <c r="BZ255" s="78"/>
    </row>
    <row r="256" spans="1:78" x14ac:dyDescent="0.2">
      <c r="A256" s="78"/>
      <c r="B256" s="78"/>
      <c r="C256" s="78"/>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c r="AF256" s="78"/>
      <c r="AG256" s="78"/>
      <c r="AH256" s="78"/>
      <c r="AI256" s="78"/>
      <c r="AJ256" s="78"/>
      <c r="AK256" s="78"/>
      <c r="AL256" s="78"/>
      <c r="AM256" s="78"/>
      <c r="AN256" s="78"/>
      <c r="AO256" s="78"/>
      <c r="AP256" s="78"/>
      <c r="AQ256" s="78"/>
      <c r="AR256" s="78"/>
      <c r="AS256" s="78"/>
      <c r="AT256" s="78"/>
      <c r="AU256" s="78"/>
      <c r="AV256" s="78"/>
      <c r="AW256" s="78"/>
      <c r="AX256" s="78"/>
      <c r="AY256" s="78"/>
      <c r="AZ256" s="78"/>
      <c r="BA256" s="78"/>
      <c r="BB256" s="78"/>
      <c r="BC256" s="78"/>
      <c r="BD256" s="78"/>
      <c r="BE256" s="78"/>
      <c r="BF256" s="78"/>
      <c r="BG256" s="78"/>
      <c r="BH256" s="78"/>
      <c r="BI256" s="78"/>
      <c r="BJ256" s="78"/>
      <c r="BK256" s="78"/>
      <c r="BL256" s="78"/>
      <c r="BM256" s="78"/>
      <c r="BN256" s="78"/>
      <c r="BO256" s="78"/>
      <c r="BP256" s="78"/>
      <c r="BQ256" s="78"/>
      <c r="BR256" s="78"/>
      <c r="BS256" s="78"/>
      <c r="BT256" s="78"/>
      <c r="BU256" s="78"/>
      <c r="BV256" s="78"/>
      <c r="BW256" s="78"/>
      <c r="BX256" s="78"/>
      <c r="BY256" s="78"/>
      <c r="BZ256" s="78"/>
    </row>
    <row r="257" spans="1:78" x14ac:dyDescent="0.2">
      <c r="A257" s="78"/>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8"/>
      <c r="AL257" s="78"/>
      <c r="AM257" s="78"/>
      <c r="AN257" s="78"/>
      <c r="AO257" s="78"/>
      <c r="AP257" s="78"/>
      <c r="AQ257" s="78"/>
      <c r="AR257" s="78"/>
      <c r="AS257" s="78"/>
      <c r="AT257" s="78"/>
      <c r="AU257" s="78"/>
      <c r="AV257" s="78"/>
      <c r="AW257" s="78"/>
      <c r="AX257" s="78"/>
      <c r="AY257" s="78"/>
      <c r="AZ257" s="78"/>
      <c r="BA257" s="78"/>
      <c r="BB257" s="78"/>
      <c r="BC257" s="78"/>
      <c r="BD257" s="78"/>
      <c r="BE257" s="78"/>
      <c r="BF257" s="78"/>
      <c r="BG257" s="78"/>
      <c r="BH257" s="78"/>
      <c r="BI257" s="78"/>
      <c r="BJ257" s="78"/>
      <c r="BK257" s="78"/>
      <c r="BL257" s="78"/>
      <c r="BM257" s="78"/>
      <c r="BN257" s="78"/>
      <c r="BO257" s="78"/>
      <c r="BP257" s="78"/>
      <c r="BQ257" s="78"/>
      <c r="BR257" s="78"/>
      <c r="BS257" s="78"/>
      <c r="BT257" s="78"/>
      <c r="BU257" s="78"/>
      <c r="BV257" s="78"/>
      <c r="BW257" s="78"/>
      <c r="BX257" s="78"/>
      <c r="BY257" s="78"/>
      <c r="BZ257" s="78"/>
    </row>
    <row r="258" spans="1:78" x14ac:dyDescent="0.2">
      <c r="A258" s="78"/>
      <c r="B258" s="78"/>
      <c r="C258" s="78"/>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c r="AF258" s="78"/>
      <c r="AG258" s="78"/>
      <c r="AH258" s="78"/>
      <c r="AI258" s="78"/>
      <c r="AJ258" s="78"/>
      <c r="AK258" s="78"/>
      <c r="AL258" s="78"/>
      <c r="AM258" s="78"/>
      <c r="AN258" s="78"/>
      <c r="AO258" s="78"/>
      <c r="AP258" s="78"/>
      <c r="AQ258" s="78"/>
      <c r="AR258" s="78"/>
      <c r="AS258" s="78"/>
      <c r="AT258" s="78"/>
      <c r="AU258" s="78"/>
      <c r="AV258" s="78"/>
      <c r="AW258" s="78"/>
      <c r="AX258" s="78"/>
      <c r="AY258" s="78"/>
      <c r="AZ258" s="78"/>
      <c r="BA258" s="78"/>
      <c r="BB258" s="78"/>
      <c r="BC258" s="78"/>
      <c r="BD258" s="78"/>
      <c r="BE258" s="78"/>
      <c r="BF258" s="78"/>
      <c r="BG258" s="78"/>
      <c r="BH258" s="78"/>
      <c r="BI258" s="78"/>
      <c r="BJ258" s="78"/>
      <c r="BK258" s="78"/>
      <c r="BL258" s="78"/>
      <c r="BM258" s="78"/>
      <c r="BN258" s="78"/>
      <c r="BO258" s="78"/>
      <c r="BP258" s="78"/>
      <c r="BQ258" s="78"/>
      <c r="BR258" s="78"/>
      <c r="BS258" s="78"/>
      <c r="BT258" s="78"/>
      <c r="BU258" s="78"/>
      <c r="BV258" s="78"/>
      <c r="BW258" s="78"/>
      <c r="BX258" s="78"/>
      <c r="BY258" s="78"/>
      <c r="BZ258" s="78"/>
    </row>
    <row r="259" spans="1:78" x14ac:dyDescent="0.2">
      <c r="A259" s="78"/>
      <c r="B259" s="78"/>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c r="AF259" s="78"/>
      <c r="AG259" s="78"/>
      <c r="AH259" s="78"/>
      <c r="AI259" s="78"/>
      <c r="AJ259" s="78"/>
      <c r="AK259" s="78"/>
      <c r="AL259" s="78"/>
      <c r="AM259" s="78"/>
      <c r="AN259" s="78"/>
      <c r="AO259" s="78"/>
      <c r="AP259" s="78"/>
      <c r="AQ259" s="78"/>
      <c r="AR259" s="78"/>
      <c r="AS259" s="78"/>
      <c r="AT259" s="78"/>
      <c r="AU259" s="78"/>
      <c r="AV259" s="78"/>
      <c r="AW259" s="78"/>
      <c r="AX259" s="78"/>
      <c r="AY259" s="78"/>
      <c r="AZ259" s="78"/>
      <c r="BA259" s="78"/>
      <c r="BB259" s="78"/>
      <c r="BC259" s="78"/>
      <c r="BD259" s="78"/>
      <c r="BE259" s="78"/>
      <c r="BF259" s="78"/>
      <c r="BG259" s="78"/>
      <c r="BH259" s="78"/>
      <c r="BI259" s="78"/>
      <c r="BJ259" s="78"/>
      <c r="BK259" s="78"/>
      <c r="BL259" s="78"/>
      <c r="BM259" s="78"/>
      <c r="BN259" s="78"/>
      <c r="BO259" s="78"/>
      <c r="BP259" s="78"/>
      <c r="BQ259" s="78"/>
      <c r="BR259" s="78"/>
      <c r="BS259" s="78"/>
      <c r="BT259" s="78"/>
      <c r="BU259" s="78"/>
      <c r="BV259" s="78"/>
      <c r="BW259" s="78"/>
      <c r="BX259" s="78"/>
      <c r="BY259" s="78"/>
      <c r="BZ259" s="78"/>
    </row>
    <row r="260" spans="1:78" x14ac:dyDescent="0.2">
      <c r="A260" s="78"/>
      <c r="B260" s="78"/>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c r="AF260" s="78"/>
      <c r="AG260" s="78"/>
      <c r="AH260" s="78"/>
      <c r="AI260" s="78"/>
      <c r="AJ260" s="78"/>
      <c r="AK260" s="78"/>
      <c r="AL260" s="78"/>
      <c r="AM260" s="78"/>
      <c r="AN260" s="78"/>
      <c r="AO260" s="78"/>
      <c r="AP260" s="78"/>
      <c r="AQ260" s="78"/>
      <c r="AR260" s="78"/>
      <c r="AS260" s="78"/>
      <c r="AT260" s="78"/>
      <c r="AU260" s="78"/>
      <c r="AV260" s="78"/>
      <c r="AW260" s="78"/>
      <c r="AX260" s="78"/>
      <c r="AY260" s="78"/>
      <c r="AZ260" s="78"/>
      <c r="BA260" s="78"/>
      <c r="BB260" s="78"/>
      <c r="BC260" s="78"/>
      <c r="BD260" s="78"/>
      <c r="BE260" s="78"/>
      <c r="BF260" s="78"/>
      <c r="BG260" s="78"/>
      <c r="BH260" s="78"/>
      <c r="BI260" s="78"/>
      <c r="BJ260" s="78"/>
      <c r="BK260" s="78"/>
      <c r="BL260" s="78"/>
      <c r="BM260" s="78"/>
      <c r="BN260" s="78"/>
      <c r="BO260" s="78"/>
      <c r="BP260" s="78"/>
      <c r="BQ260" s="78"/>
      <c r="BR260" s="78"/>
      <c r="BS260" s="78"/>
      <c r="BT260" s="78"/>
      <c r="BU260" s="78"/>
      <c r="BV260" s="78"/>
      <c r="BW260" s="78"/>
      <c r="BX260" s="78"/>
      <c r="BY260" s="78"/>
      <c r="BZ260" s="78"/>
    </row>
    <row r="261" spans="1:78" x14ac:dyDescent="0.2">
      <c r="A261" s="78"/>
      <c r="B261" s="78"/>
      <c r="C261" s="78"/>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c r="AF261" s="78"/>
      <c r="AG261" s="78"/>
      <c r="AH261" s="78"/>
      <c r="AI261" s="78"/>
      <c r="AJ261" s="78"/>
      <c r="AK261" s="78"/>
      <c r="AL261" s="78"/>
      <c r="AM261" s="78"/>
      <c r="AN261" s="78"/>
      <c r="AO261" s="78"/>
      <c r="AP261" s="78"/>
      <c r="AQ261" s="78"/>
      <c r="AR261" s="78"/>
      <c r="AS261" s="78"/>
      <c r="AT261" s="78"/>
      <c r="AU261" s="78"/>
      <c r="AV261" s="78"/>
      <c r="AW261" s="78"/>
      <c r="AX261" s="78"/>
      <c r="AY261" s="78"/>
      <c r="AZ261" s="78"/>
      <c r="BA261" s="78"/>
      <c r="BB261" s="78"/>
      <c r="BC261" s="78"/>
      <c r="BD261" s="78"/>
      <c r="BE261" s="78"/>
      <c r="BF261" s="78"/>
      <c r="BG261" s="78"/>
      <c r="BH261" s="78"/>
      <c r="BI261" s="78"/>
      <c r="BJ261" s="78"/>
      <c r="BK261" s="78"/>
      <c r="BL261" s="78"/>
      <c r="BM261" s="78"/>
      <c r="BN261" s="78"/>
      <c r="BO261" s="78"/>
      <c r="BP261" s="78"/>
      <c r="BQ261" s="78"/>
      <c r="BR261" s="78"/>
      <c r="BS261" s="78"/>
      <c r="BT261" s="78"/>
      <c r="BU261" s="78"/>
      <c r="BV261" s="78"/>
      <c r="BW261" s="78"/>
      <c r="BX261" s="78"/>
      <c r="BY261" s="78"/>
      <c r="BZ261" s="78"/>
    </row>
    <row r="262" spans="1:78" x14ac:dyDescent="0.2">
      <c r="A262" s="78"/>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c r="AF262" s="78"/>
      <c r="AG262" s="78"/>
      <c r="AH262" s="78"/>
      <c r="AI262" s="78"/>
      <c r="AJ262" s="78"/>
      <c r="AK262" s="78"/>
      <c r="AL262" s="78"/>
      <c r="AM262" s="78"/>
      <c r="AN262" s="78"/>
      <c r="AO262" s="78"/>
      <c r="AP262" s="78"/>
      <c r="AQ262" s="78"/>
      <c r="AR262" s="78"/>
      <c r="AS262" s="78"/>
      <c r="AT262" s="78"/>
      <c r="AU262" s="78"/>
      <c r="AV262" s="78"/>
      <c r="AW262" s="78"/>
      <c r="AX262" s="78"/>
      <c r="AY262" s="78"/>
      <c r="AZ262" s="78"/>
      <c r="BA262" s="78"/>
      <c r="BB262" s="78"/>
      <c r="BC262" s="78"/>
      <c r="BD262" s="78"/>
      <c r="BE262" s="78"/>
      <c r="BF262" s="78"/>
      <c r="BG262" s="78"/>
      <c r="BH262" s="78"/>
      <c r="BI262" s="78"/>
      <c r="BJ262" s="78"/>
      <c r="BK262" s="78"/>
      <c r="BL262" s="78"/>
      <c r="BM262" s="78"/>
      <c r="BN262" s="78"/>
      <c r="BO262" s="78"/>
      <c r="BP262" s="78"/>
      <c r="BQ262" s="78"/>
      <c r="BR262" s="78"/>
      <c r="BS262" s="78"/>
      <c r="BT262" s="78"/>
      <c r="BU262" s="78"/>
      <c r="BV262" s="78"/>
      <c r="BW262" s="78"/>
      <c r="BX262" s="78"/>
      <c r="BY262" s="78"/>
      <c r="BZ262" s="78"/>
    </row>
    <row r="263" spans="1:78" x14ac:dyDescent="0.2">
      <c r="A263" s="78"/>
      <c r="B263" s="78"/>
      <c r="C263" s="78"/>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c r="AF263" s="78"/>
      <c r="AG263" s="78"/>
      <c r="AH263" s="78"/>
      <c r="AI263" s="78"/>
      <c r="AJ263" s="78"/>
      <c r="AK263" s="78"/>
      <c r="AL263" s="78"/>
      <c r="AM263" s="78"/>
      <c r="AN263" s="78"/>
      <c r="AO263" s="78"/>
      <c r="AP263" s="78"/>
      <c r="AQ263" s="78"/>
      <c r="AR263" s="78"/>
      <c r="AS263" s="78"/>
      <c r="AT263" s="78"/>
      <c r="AU263" s="78"/>
      <c r="AV263" s="78"/>
      <c r="AW263" s="78"/>
      <c r="AX263" s="78"/>
      <c r="AY263" s="78"/>
      <c r="AZ263" s="78"/>
      <c r="BA263" s="78"/>
      <c r="BB263" s="78"/>
      <c r="BC263" s="78"/>
      <c r="BD263" s="78"/>
      <c r="BE263" s="78"/>
      <c r="BF263" s="78"/>
      <c r="BG263" s="78"/>
      <c r="BH263" s="78"/>
      <c r="BI263" s="78"/>
      <c r="BJ263" s="78"/>
      <c r="BK263" s="78"/>
      <c r="BL263" s="78"/>
      <c r="BM263" s="78"/>
      <c r="BN263" s="78"/>
      <c r="BO263" s="78"/>
      <c r="BP263" s="78"/>
      <c r="BQ263" s="78"/>
      <c r="BR263" s="78"/>
      <c r="BS263" s="78"/>
      <c r="BT263" s="78"/>
      <c r="BU263" s="78"/>
      <c r="BV263" s="78"/>
      <c r="BW263" s="78"/>
      <c r="BX263" s="78"/>
      <c r="BY263" s="78"/>
      <c r="BZ263" s="78"/>
    </row>
    <row r="264" spans="1:78" x14ac:dyDescent="0.2">
      <c r="A264" s="78"/>
      <c r="B264" s="78"/>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c r="AF264" s="78"/>
      <c r="AG264" s="78"/>
      <c r="AH264" s="78"/>
      <c r="AI264" s="78"/>
      <c r="AJ264" s="78"/>
      <c r="AK264" s="78"/>
      <c r="AL264" s="78"/>
      <c r="AM264" s="78"/>
      <c r="AN264" s="78"/>
      <c r="AO264" s="78"/>
      <c r="AP264" s="78"/>
      <c r="AQ264" s="78"/>
      <c r="AR264" s="78"/>
      <c r="AS264" s="78"/>
      <c r="AT264" s="78"/>
      <c r="AU264" s="78"/>
      <c r="AV264" s="78"/>
      <c r="AW264" s="78"/>
      <c r="AX264" s="78"/>
      <c r="AY264" s="78"/>
      <c r="AZ264" s="78"/>
      <c r="BA264" s="78"/>
      <c r="BB264" s="78"/>
      <c r="BC264" s="78"/>
      <c r="BD264" s="78"/>
      <c r="BE264" s="78"/>
      <c r="BF264" s="78"/>
      <c r="BG264" s="78"/>
      <c r="BH264" s="78"/>
      <c r="BI264" s="78"/>
      <c r="BJ264" s="78"/>
      <c r="BK264" s="78"/>
      <c r="BL264" s="78"/>
      <c r="BM264" s="78"/>
      <c r="BN264" s="78"/>
      <c r="BO264" s="78"/>
      <c r="BP264" s="78"/>
      <c r="BQ264" s="78"/>
      <c r="BR264" s="78"/>
      <c r="BS264" s="78"/>
      <c r="BT264" s="78"/>
      <c r="BU264" s="78"/>
      <c r="BV264" s="78"/>
      <c r="BW264" s="78"/>
      <c r="BX264" s="78"/>
      <c r="BY264" s="78"/>
      <c r="BZ264" s="78"/>
    </row>
    <row r="265" spans="1:78" x14ac:dyDescent="0.2">
      <c r="A265" s="78"/>
      <c r="B265" s="78"/>
      <c r="C265" s="78"/>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c r="AF265" s="78"/>
      <c r="AG265" s="78"/>
      <c r="AH265" s="78"/>
      <c r="AI265" s="78"/>
      <c r="AJ265" s="78"/>
      <c r="AK265" s="78"/>
      <c r="AL265" s="78"/>
      <c r="AM265" s="78"/>
      <c r="AN265" s="78"/>
      <c r="AO265" s="78"/>
      <c r="AP265" s="78"/>
      <c r="AQ265" s="78"/>
      <c r="AR265" s="78"/>
      <c r="AS265" s="78"/>
      <c r="AT265" s="78"/>
      <c r="AU265" s="78"/>
      <c r="AV265" s="78"/>
      <c r="AW265" s="78"/>
      <c r="AX265" s="78"/>
      <c r="AY265" s="78"/>
      <c r="AZ265" s="78"/>
      <c r="BA265" s="78"/>
      <c r="BB265" s="78"/>
      <c r="BC265" s="78"/>
      <c r="BD265" s="78"/>
      <c r="BE265" s="78"/>
      <c r="BF265" s="78"/>
      <c r="BG265" s="78"/>
      <c r="BH265" s="78"/>
      <c r="BI265" s="78"/>
      <c r="BJ265" s="78"/>
      <c r="BK265" s="78"/>
      <c r="BL265" s="78"/>
      <c r="BM265" s="78"/>
      <c r="BN265" s="78"/>
      <c r="BO265" s="78"/>
      <c r="BP265" s="78"/>
      <c r="BQ265" s="78"/>
      <c r="BR265" s="78"/>
      <c r="BS265" s="78"/>
      <c r="BT265" s="78"/>
      <c r="BU265" s="78"/>
      <c r="BV265" s="78"/>
      <c r="BW265" s="78"/>
      <c r="BX265" s="78"/>
      <c r="BY265" s="78"/>
      <c r="BZ265" s="78"/>
    </row>
    <row r="266" spans="1:78" x14ac:dyDescent="0.2">
      <c r="A266" s="78"/>
      <c r="B266" s="78"/>
      <c r="C266" s="78"/>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c r="AF266" s="78"/>
      <c r="AG266" s="78"/>
      <c r="AH266" s="78"/>
      <c r="AI266" s="78"/>
      <c r="AJ266" s="78"/>
      <c r="AK266" s="78"/>
      <c r="AL266" s="78"/>
      <c r="AM266" s="78"/>
      <c r="AN266" s="78"/>
      <c r="AO266" s="78"/>
      <c r="AP266" s="78"/>
      <c r="AQ266" s="78"/>
      <c r="AR266" s="78"/>
      <c r="AS266" s="78"/>
      <c r="AT266" s="78"/>
      <c r="AU266" s="78"/>
      <c r="AV266" s="78"/>
      <c r="AW266" s="78"/>
      <c r="AX266" s="78"/>
      <c r="AY266" s="78"/>
      <c r="AZ266" s="78"/>
      <c r="BA266" s="78"/>
      <c r="BB266" s="78"/>
      <c r="BC266" s="78"/>
      <c r="BD266" s="78"/>
      <c r="BE266" s="78"/>
      <c r="BF266" s="78"/>
      <c r="BG266" s="78"/>
      <c r="BH266" s="78"/>
      <c r="BI266" s="78"/>
      <c r="BJ266" s="78"/>
      <c r="BK266" s="78"/>
      <c r="BL266" s="78"/>
      <c r="BM266" s="78"/>
      <c r="BN266" s="78"/>
      <c r="BO266" s="78"/>
      <c r="BP266" s="78"/>
      <c r="BQ266" s="78"/>
      <c r="BR266" s="78"/>
      <c r="BS266" s="78"/>
      <c r="BT266" s="78"/>
      <c r="BU266" s="78"/>
      <c r="BV266" s="78"/>
      <c r="BW266" s="78"/>
      <c r="BX266" s="78"/>
      <c r="BY266" s="78"/>
      <c r="BZ266" s="78"/>
    </row>
    <row r="267" spans="1:78" x14ac:dyDescent="0.2">
      <c r="A267" s="78"/>
      <c r="B267" s="78"/>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c r="AF267" s="78"/>
      <c r="AG267" s="78"/>
      <c r="AH267" s="78"/>
      <c r="AI267" s="78"/>
      <c r="AJ267" s="78"/>
      <c r="AK267" s="78"/>
      <c r="AL267" s="78"/>
      <c r="AM267" s="78"/>
      <c r="AN267" s="78"/>
      <c r="AO267" s="78"/>
      <c r="AP267" s="78"/>
      <c r="AQ267" s="78"/>
      <c r="AR267" s="78"/>
      <c r="AS267" s="78"/>
      <c r="AT267" s="78"/>
      <c r="AU267" s="78"/>
      <c r="AV267" s="78"/>
      <c r="AW267" s="78"/>
      <c r="AX267" s="78"/>
      <c r="AY267" s="78"/>
      <c r="AZ267" s="78"/>
      <c r="BA267" s="78"/>
      <c r="BB267" s="78"/>
      <c r="BC267" s="78"/>
      <c r="BD267" s="78"/>
      <c r="BE267" s="78"/>
      <c r="BF267" s="78"/>
      <c r="BG267" s="78"/>
      <c r="BH267" s="78"/>
      <c r="BI267" s="78"/>
      <c r="BJ267" s="78"/>
      <c r="BK267" s="78"/>
      <c r="BL267" s="78"/>
      <c r="BM267" s="78"/>
      <c r="BN267" s="78"/>
      <c r="BO267" s="78"/>
      <c r="BP267" s="78"/>
      <c r="BQ267" s="78"/>
      <c r="BR267" s="78"/>
      <c r="BS267" s="78"/>
      <c r="BT267" s="78"/>
      <c r="BU267" s="78"/>
      <c r="BV267" s="78"/>
      <c r="BW267" s="78"/>
      <c r="BX267" s="78"/>
      <c r="BY267" s="78"/>
      <c r="BZ267" s="78"/>
    </row>
    <row r="268" spans="1:78" x14ac:dyDescent="0.2">
      <c r="A268" s="78"/>
      <c r="B268" s="78"/>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c r="AF268" s="78"/>
      <c r="AG268" s="78"/>
      <c r="AH268" s="78"/>
      <c r="AI268" s="78"/>
      <c r="AJ268" s="78"/>
      <c r="AK268" s="78"/>
      <c r="AL268" s="78"/>
      <c r="AM268" s="78"/>
      <c r="AN268" s="78"/>
      <c r="AO268" s="78"/>
      <c r="AP268" s="78"/>
      <c r="AQ268" s="78"/>
      <c r="AR268" s="78"/>
      <c r="AS268" s="78"/>
      <c r="AT268" s="78"/>
      <c r="AU268" s="78"/>
      <c r="AV268" s="78"/>
      <c r="AW268" s="78"/>
      <c r="AX268" s="78"/>
      <c r="AY268" s="78"/>
      <c r="AZ268" s="78"/>
      <c r="BA268" s="78"/>
      <c r="BB268" s="78"/>
      <c r="BC268" s="78"/>
      <c r="BD268" s="78"/>
      <c r="BE268" s="78"/>
      <c r="BF268" s="78"/>
      <c r="BG268" s="78"/>
      <c r="BH268" s="78"/>
      <c r="BI268" s="78"/>
      <c r="BJ268" s="78"/>
      <c r="BK268" s="78"/>
      <c r="BL268" s="78"/>
      <c r="BM268" s="78"/>
      <c r="BN268" s="78"/>
      <c r="BO268" s="78"/>
      <c r="BP268" s="78"/>
      <c r="BQ268" s="78"/>
      <c r="BR268" s="78"/>
      <c r="BS268" s="78"/>
      <c r="BT268" s="78"/>
      <c r="BU268" s="78"/>
      <c r="BV268" s="78"/>
      <c r="BW268" s="78"/>
      <c r="BX268" s="78"/>
      <c r="BY268" s="78"/>
      <c r="BZ268" s="78"/>
    </row>
    <row r="269" spans="1:78" x14ac:dyDescent="0.2">
      <c r="A269" s="78"/>
      <c r="B269" s="78"/>
      <c r="C269" s="78"/>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c r="AF269" s="78"/>
      <c r="AG269" s="78"/>
      <c r="AH269" s="78"/>
      <c r="AI269" s="78"/>
      <c r="AJ269" s="78"/>
      <c r="AK269" s="78"/>
      <c r="AL269" s="78"/>
      <c r="AM269" s="78"/>
      <c r="AN269" s="78"/>
      <c r="AO269" s="78"/>
      <c r="AP269" s="78"/>
      <c r="AQ269" s="78"/>
      <c r="AR269" s="78"/>
      <c r="AS269" s="78"/>
      <c r="AT269" s="78"/>
      <c r="AU269" s="78"/>
      <c r="AV269" s="78"/>
      <c r="AW269" s="78"/>
      <c r="AX269" s="78"/>
      <c r="AY269" s="78"/>
      <c r="AZ269" s="78"/>
      <c r="BA269" s="78"/>
      <c r="BB269" s="78"/>
      <c r="BC269" s="78"/>
      <c r="BD269" s="78"/>
      <c r="BE269" s="78"/>
      <c r="BF269" s="78"/>
      <c r="BG269" s="78"/>
      <c r="BH269" s="78"/>
      <c r="BI269" s="78"/>
      <c r="BJ269" s="78"/>
      <c r="BK269" s="78"/>
      <c r="BL269" s="78"/>
      <c r="BM269" s="78"/>
      <c r="BN269" s="78"/>
      <c r="BO269" s="78"/>
      <c r="BP269" s="78"/>
      <c r="BQ269" s="78"/>
      <c r="BR269" s="78"/>
      <c r="BS269" s="78"/>
      <c r="BT269" s="78"/>
      <c r="BU269" s="78"/>
      <c r="BV269" s="78"/>
      <c r="BW269" s="78"/>
      <c r="BX269" s="78"/>
      <c r="BY269" s="78"/>
      <c r="BZ269" s="78"/>
    </row>
    <row r="270" spans="1:78" x14ac:dyDescent="0.2">
      <c r="A270" s="78"/>
      <c r="B270" s="78"/>
      <c r="C270" s="78"/>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c r="AF270" s="78"/>
      <c r="AG270" s="78"/>
      <c r="AH270" s="78"/>
      <c r="AI270" s="78"/>
      <c r="AJ270" s="78"/>
      <c r="AK270" s="78"/>
      <c r="AL270" s="78"/>
      <c r="AM270" s="78"/>
      <c r="AN270" s="78"/>
      <c r="AO270" s="78"/>
      <c r="AP270" s="78"/>
      <c r="AQ270" s="78"/>
      <c r="AR270" s="78"/>
      <c r="AS270" s="78"/>
      <c r="AT270" s="78"/>
      <c r="AU270" s="78"/>
      <c r="AV270" s="78"/>
      <c r="AW270" s="78"/>
      <c r="AX270" s="78"/>
      <c r="AY270" s="78"/>
      <c r="AZ270" s="78"/>
      <c r="BA270" s="78"/>
      <c r="BB270" s="78"/>
      <c r="BC270" s="78"/>
      <c r="BD270" s="78"/>
      <c r="BE270" s="78"/>
      <c r="BF270" s="78"/>
      <c r="BG270" s="78"/>
      <c r="BH270" s="78"/>
      <c r="BI270" s="78"/>
      <c r="BJ270" s="78"/>
      <c r="BK270" s="78"/>
      <c r="BL270" s="78"/>
      <c r="BM270" s="78"/>
      <c r="BN270" s="78"/>
      <c r="BO270" s="78"/>
      <c r="BP270" s="78"/>
      <c r="BQ270" s="78"/>
      <c r="BR270" s="78"/>
      <c r="BS270" s="78"/>
      <c r="BT270" s="78"/>
      <c r="BU270" s="78"/>
      <c r="BV270" s="78"/>
      <c r="BW270" s="78"/>
      <c r="BX270" s="78"/>
      <c r="BY270" s="78"/>
      <c r="BZ270" s="78"/>
    </row>
    <row r="271" spans="1:78" x14ac:dyDescent="0.2">
      <c r="A271" s="78"/>
      <c r="B271" s="78"/>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c r="AF271" s="78"/>
      <c r="AG271" s="78"/>
      <c r="AH271" s="78"/>
      <c r="AI271" s="78"/>
      <c r="AJ271" s="78"/>
      <c r="AK271" s="78"/>
      <c r="AL271" s="78"/>
      <c r="AM271" s="78"/>
      <c r="AN271" s="78"/>
      <c r="AO271" s="78"/>
      <c r="AP271" s="78"/>
      <c r="AQ271" s="78"/>
      <c r="AR271" s="78"/>
      <c r="AS271" s="78"/>
      <c r="AT271" s="78"/>
      <c r="AU271" s="78"/>
      <c r="AV271" s="78"/>
      <c r="AW271" s="78"/>
      <c r="AX271" s="78"/>
      <c r="AY271" s="78"/>
      <c r="AZ271" s="78"/>
      <c r="BA271" s="78"/>
      <c r="BB271" s="78"/>
      <c r="BC271" s="78"/>
      <c r="BD271" s="78"/>
      <c r="BE271" s="78"/>
      <c r="BF271" s="78"/>
      <c r="BG271" s="78"/>
      <c r="BH271" s="78"/>
      <c r="BI271" s="78"/>
      <c r="BJ271" s="78"/>
      <c r="BK271" s="78"/>
      <c r="BL271" s="78"/>
      <c r="BM271" s="78"/>
      <c r="BN271" s="78"/>
      <c r="BO271" s="78"/>
      <c r="BP271" s="78"/>
      <c r="BQ271" s="78"/>
      <c r="BR271" s="78"/>
      <c r="BS271" s="78"/>
      <c r="BT271" s="78"/>
      <c r="BU271" s="78"/>
      <c r="BV271" s="78"/>
      <c r="BW271" s="78"/>
      <c r="BX271" s="78"/>
      <c r="BY271" s="78"/>
      <c r="BZ271" s="78"/>
    </row>
    <row r="272" spans="1:78" x14ac:dyDescent="0.2">
      <c r="A272" s="78"/>
      <c r="B272" s="78"/>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c r="AF272" s="78"/>
      <c r="AG272" s="78"/>
      <c r="AH272" s="78"/>
      <c r="AI272" s="78"/>
      <c r="AJ272" s="78"/>
      <c r="AK272" s="78"/>
      <c r="AL272" s="78"/>
      <c r="AM272" s="78"/>
      <c r="AN272" s="78"/>
      <c r="AO272" s="78"/>
      <c r="AP272" s="78"/>
      <c r="AQ272" s="78"/>
      <c r="AR272" s="78"/>
      <c r="AS272" s="78"/>
      <c r="AT272" s="78"/>
      <c r="AU272" s="78"/>
      <c r="AV272" s="78"/>
      <c r="AW272" s="78"/>
      <c r="AX272" s="78"/>
      <c r="AY272" s="78"/>
      <c r="AZ272" s="78"/>
      <c r="BA272" s="78"/>
      <c r="BB272" s="78"/>
      <c r="BC272" s="78"/>
      <c r="BD272" s="78"/>
      <c r="BE272" s="78"/>
      <c r="BF272" s="78"/>
      <c r="BG272" s="78"/>
      <c r="BH272" s="78"/>
      <c r="BI272" s="78"/>
      <c r="BJ272" s="78"/>
      <c r="BK272" s="78"/>
      <c r="BL272" s="78"/>
      <c r="BM272" s="78"/>
      <c r="BN272" s="78"/>
      <c r="BO272" s="78"/>
      <c r="BP272" s="78"/>
      <c r="BQ272" s="78"/>
      <c r="BR272" s="78"/>
      <c r="BS272" s="78"/>
      <c r="BT272" s="78"/>
      <c r="BU272" s="78"/>
      <c r="BV272" s="78"/>
      <c r="BW272" s="78"/>
      <c r="BX272" s="78"/>
      <c r="BY272" s="78"/>
      <c r="BZ272" s="78"/>
    </row>
    <row r="273" spans="1:78" x14ac:dyDescent="0.2">
      <c r="A273" s="78"/>
      <c r="B273" s="78"/>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c r="AF273" s="78"/>
      <c r="AG273" s="78"/>
      <c r="AH273" s="78"/>
      <c r="AI273" s="78"/>
      <c r="AJ273" s="78"/>
      <c r="AK273" s="78"/>
      <c r="AL273" s="78"/>
      <c r="AM273" s="78"/>
      <c r="AN273" s="78"/>
      <c r="AO273" s="78"/>
      <c r="AP273" s="78"/>
      <c r="AQ273" s="78"/>
      <c r="AR273" s="78"/>
      <c r="AS273" s="78"/>
      <c r="AT273" s="78"/>
      <c r="AU273" s="78"/>
      <c r="AV273" s="78"/>
      <c r="AW273" s="78"/>
      <c r="AX273" s="78"/>
      <c r="AY273" s="78"/>
      <c r="AZ273" s="78"/>
      <c r="BA273" s="78"/>
      <c r="BB273" s="78"/>
      <c r="BC273" s="78"/>
      <c r="BD273" s="78"/>
      <c r="BE273" s="78"/>
      <c r="BF273" s="78"/>
      <c r="BG273" s="78"/>
      <c r="BH273" s="78"/>
      <c r="BI273" s="78"/>
      <c r="BJ273" s="78"/>
      <c r="BK273" s="78"/>
      <c r="BL273" s="78"/>
      <c r="BM273" s="78"/>
      <c r="BN273" s="78"/>
      <c r="BO273" s="78"/>
      <c r="BP273" s="78"/>
      <c r="BQ273" s="78"/>
      <c r="BR273" s="78"/>
      <c r="BS273" s="78"/>
      <c r="BT273" s="78"/>
      <c r="BU273" s="78"/>
      <c r="BV273" s="78"/>
      <c r="BW273" s="78"/>
      <c r="BX273" s="78"/>
      <c r="BY273" s="78"/>
      <c r="BZ273" s="78"/>
    </row>
    <row r="274" spans="1:78" x14ac:dyDescent="0.2">
      <c r="A274" s="78"/>
      <c r="B274" s="78"/>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c r="AF274" s="78"/>
      <c r="AG274" s="78"/>
      <c r="AH274" s="78"/>
      <c r="AI274" s="78"/>
      <c r="AJ274" s="78"/>
      <c r="AK274" s="78"/>
      <c r="AL274" s="78"/>
      <c r="AM274" s="78"/>
      <c r="AN274" s="78"/>
      <c r="AO274" s="78"/>
      <c r="AP274" s="78"/>
      <c r="AQ274" s="78"/>
      <c r="AR274" s="78"/>
      <c r="AS274" s="78"/>
      <c r="AT274" s="78"/>
      <c r="AU274" s="78"/>
      <c r="AV274" s="78"/>
      <c r="AW274" s="78"/>
      <c r="AX274" s="78"/>
      <c r="AY274" s="78"/>
      <c r="AZ274" s="78"/>
      <c r="BA274" s="78"/>
      <c r="BB274" s="78"/>
      <c r="BC274" s="78"/>
      <c r="BD274" s="78"/>
      <c r="BE274" s="78"/>
      <c r="BF274" s="78"/>
      <c r="BG274" s="78"/>
      <c r="BH274" s="78"/>
      <c r="BI274" s="78"/>
      <c r="BJ274" s="78"/>
      <c r="BK274" s="78"/>
      <c r="BL274" s="78"/>
      <c r="BM274" s="78"/>
      <c r="BN274" s="78"/>
      <c r="BO274" s="78"/>
      <c r="BP274" s="78"/>
      <c r="BQ274" s="78"/>
      <c r="BR274" s="78"/>
      <c r="BS274" s="78"/>
      <c r="BT274" s="78"/>
      <c r="BU274" s="78"/>
      <c r="BV274" s="78"/>
      <c r="BW274" s="78"/>
      <c r="BX274" s="78"/>
      <c r="BY274" s="78"/>
      <c r="BZ274" s="78"/>
    </row>
    <row r="275" spans="1:78" x14ac:dyDescent="0.2">
      <c r="A275" s="78"/>
      <c r="B275" s="78"/>
      <c r="C275" s="78"/>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c r="AC275" s="78"/>
      <c r="AD275" s="78"/>
      <c r="AE275" s="78"/>
      <c r="AF275" s="78"/>
      <c r="AG275" s="78"/>
      <c r="AH275" s="78"/>
      <c r="AI275" s="78"/>
      <c r="AJ275" s="78"/>
      <c r="AK275" s="78"/>
      <c r="AL275" s="78"/>
      <c r="AM275" s="78"/>
      <c r="AN275" s="78"/>
      <c r="AO275" s="78"/>
      <c r="AP275" s="78"/>
      <c r="AQ275" s="78"/>
      <c r="AR275" s="78"/>
      <c r="AS275" s="78"/>
      <c r="AT275" s="78"/>
      <c r="AU275" s="78"/>
      <c r="AV275" s="78"/>
      <c r="AW275" s="78"/>
      <c r="AX275" s="78"/>
      <c r="AY275" s="78"/>
      <c r="AZ275" s="78"/>
      <c r="BA275" s="78"/>
      <c r="BB275" s="78"/>
      <c r="BC275" s="78"/>
      <c r="BD275" s="78"/>
      <c r="BE275" s="78"/>
      <c r="BF275" s="78"/>
      <c r="BG275" s="78"/>
      <c r="BH275" s="78"/>
      <c r="BI275" s="78"/>
      <c r="BJ275" s="78"/>
      <c r="BK275" s="78"/>
      <c r="BL275" s="78"/>
      <c r="BM275" s="78"/>
      <c r="BN275" s="78"/>
      <c r="BO275" s="78"/>
      <c r="BP275" s="78"/>
      <c r="BQ275" s="78"/>
      <c r="BR275" s="78"/>
      <c r="BS275" s="78"/>
      <c r="BT275" s="78"/>
      <c r="BU275" s="78"/>
      <c r="BV275" s="78"/>
      <c r="BW275" s="78"/>
      <c r="BX275" s="78"/>
      <c r="BY275" s="78"/>
      <c r="BZ275" s="78"/>
    </row>
    <row r="276" spans="1:78" x14ac:dyDescent="0.2">
      <c r="A276" s="78"/>
      <c r="B276" s="78"/>
      <c r="C276" s="78"/>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c r="AC276" s="78"/>
      <c r="AD276" s="78"/>
      <c r="AE276" s="78"/>
      <c r="AF276" s="78"/>
      <c r="AG276" s="78"/>
      <c r="AH276" s="78"/>
      <c r="AI276" s="78"/>
      <c r="AJ276" s="78"/>
      <c r="AK276" s="78"/>
      <c r="AL276" s="78"/>
      <c r="AM276" s="78"/>
      <c r="AN276" s="78"/>
      <c r="AO276" s="78"/>
      <c r="AP276" s="78"/>
      <c r="AQ276" s="78"/>
      <c r="AR276" s="78"/>
      <c r="AS276" s="78"/>
      <c r="AT276" s="78"/>
      <c r="AU276" s="78"/>
      <c r="AV276" s="78"/>
      <c r="AW276" s="78"/>
      <c r="AX276" s="78"/>
      <c r="AY276" s="78"/>
      <c r="AZ276" s="78"/>
      <c r="BA276" s="78"/>
      <c r="BB276" s="78"/>
      <c r="BC276" s="78"/>
      <c r="BD276" s="78"/>
      <c r="BE276" s="78"/>
      <c r="BF276" s="78"/>
      <c r="BG276" s="78"/>
      <c r="BH276" s="78"/>
      <c r="BI276" s="78"/>
      <c r="BJ276" s="78"/>
      <c r="BK276" s="78"/>
      <c r="BL276" s="78"/>
      <c r="BM276" s="78"/>
      <c r="BN276" s="78"/>
      <c r="BO276" s="78"/>
      <c r="BP276" s="78"/>
      <c r="BQ276" s="78"/>
      <c r="BR276" s="78"/>
      <c r="BS276" s="78"/>
      <c r="BT276" s="78"/>
      <c r="BU276" s="78"/>
      <c r="BV276" s="78"/>
      <c r="BW276" s="78"/>
      <c r="BX276" s="78"/>
      <c r="BY276" s="78"/>
      <c r="BZ276" s="78"/>
    </row>
    <row r="277" spans="1:78" x14ac:dyDescent="0.2">
      <c r="A277" s="78"/>
      <c r="B277" s="78"/>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c r="AF277" s="78"/>
      <c r="AG277" s="78"/>
      <c r="AH277" s="78"/>
      <c r="AI277" s="78"/>
      <c r="AJ277" s="78"/>
      <c r="AK277" s="78"/>
      <c r="AL277" s="78"/>
      <c r="AM277" s="78"/>
      <c r="AN277" s="78"/>
      <c r="AO277" s="78"/>
      <c r="AP277" s="78"/>
      <c r="AQ277" s="78"/>
      <c r="AR277" s="78"/>
      <c r="AS277" s="78"/>
      <c r="AT277" s="78"/>
      <c r="AU277" s="78"/>
      <c r="AV277" s="78"/>
      <c r="AW277" s="78"/>
      <c r="AX277" s="78"/>
      <c r="AY277" s="78"/>
      <c r="AZ277" s="78"/>
      <c r="BA277" s="78"/>
      <c r="BB277" s="78"/>
      <c r="BC277" s="78"/>
      <c r="BD277" s="78"/>
      <c r="BE277" s="78"/>
      <c r="BF277" s="78"/>
      <c r="BG277" s="78"/>
      <c r="BH277" s="78"/>
      <c r="BI277" s="78"/>
      <c r="BJ277" s="78"/>
      <c r="BK277" s="78"/>
      <c r="BL277" s="78"/>
      <c r="BM277" s="78"/>
      <c r="BN277" s="78"/>
      <c r="BO277" s="78"/>
      <c r="BP277" s="78"/>
      <c r="BQ277" s="78"/>
      <c r="BR277" s="78"/>
      <c r="BS277" s="78"/>
      <c r="BT277" s="78"/>
      <c r="BU277" s="78"/>
      <c r="BV277" s="78"/>
      <c r="BW277" s="78"/>
      <c r="BX277" s="78"/>
      <c r="BY277" s="78"/>
      <c r="BZ277" s="78"/>
    </row>
    <row r="278" spans="1:78" x14ac:dyDescent="0.2">
      <c r="A278" s="78"/>
      <c r="B278" s="78"/>
      <c r="C278" s="78"/>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c r="AF278" s="78"/>
      <c r="AG278" s="78"/>
      <c r="AH278" s="78"/>
      <c r="AI278" s="78"/>
      <c r="AJ278" s="78"/>
      <c r="AK278" s="78"/>
      <c r="AL278" s="78"/>
      <c r="AM278" s="78"/>
      <c r="AN278" s="78"/>
      <c r="AO278" s="78"/>
      <c r="AP278" s="78"/>
      <c r="AQ278" s="78"/>
      <c r="AR278" s="78"/>
      <c r="AS278" s="78"/>
      <c r="AT278" s="78"/>
      <c r="AU278" s="78"/>
      <c r="AV278" s="78"/>
      <c r="AW278" s="78"/>
      <c r="AX278" s="78"/>
      <c r="AY278" s="78"/>
      <c r="AZ278" s="78"/>
      <c r="BA278" s="78"/>
      <c r="BB278" s="78"/>
      <c r="BC278" s="78"/>
      <c r="BD278" s="78"/>
      <c r="BE278" s="78"/>
      <c r="BF278" s="78"/>
      <c r="BG278" s="78"/>
      <c r="BH278" s="78"/>
      <c r="BI278" s="78"/>
      <c r="BJ278" s="78"/>
      <c r="BK278" s="78"/>
      <c r="BL278" s="78"/>
      <c r="BM278" s="78"/>
      <c r="BN278" s="78"/>
      <c r="BO278" s="78"/>
      <c r="BP278" s="78"/>
      <c r="BQ278" s="78"/>
      <c r="BR278" s="78"/>
      <c r="BS278" s="78"/>
      <c r="BT278" s="78"/>
      <c r="BU278" s="78"/>
      <c r="BV278" s="78"/>
      <c r="BW278" s="78"/>
      <c r="BX278" s="78"/>
      <c r="BY278" s="78"/>
      <c r="BZ278" s="78"/>
    </row>
    <row r="279" spans="1:78" x14ac:dyDescent="0.2">
      <c r="A279" s="78"/>
      <c r="B279" s="78"/>
      <c r="C279" s="78"/>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c r="AF279" s="78"/>
      <c r="AG279" s="78"/>
      <c r="AH279" s="78"/>
      <c r="AI279" s="78"/>
      <c r="AJ279" s="78"/>
      <c r="AK279" s="78"/>
      <c r="AL279" s="78"/>
      <c r="AM279" s="78"/>
      <c r="AN279" s="78"/>
      <c r="AO279" s="78"/>
      <c r="AP279" s="78"/>
      <c r="AQ279" s="78"/>
      <c r="AR279" s="78"/>
      <c r="AS279" s="78"/>
      <c r="AT279" s="78"/>
      <c r="AU279" s="78"/>
      <c r="AV279" s="78"/>
      <c r="AW279" s="78"/>
      <c r="AX279" s="78"/>
      <c r="AY279" s="78"/>
      <c r="AZ279" s="78"/>
      <c r="BA279" s="78"/>
      <c r="BB279" s="78"/>
      <c r="BC279" s="78"/>
      <c r="BD279" s="78"/>
      <c r="BE279" s="78"/>
      <c r="BF279" s="78"/>
      <c r="BG279" s="78"/>
      <c r="BH279" s="78"/>
      <c r="BI279" s="78"/>
      <c r="BJ279" s="78"/>
      <c r="BK279" s="78"/>
      <c r="BL279" s="78"/>
      <c r="BM279" s="78"/>
      <c r="BN279" s="78"/>
      <c r="BO279" s="78"/>
      <c r="BP279" s="78"/>
      <c r="BQ279" s="78"/>
      <c r="BR279" s="78"/>
      <c r="BS279" s="78"/>
      <c r="BT279" s="78"/>
      <c r="BU279" s="78"/>
      <c r="BV279" s="78"/>
      <c r="BW279" s="78"/>
      <c r="BX279" s="78"/>
      <c r="BY279" s="78"/>
      <c r="BZ279" s="78"/>
    </row>
    <row r="280" spans="1:78" x14ac:dyDescent="0.2">
      <c r="A280" s="78"/>
      <c r="B280" s="78"/>
      <c r="C280" s="78"/>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c r="AF280" s="78"/>
      <c r="AG280" s="78"/>
      <c r="AH280" s="78"/>
      <c r="AI280" s="78"/>
      <c r="AJ280" s="78"/>
      <c r="AK280" s="78"/>
      <c r="AL280" s="78"/>
      <c r="AM280" s="78"/>
      <c r="AN280" s="78"/>
      <c r="AO280" s="78"/>
      <c r="AP280" s="78"/>
      <c r="AQ280" s="78"/>
      <c r="AR280" s="78"/>
      <c r="AS280" s="78"/>
      <c r="AT280" s="78"/>
      <c r="AU280" s="78"/>
      <c r="AV280" s="78"/>
      <c r="AW280" s="78"/>
      <c r="AX280" s="78"/>
      <c r="AY280" s="78"/>
      <c r="AZ280" s="78"/>
      <c r="BA280" s="78"/>
      <c r="BB280" s="78"/>
      <c r="BC280" s="78"/>
      <c r="BD280" s="78"/>
      <c r="BE280" s="78"/>
      <c r="BF280" s="78"/>
      <c r="BG280" s="78"/>
      <c r="BH280" s="78"/>
      <c r="BI280" s="78"/>
      <c r="BJ280" s="78"/>
      <c r="BK280" s="78"/>
      <c r="BL280" s="78"/>
      <c r="BM280" s="78"/>
      <c r="BN280" s="78"/>
      <c r="BO280" s="78"/>
      <c r="BP280" s="78"/>
      <c r="BQ280" s="78"/>
      <c r="BR280" s="78"/>
      <c r="BS280" s="78"/>
      <c r="BT280" s="78"/>
      <c r="BU280" s="78"/>
      <c r="BV280" s="78"/>
      <c r="BW280" s="78"/>
      <c r="BX280" s="78"/>
      <c r="BY280" s="78"/>
      <c r="BZ280" s="78"/>
    </row>
    <row r="281" spans="1:78" x14ac:dyDescent="0.2">
      <c r="A281" s="78"/>
      <c r="B281" s="78"/>
      <c r="C281" s="78"/>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c r="AF281" s="78"/>
      <c r="AG281" s="78"/>
      <c r="AH281" s="78"/>
      <c r="AI281" s="78"/>
      <c r="AJ281" s="78"/>
      <c r="AK281" s="78"/>
      <c r="AL281" s="78"/>
      <c r="AM281" s="78"/>
      <c r="AN281" s="78"/>
      <c r="AO281" s="78"/>
      <c r="AP281" s="78"/>
      <c r="AQ281" s="78"/>
      <c r="AR281" s="78"/>
      <c r="AS281" s="78"/>
      <c r="AT281" s="78"/>
      <c r="AU281" s="78"/>
      <c r="AV281" s="78"/>
      <c r="AW281" s="78"/>
      <c r="AX281" s="78"/>
      <c r="AY281" s="78"/>
      <c r="AZ281" s="78"/>
      <c r="BA281" s="78"/>
      <c r="BB281" s="78"/>
      <c r="BC281" s="78"/>
      <c r="BD281" s="78"/>
      <c r="BE281" s="78"/>
      <c r="BF281" s="78"/>
      <c r="BG281" s="78"/>
      <c r="BH281" s="78"/>
      <c r="BI281" s="78"/>
      <c r="BJ281" s="78"/>
      <c r="BK281" s="78"/>
      <c r="BL281" s="78"/>
      <c r="BM281" s="78"/>
      <c r="BN281" s="78"/>
      <c r="BO281" s="78"/>
      <c r="BP281" s="78"/>
      <c r="BQ281" s="78"/>
      <c r="BR281" s="78"/>
      <c r="BS281" s="78"/>
      <c r="BT281" s="78"/>
      <c r="BU281" s="78"/>
      <c r="BV281" s="78"/>
      <c r="BW281" s="78"/>
      <c r="BX281" s="78"/>
      <c r="BY281" s="78"/>
      <c r="BZ281" s="78"/>
    </row>
    <row r="282" spans="1:78" x14ac:dyDescent="0.2">
      <c r="A282" s="78"/>
      <c r="B282" s="78"/>
      <c r="C282" s="78"/>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c r="AF282" s="78"/>
      <c r="AG282" s="78"/>
      <c r="AH282" s="78"/>
      <c r="AI282" s="78"/>
      <c r="AJ282" s="78"/>
      <c r="AK282" s="78"/>
      <c r="AL282" s="78"/>
      <c r="AM282" s="78"/>
      <c r="AN282" s="78"/>
      <c r="AO282" s="78"/>
      <c r="AP282" s="78"/>
      <c r="AQ282" s="78"/>
      <c r="AR282" s="78"/>
      <c r="AS282" s="78"/>
      <c r="AT282" s="78"/>
      <c r="AU282" s="78"/>
      <c r="AV282" s="78"/>
      <c r="AW282" s="78"/>
      <c r="AX282" s="78"/>
      <c r="AY282" s="78"/>
      <c r="AZ282" s="78"/>
      <c r="BA282" s="78"/>
      <c r="BB282" s="78"/>
      <c r="BC282" s="78"/>
      <c r="BD282" s="78"/>
      <c r="BE282" s="78"/>
      <c r="BF282" s="78"/>
      <c r="BG282" s="78"/>
      <c r="BH282" s="78"/>
      <c r="BI282" s="78"/>
      <c r="BJ282" s="78"/>
      <c r="BK282" s="78"/>
      <c r="BL282" s="78"/>
      <c r="BM282" s="78"/>
      <c r="BN282" s="78"/>
      <c r="BO282" s="78"/>
      <c r="BP282" s="78"/>
      <c r="BQ282" s="78"/>
      <c r="BR282" s="78"/>
      <c r="BS282" s="78"/>
      <c r="BT282" s="78"/>
      <c r="BU282" s="78"/>
      <c r="BV282" s="78"/>
      <c r="BW282" s="78"/>
      <c r="BX282" s="78"/>
      <c r="BY282" s="78"/>
      <c r="BZ282" s="78"/>
    </row>
    <row r="283" spans="1:78" x14ac:dyDescent="0.2">
      <c r="A283" s="78"/>
      <c r="B283" s="78"/>
      <c r="C283" s="78"/>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c r="AF283" s="78"/>
      <c r="AG283" s="78"/>
      <c r="AH283" s="78"/>
      <c r="AI283" s="78"/>
      <c r="AJ283" s="78"/>
      <c r="AK283" s="78"/>
      <c r="AL283" s="78"/>
      <c r="AM283" s="78"/>
      <c r="AN283" s="78"/>
      <c r="AO283" s="78"/>
      <c r="AP283" s="78"/>
      <c r="AQ283" s="78"/>
      <c r="AR283" s="78"/>
      <c r="AS283" s="78"/>
      <c r="AT283" s="78"/>
      <c r="AU283" s="78"/>
      <c r="AV283" s="78"/>
      <c r="AW283" s="78"/>
      <c r="AX283" s="78"/>
      <c r="AY283" s="78"/>
      <c r="AZ283" s="78"/>
      <c r="BA283" s="78"/>
      <c r="BB283" s="78"/>
      <c r="BC283" s="78"/>
      <c r="BD283" s="78"/>
      <c r="BE283" s="78"/>
      <c r="BF283" s="78"/>
      <c r="BG283" s="78"/>
      <c r="BH283" s="78"/>
      <c r="BI283" s="78"/>
      <c r="BJ283" s="78"/>
      <c r="BK283" s="78"/>
      <c r="BL283" s="78"/>
      <c r="BM283" s="78"/>
      <c r="BN283" s="78"/>
      <c r="BO283" s="78"/>
      <c r="BP283" s="78"/>
      <c r="BQ283" s="78"/>
      <c r="BR283" s="78"/>
      <c r="BS283" s="78"/>
      <c r="BT283" s="78"/>
      <c r="BU283" s="78"/>
      <c r="BV283" s="78"/>
      <c r="BW283" s="78"/>
      <c r="BX283" s="78"/>
      <c r="BY283" s="78"/>
      <c r="BZ283" s="78"/>
    </row>
    <row r="284" spans="1:78" x14ac:dyDescent="0.2">
      <c r="A284" s="78"/>
      <c r="B284" s="78"/>
      <c r="C284" s="78"/>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c r="AF284" s="78"/>
      <c r="AG284" s="78"/>
      <c r="AH284" s="78"/>
      <c r="AI284" s="78"/>
      <c r="AJ284" s="78"/>
      <c r="AK284" s="78"/>
      <c r="AL284" s="78"/>
      <c r="AM284" s="78"/>
      <c r="AN284" s="78"/>
      <c r="AO284" s="78"/>
      <c r="AP284" s="78"/>
      <c r="AQ284" s="78"/>
      <c r="AR284" s="78"/>
      <c r="AS284" s="78"/>
      <c r="AT284" s="78"/>
      <c r="AU284" s="78"/>
      <c r="AV284" s="78"/>
      <c r="AW284" s="78"/>
      <c r="AX284" s="78"/>
      <c r="AY284" s="78"/>
      <c r="AZ284" s="78"/>
      <c r="BA284" s="78"/>
      <c r="BB284" s="78"/>
      <c r="BC284" s="78"/>
      <c r="BD284" s="78"/>
      <c r="BE284" s="78"/>
      <c r="BF284" s="78"/>
      <c r="BG284" s="78"/>
      <c r="BH284" s="78"/>
      <c r="BI284" s="78"/>
      <c r="BJ284" s="78"/>
      <c r="BK284" s="78"/>
      <c r="BL284" s="78"/>
      <c r="BM284" s="78"/>
      <c r="BN284" s="78"/>
      <c r="BO284" s="78"/>
      <c r="BP284" s="78"/>
      <c r="BQ284" s="78"/>
      <c r="BR284" s="78"/>
      <c r="BS284" s="78"/>
      <c r="BT284" s="78"/>
      <c r="BU284" s="78"/>
      <c r="BV284" s="78"/>
      <c r="BW284" s="78"/>
      <c r="BX284" s="78"/>
      <c r="BY284" s="78"/>
      <c r="BZ284" s="78"/>
    </row>
    <row r="285" spans="1:78" x14ac:dyDescent="0.2">
      <c r="A285" s="78"/>
      <c r="B285" s="78"/>
      <c r="C285" s="78"/>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c r="AF285" s="78"/>
      <c r="AG285" s="78"/>
      <c r="AH285" s="78"/>
      <c r="AI285" s="78"/>
      <c r="AJ285" s="78"/>
      <c r="AK285" s="78"/>
      <c r="AL285" s="78"/>
      <c r="AM285" s="78"/>
      <c r="AN285" s="78"/>
      <c r="AO285" s="78"/>
      <c r="AP285" s="78"/>
      <c r="AQ285" s="78"/>
      <c r="AR285" s="78"/>
      <c r="AS285" s="78"/>
      <c r="AT285" s="78"/>
      <c r="AU285" s="78"/>
      <c r="AV285" s="78"/>
      <c r="AW285" s="78"/>
      <c r="AX285" s="78"/>
      <c r="AY285" s="78"/>
      <c r="AZ285" s="78"/>
      <c r="BA285" s="78"/>
      <c r="BB285" s="78"/>
      <c r="BC285" s="78"/>
      <c r="BD285" s="78"/>
      <c r="BE285" s="78"/>
      <c r="BF285" s="78"/>
      <c r="BG285" s="78"/>
      <c r="BH285" s="78"/>
      <c r="BI285" s="78"/>
      <c r="BJ285" s="78"/>
      <c r="BK285" s="78"/>
      <c r="BL285" s="78"/>
      <c r="BM285" s="78"/>
      <c r="BN285" s="78"/>
      <c r="BO285" s="78"/>
      <c r="BP285" s="78"/>
      <c r="BQ285" s="78"/>
      <c r="BR285" s="78"/>
      <c r="BS285" s="78"/>
      <c r="BT285" s="78"/>
      <c r="BU285" s="78"/>
      <c r="BV285" s="78"/>
      <c r="BW285" s="78"/>
      <c r="BX285" s="78"/>
      <c r="BY285" s="78"/>
      <c r="BZ285" s="78"/>
    </row>
    <row r="286" spans="1:78" x14ac:dyDescent="0.2">
      <c r="A286" s="78"/>
      <c r="B286" s="78"/>
      <c r="C286" s="78"/>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c r="AF286" s="78"/>
      <c r="AG286" s="78"/>
      <c r="AH286" s="78"/>
      <c r="AI286" s="78"/>
      <c r="AJ286" s="78"/>
      <c r="AK286" s="78"/>
      <c r="AL286" s="78"/>
      <c r="AM286" s="78"/>
      <c r="AN286" s="78"/>
      <c r="AO286" s="78"/>
      <c r="AP286" s="78"/>
      <c r="AQ286" s="78"/>
      <c r="AR286" s="78"/>
      <c r="AS286" s="78"/>
      <c r="AT286" s="78"/>
      <c r="AU286" s="78"/>
      <c r="AV286" s="78"/>
      <c r="AW286" s="78"/>
      <c r="AX286" s="78"/>
      <c r="AY286" s="78"/>
      <c r="AZ286" s="78"/>
      <c r="BA286" s="78"/>
      <c r="BB286" s="78"/>
      <c r="BC286" s="78"/>
      <c r="BD286" s="78"/>
      <c r="BE286" s="78"/>
      <c r="BF286" s="78"/>
      <c r="BG286" s="78"/>
      <c r="BH286" s="78"/>
      <c r="BI286" s="78"/>
      <c r="BJ286" s="78"/>
      <c r="BK286" s="78"/>
      <c r="BL286" s="78"/>
      <c r="BM286" s="78"/>
      <c r="BN286" s="78"/>
      <c r="BO286" s="78"/>
      <c r="BP286" s="78"/>
      <c r="BQ286" s="78"/>
      <c r="BR286" s="78"/>
      <c r="BS286" s="78"/>
      <c r="BT286" s="78"/>
      <c r="BU286" s="78"/>
      <c r="BV286" s="78"/>
      <c r="BW286" s="78"/>
      <c r="BX286" s="78"/>
      <c r="BY286" s="78"/>
      <c r="BZ286" s="78"/>
    </row>
    <row r="287" spans="1:78" x14ac:dyDescent="0.2">
      <c r="A287" s="78"/>
      <c r="B287" s="78"/>
      <c r="C287" s="78"/>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c r="AF287" s="78"/>
      <c r="AG287" s="78"/>
      <c r="AH287" s="78"/>
      <c r="AI287" s="78"/>
      <c r="AJ287" s="78"/>
      <c r="AK287" s="78"/>
      <c r="AL287" s="78"/>
      <c r="AM287" s="78"/>
      <c r="AN287" s="78"/>
      <c r="AO287" s="78"/>
      <c r="AP287" s="78"/>
      <c r="AQ287" s="78"/>
      <c r="AR287" s="78"/>
      <c r="AS287" s="78"/>
      <c r="AT287" s="78"/>
      <c r="AU287" s="78"/>
      <c r="AV287" s="78"/>
      <c r="AW287" s="78"/>
      <c r="AX287" s="78"/>
      <c r="AY287" s="78"/>
      <c r="AZ287" s="78"/>
      <c r="BA287" s="78"/>
      <c r="BB287" s="78"/>
      <c r="BC287" s="78"/>
      <c r="BD287" s="78"/>
      <c r="BE287" s="78"/>
      <c r="BF287" s="78"/>
      <c r="BG287" s="78"/>
      <c r="BH287" s="78"/>
      <c r="BI287" s="78"/>
      <c r="BJ287" s="78"/>
      <c r="BK287" s="78"/>
      <c r="BL287" s="78"/>
      <c r="BM287" s="78"/>
      <c r="BN287" s="78"/>
      <c r="BO287" s="78"/>
      <c r="BP287" s="78"/>
      <c r="BQ287" s="78"/>
      <c r="BR287" s="78"/>
      <c r="BS287" s="78"/>
      <c r="BT287" s="78"/>
      <c r="BU287" s="78"/>
      <c r="BV287" s="78"/>
      <c r="BW287" s="78"/>
      <c r="BX287" s="78"/>
      <c r="BY287" s="78"/>
      <c r="BZ287" s="78"/>
    </row>
    <row r="288" spans="1:78" x14ac:dyDescent="0.2">
      <c r="A288" s="78"/>
      <c r="B288" s="78"/>
      <c r="C288" s="78"/>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c r="AF288" s="78"/>
      <c r="AG288" s="78"/>
      <c r="AH288" s="78"/>
      <c r="AI288" s="78"/>
      <c r="AJ288" s="78"/>
      <c r="AK288" s="78"/>
      <c r="AL288" s="78"/>
      <c r="AM288" s="78"/>
      <c r="AN288" s="78"/>
      <c r="AO288" s="78"/>
      <c r="AP288" s="78"/>
      <c r="AQ288" s="78"/>
      <c r="AR288" s="78"/>
      <c r="AS288" s="78"/>
      <c r="AT288" s="78"/>
      <c r="AU288" s="78"/>
      <c r="AV288" s="78"/>
      <c r="AW288" s="78"/>
      <c r="AX288" s="78"/>
      <c r="AY288" s="78"/>
      <c r="AZ288" s="78"/>
      <c r="BA288" s="78"/>
      <c r="BB288" s="78"/>
      <c r="BC288" s="78"/>
      <c r="BD288" s="78"/>
      <c r="BE288" s="78"/>
      <c r="BF288" s="78"/>
      <c r="BG288" s="78"/>
      <c r="BH288" s="78"/>
      <c r="BI288" s="78"/>
      <c r="BJ288" s="78"/>
      <c r="BK288" s="78"/>
      <c r="BL288" s="78"/>
      <c r="BM288" s="78"/>
      <c r="BN288" s="78"/>
      <c r="BO288" s="78"/>
      <c r="BP288" s="78"/>
      <c r="BQ288" s="78"/>
      <c r="BR288" s="78"/>
      <c r="BS288" s="78"/>
      <c r="BT288" s="78"/>
      <c r="BU288" s="78"/>
      <c r="BV288" s="78"/>
      <c r="BW288" s="78"/>
      <c r="BX288" s="78"/>
      <c r="BY288" s="78"/>
      <c r="BZ288" s="78"/>
    </row>
    <row r="289" spans="1:78" x14ac:dyDescent="0.2">
      <c r="A289" s="78"/>
      <c r="B289" s="78"/>
      <c r="C289" s="78"/>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c r="AF289" s="78"/>
      <c r="AG289" s="78"/>
      <c r="AH289" s="78"/>
      <c r="AI289" s="78"/>
      <c r="AJ289" s="78"/>
      <c r="AK289" s="78"/>
      <c r="AL289" s="78"/>
      <c r="AM289" s="78"/>
      <c r="AN289" s="78"/>
      <c r="AO289" s="78"/>
      <c r="AP289" s="78"/>
      <c r="AQ289" s="78"/>
      <c r="AR289" s="78"/>
      <c r="AS289" s="78"/>
      <c r="AT289" s="78"/>
      <c r="AU289" s="78"/>
      <c r="AV289" s="78"/>
      <c r="AW289" s="78"/>
      <c r="AX289" s="78"/>
      <c r="AY289" s="78"/>
      <c r="AZ289" s="78"/>
      <c r="BA289" s="78"/>
      <c r="BB289" s="78"/>
      <c r="BC289" s="78"/>
      <c r="BD289" s="78"/>
      <c r="BE289" s="78"/>
      <c r="BF289" s="78"/>
      <c r="BG289" s="78"/>
      <c r="BH289" s="78"/>
      <c r="BI289" s="78"/>
      <c r="BJ289" s="78"/>
      <c r="BK289" s="78"/>
      <c r="BL289" s="78"/>
      <c r="BM289" s="78"/>
      <c r="BN289" s="78"/>
      <c r="BO289" s="78"/>
      <c r="BP289" s="78"/>
      <c r="BQ289" s="78"/>
      <c r="BR289" s="78"/>
      <c r="BS289" s="78"/>
      <c r="BT289" s="78"/>
      <c r="BU289" s="78"/>
      <c r="BV289" s="78"/>
      <c r="BW289" s="78"/>
      <c r="BX289" s="78"/>
      <c r="BY289" s="78"/>
      <c r="BZ289" s="78"/>
    </row>
    <row r="290" spans="1:78" x14ac:dyDescent="0.2">
      <c r="A290" s="78"/>
      <c r="B290" s="78"/>
      <c r="C290" s="78"/>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c r="AC290" s="78"/>
      <c r="AD290" s="78"/>
      <c r="AE290" s="78"/>
      <c r="AF290" s="78"/>
      <c r="AG290" s="78"/>
      <c r="AH290" s="78"/>
      <c r="AI290" s="78"/>
      <c r="AJ290" s="78"/>
      <c r="AK290" s="78"/>
      <c r="AL290" s="78"/>
      <c r="AM290" s="78"/>
      <c r="AN290" s="78"/>
      <c r="AO290" s="78"/>
      <c r="AP290" s="78"/>
      <c r="AQ290" s="78"/>
      <c r="AR290" s="78"/>
      <c r="AS290" s="78"/>
      <c r="AT290" s="78"/>
      <c r="AU290" s="78"/>
      <c r="AV290" s="78"/>
      <c r="AW290" s="78"/>
      <c r="AX290" s="78"/>
      <c r="AY290" s="78"/>
      <c r="AZ290" s="78"/>
      <c r="BA290" s="78"/>
      <c r="BB290" s="78"/>
      <c r="BC290" s="78"/>
      <c r="BD290" s="78"/>
      <c r="BE290" s="78"/>
      <c r="BF290" s="78"/>
      <c r="BG290" s="78"/>
      <c r="BH290" s="78"/>
      <c r="BI290" s="78"/>
      <c r="BJ290" s="78"/>
      <c r="BK290" s="78"/>
      <c r="BL290" s="78"/>
      <c r="BM290" s="78"/>
      <c r="BN290" s="78"/>
      <c r="BO290" s="78"/>
      <c r="BP290" s="78"/>
      <c r="BQ290" s="78"/>
      <c r="BR290" s="78"/>
      <c r="BS290" s="78"/>
      <c r="BT290" s="78"/>
      <c r="BU290" s="78"/>
      <c r="BV290" s="78"/>
      <c r="BW290" s="78"/>
      <c r="BX290" s="78"/>
      <c r="BY290" s="78"/>
      <c r="BZ290" s="78"/>
    </row>
    <row r="291" spans="1:78" x14ac:dyDescent="0.2">
      <c r="A291" s="78"/>
      <c r="B291" s="78"/>
      <c r="C291" s="78"/>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c r="AC291" s="78"/>
      <c r="AD291" s="78"/>
      <c r="AE291" s="78"/>
      <c r="AF291" s="78"/>
      <c r="AG291" s="78"/>
      <c r="AH291" s="78"/>
      <c r="AI291" s="78"/>
      <c r="AJ291" s="78"/>
      <c r="AK291" s="78"/>
      <c r="AL291" s="78"/>
      <c r="AM291" s="78"/>
      <c r="AN291" s="78"/>
      <c r="AO291" s="78"/>
      <c r="AP291" s="78"/>
      <c r="AQ291" s="78"/>
      <c r="AR291" s="78"/>
      <c r="AS291" s="78"/>
      <c r="AT291" s="78"/>
      <c r="AU291" s="78"/>
      <c r="AV291" s="78"/>
      <c r="AW291" s="78"/>
      <c r="AX291" s="78"/>
      <c r="AY291" s="78"/>
      <c r="AZ291" s="78"/>
      <c r="BA291" s="78"/>
      <c r="BB291" s="78"/>
      <c r="BC291" s="78"/>
      <c r="BD291" s="78"/>
      <c r="BE291" s="78"/>
      <c r="BF291" s="78"/>
      <c r="BG291" s="78"/>
      <c r="BH291" s="78"/>
      <c r="BI291" s="78"/>
      <c r="BJ291" s="78"/>
      <c r="BK291" s="78"/>
      <c r="BL291" s="78"/>
      <c r="BM291" s="78"/>
      <c r="BN291" s="78"/>
      <c r="BO291" s="78"/>
      <c r="BP291" s="78"/>
      <c r="BQ291" s="78"/>
      <c r="BR291" s="78"/>
      <c r="BS291" s="78"/>
      <c r="BT291" s="78"/>
      <c r="BU291" s="78"/>
      <c r="BV291" s="78"/>
      <c r="BW291" s="78"/>
      <c r="BX291" s="78"/>
      <c r="BY291" s="78"/>
      <c r="BZ291" s="78"/>
    </row>
    <row r="292" spans="1:78" x14ac:dyDescent="0.2">
      <c r="A292" s="78"/>
      <c r="B292" s="78"/>
      <c r="C292" s="78"/>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c r="AC292" s="78"/>
      <c r="AD292" s="78"/>
      <c r="AE292" s="78"/>
      <c r="AF292" s="78"/>
      <c r="AG292" s="78"/>
      <c r="AH292" s="78"/>
      <c r="AI292" s="78"/>
      <c r="AJ292" s="78"/>
      <c r="AK292" s="78"/>
      <c r="AL292" s="78"/>
      <c r="AM292" s="78"/>
      <c r="AN292" s="78"/>
      <c r="AO292" s="78"/>
      <c r="AP292" s="78"/>
      <c r="AQ292" s="78"/>
      <c r="AR292" s="78"/>
      <c r="AS292" s="78"/>
      <c r="AT292" s="78"/>
      <c r="AU292" s="78"/>
      <c r="AV292" s="78"/>
      <c r="AW292" s="78"/>
      <c r="AX292" s="78"/>
      <c r="AY292" s="78"/>
      <c r="AZ292" s="78"/>
      <c r="BA292" s="78"/>
      <c r="BB292" s="78"/>
      <c r="BC292" s="78"/>
      <c r="BD292" s="78"/>
      <c r="BE292" s="78"/>
      <c r="BF292" s="78"/>
      <c r="BG292" s="78"/>
      <c r="BH292" s="78"/>
      <c r="BI292" s="78"/>
      <c r="BJ292" s="78"/>
      <c r="BK292" s="78"/>
      <c r="BL292" s="78"/>
      <c r="BM292" s="78"/>
      <c r="BN292" s="78"/>
      <c r="BO292" s="78"/>
      <c r="BP292" s="78"/>
      <c r="BQ292" s="78"/>
      <c r="BR292" s="78"/>
      <c r="BS292" s="78"/>
      <c r="BT292" s="78"/>
      <c r="BU292" s="78"/>
      <c r="BV292" s="78"/>
      <c r="BW292" s="78"/>
      <c r="BX292" s="78"/>
      <c r="BY292" s="78"/>
      <c r="BZ292" s="78"/>
    </row>
    <row r="293" spans="1:78" x14ac:dyDescent="0.2">
      <c r="A293" s="78"/>
      <c r="B293" s="78"/>
      <c r="C293" s="78"/>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c r="AF293" s="78"/>
      <c r="AG293" s="78"/>
      <c r="AH293" s="78"/>
      <c r="AI293" s="78"/>
      <c r="AJ293" s="78"/>
      <c r="AK293" s="78"/>
      <c r="AL293" s="78"/>
      <c r="AM293" s="78"/>
      <c r="AN293" s="78"/>
      <c r="AO293" s="78"/>
      <c r="AP293" s="78"/>
      <c r="AQ293" s="78"/>
      <c r="AR293" s="78"/>
      <c r="AS293" s="78"/>
      <c r="AT293" s="78"/>
      <c r="AU293" s="78"/>
      <c r="AV293" s="78"/>
      <c r="AW293" s="78"/>
      <c r="AX293" s="78"/>
      <c r="AY293" s="78"/>
      <c r="AZ293" s="78"/>
      <c r="BA293" s="78"/>
      <c r="BB293" s="78"/>
      <c r="BC293" s="78"/>
      <c r="BD293" s="78"/>
      <c r="BE293" s="78"/>
      <c r="BF293" s="78"/>
      <c r="BG293" s="78"/>
      <c r="BH293" s="78"/>
      <c r="BI293" s="78"/>
      <c r="BJ293" s="78"/>
      <c r="BK293" s="78"/>
      <c r="BL293" s="78"/>
      <c r="BM293" s="78"/>
      <c r="BN293" s="78"/>
      <c r="BO293" s="78"/>
      <c r="BP293" s="78"/>
      <c r="BQ293" s="78"/>
      <c r="BR293" s="78"/>
      <c r="BS293" s="78"/>
      <c r="BT293" s="78"/>
      <c r="BU293" s="78"/>
      <c r="BV293" s="78"/>
      <c r="BW293" s="78"/>
      <c r="BX293" s="78"/>
      <c r="BY293" s="78"/>
      <c r="BZ293" s="78"/>
    </row>
    <row r="294" spans="1:78" x14ac:dyDescent="0.2">
      <c r="A294" s="78"/>
      <c r="B294" s="78"/>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c r="AF294" s="78"/>
      <c r="AG294" s="78"/>
      <c r="AH294" s="78"/>
      <c r="AI294" s="78"/>
      <c r="AJ294" s="78"/>
      <c r="AK294" s="78"/>
      <c r="AL294" s="78"/>
      <c r="AM294" s="78"/>
      <c r="AN294" s="78"/>
      <c r="AO294" s="78"/>
      <c r="AP294" s="78"/>
      <c r="AQ294" s="78"/>
      <c r="AR294" s="78"/>
      <c r="AS294" s="78"/>
      <c r="AT294" s="78"/>
      <c r="AU294" s="78"/>
      <c r="AV294" s="78"/>
      <c r="AW294" s="78"/>
      <c r="AX294" s="78"/>
      <c r="AY294" s="78"/>
      <c r="AZ294" s="78"/>
      <c r="BA294" s="78"/>
      <c r="BB294" s="78"/>
      <c r="BC294" s="78"/>
      <c r="BD294" s="78"/>
      <c r="BE294" s="78"/>
      <c r="BF294" s="78"/>
      <c r="BG294" s="78"/>
      <c r="BH294" s="78"/>
      <c r="BI294" s="78"/>
      <c r="BJ294" s="78"/>
      <c r="BK294" s="78"/>
      <c r="BL294" s="78"/>
      <c r="BM294" s="78"/>
      <c r="BN294" s="78"/>
      <c r="BO294" s="78"/>
      <c r="BP294" s="78"/>
      <c r="BQ294" s="78"/>
      <c r="BR294" s="78"/>
      <c r="BS294" s="78"/>
      <c r="BT294" s="78"/>
      <c r="BU294" s="78"/>
      <c r="BV294" s="78"/>
      <c r="BW294" s="78"/>
      <c r="BX294" s="78"/>
      <c r="BY294" s="78"/>
      <c r="BZ294" s="78"/>
    </row>
    <row r="295" spans="1:78" x14ac:dyDescent="0.2">
      <c r="A295" s="78"/>
      <c r="B295" s="78"/>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c r="AF295" s="78"/>
      <c r="AG295" s="78"/>
      <c r="AH295" s="78"/>
      <c r="AI295" s="78"/>
      <c r="AJ295" s="78"/>
      <c r="AK295" s="78"/>
      <c r="AL295" s="78"/>
      <c r="AM295" s="78"/>
      <c r="AN295" s="78"/>
      <c r="AO295" s="78"/>
      <c r="AP295" s="78"/>
      <c r="AQ295" s="78"/>
      <c r="AR295" s="78"/>
      <c r="AS295" s="78"/>
      <c r="AT295" s="78"/>
      <c r="AU295" s="78"/>
      <c r="AV295" s="78"/>
      <c r="AW295" s="78"/>
      <c r="AX295" s="78"/>
      <c r="AY295" s="78"/>
      <c r="AZ295" s="78"/>
      <c r="BA295" s="78"/>
      <c r="BB295" s="78"/>
      <c r="BC295" s="78"/>
      <c r="BD295" s="78"/>
      <c r="BE295" s="78"/>
      <c r="BF295" s="78"/>
      <c r="BG295" s="78"/>
      <c r="BH295" s="78"/>
      <c r="BI295" s="78"/>
      <c r="BJ295" s="78"/>
      <c r="BK295" s="78"/>
      <c r="BL295" s="78"/>
      <c r="BM295" s="78"/>
      <c r="BN295" s="78"/>
      <c r="BO295" s="78"/>
      <c r="BP295" s="78"/>
      <c r="BQ295" s="78"/>
      <c r="BR295" s="78"/>
      <c r="BS295" s="78"/>
      <c r="BT295" s="78"/>
      <c r="BU295" s="78"/>
      <c r="BV295" s="78"/>
      <c r="BW295" s="78"/>
      <c r="BX295" s="78"/>
      <c r="BY295" s="78"/>
      <c r="BZ295" s="78"/>
    </row>
    <row r="296" spans="1:78" x14ac:dyDescent="0.2">
      <c r="A296" s="78"/>
      <c r="B296" s="78"/>
      <c r="C296" s="78"/>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c r="AF296" s="78"/>
      <c r="AG296" s="78"/>
      <c r="AH296" s="78"/>
      <c r="AI296" s="78"/>
      <c r="AJ296" s="78"/>
      <c r="AK296" s="78"/>
      <c r="AL296" s="78"/>
      <c r="AM296" s="78"/>
      <c r="AN296" s="78"/>
      <c r="AO296" s="78"/>
      <c r="AP296" s="78"/>
      <c r="AQ296" s="78"/>
      <c r="AR296" s="78"/>
      <c r="AS296" s="78"/>
      <c r="AT296" s="78"/>
      <c r="AU296" s="78"/>
      <c r="AV296" s="78"/>
      <c r="AW296" s="78"/>
      <c r="AX296" s="78"/>
      <c r="AY296" s="78"/>
      <c r="AZ296" s="78"/>
      <c r="BA296" s="78"/>
      <c r="BB296" s="78"/>
      <c r="BC296" s="78"/>
      <c r="BD296" s="78"/>
      <c r="BE296" s="78"/>
      <c r="BF296" s="78"/>
      <c r="BG296" s="78"/>
      <c r="BH296" s="78"/>
      <c r="BI296" s="78"/>
      <c r="BJ296" s="78"/>
      <c r="BK296" s="78"/>
      <c r="BL296" s="78"/>
      <c r="BM296" s="78"/>
      <c r="BN296" s="78"/>
      <c r="BO296" s="78"/>
      <c r="BP296" s="78"/>
      <c r="BQ296" s="78"/>
      <c r="BR296" s="78"/>
      <c r="BS296" s="78"/>
      <c r="BT296" s="78"/>
      <c r="BU296" s="78"/>
      <c r="BV296" s="78"/>
      <c r="BW296" s="78"/>
      <c r="BX296" s="78"/>
      <c r="BY296" s="78"/>
      <c r="BZ296" s="78"/>
    </row>
    <row r="297" spans="1:78" x14ac:dyDescent="0.2">
      <c r="A297" s="78"/>
      <c r="B297" s="78"/>
      <c r="C297" s="78"/>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c r="AF297" s="78"/>
      <c r="AG297" s="78"/>
      <c r="AH297" s="78"/>
      <c r="AI297" s="78"/>
      <c r="AJ297" s="78"/>
      <c r="AK297" s="78"/>
      <c r="AL297" s="78"/>
      <c r="AM297" s="78"/>
      <c r="AN297" s="78"/>
      <c r="AO297" s="78"/>
      <c r="AP297" s="78"/>
      <c r="AQ297" s="78"/>
      <c r="AR297" s="78"/>
      <c r="AS297" s="78"/>
      <c r="AT297" s="78"/>
      <c r="AU297" s="78"/>
      <c r="AV297" s="78"/>
      <c r="AW297" s="78"/>
      <c r="AX297" s="78"/>
      <c r="AY297" s="78"/>
      <c r="AZ297" s="78"/>
      <c r="BA297" s="78"/>
      <c r="BB297" s="78"/>
      <c r="BC297" s="78"/>
      <c r="BD297" s="78"/>
      <c r="BE297" s="78"/>
      <c r="BF297" s="78"/>
      <c r="BG297" s="78"/>
      <c r="BH297" s="78"/>
      <c r="BI297" s="78"/>
      <c r="BJ297" s="78"/>
      <c r="BK297" s="78"/>
      <c r="BL297" s="78"/>
      <c r="BM297" s="78"/>
      <c r="BN297" s="78"/>
      <c r="BO297" s="78"/>
      <c r="BP297" s="78"/>
      <c r="BQ297" s="78"/>
      <c r="BR297" s="78"/>
      <c r="BS297" s="78"/>
      <c r="BT297" s="78"/>
      <c r="BU297" s="78"/>
      <c r="BV297" s="78"/>
      <c r="BW297" s="78"/>
      <c r="BX297" s="78"/>
      <c r="BY297" s="78"/>
      <c r="BZ297" s="78"/>
    </row>
    <row r="298" spans="1:78" x14ac:dyDescent="0.2">
      <c r="A298" s="78"/>
      <c r="B298" s="78"/>
      <c r="C298" s="78"/>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c r="AF298" s="78"/>
      <c r="AG298" s="78"/>
      <c r="AH298" s="78"/>
      <c r="AI298" s="78"/>
      <c r="AJ298" s="78"/>
      <c r="AK298" s="78"/>
      <c r="AL298" s="78"/>
      <c r="AM298" s="78"/>
      <c r="AN298" s="78"/>
      <c r="AO298" s="78"/>
      <c r="AP298" s="78"/>
      <c r="AQ298" s="78"/>
      <c r="AR298" s="78"/>
      <c r="AS298" s="78"/>
      <c r="AT298" s="78"/>
      <c r="AU298" s="78"/>
      <c r="AV298" s="78"/>
      <c r="AW298" s="78"/>
      <c r="AX298" s="78"/>
      <c r="AY298" s="78"/>
      <c r="AZ298" s="78"/>
      <c r="BA298" s="78"/>
      <c r="BB298" s="78"/>
      <c r="BC298" s="78"/>
      <c r="BD298" s="78"/>
      <c r="BE298" s="78"/>
      <c r="BF298" s="78"/>
      <c r="BG298" s="78"/>
      <c r="BH298" s="78"/>
      <c r="BI298" s="78"/>
      <c r="BJ298" s="78"/>
      <c r="BK298" s="78"/>
      <c r="BL298" s="78"/>
      <c r="BM298" s="78"/>
      <c r="BN298" s="78"/>
      <c r="BO298" s="78"/>
      <c r="BP298" s="78"/>
      <c r="BQ298" s="78"/>
      <c r="BR298" s="78"/>
      <c r="BS298" s="78"/>
      <c r="BT298" s="78"/>
      <c r="BU298" s="78"/>
      <c r="BV298" s="78"/>
      <c r="BW298" s="78"/>
      <c r="BX298" s="78"/>
      <c r="BY298" s="78"/>
      <c r="BZ298" s="78"/>
    </row>
    <row r="299" spans="1:78" x14ac:dyDescent="0.2">
      <c r="A299" s="78"/>
      <c r="B299" s="78"/>
      <c r="C299" s="78"/>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78"/>
      <c r="AC299" s="78"/>
      <c r="AD299" s="78"/>
      <c r="AE299" s="78"/>
      <c r="AF299" s="78"/>
      <c r="AG299" s="78"/>
      <c r="AH299" s="78"/>
      <c r="AI299" s="78"/>
      <c r="AJ299" s="78"/>
      <c r="AK299" s="78"/>
      <c r="AL299" s="78"/>
      <c r="AM299" s="78"/>
      <c r="AN299" s="78"/>
      <c r="AO299" s="78"/>
      <c r="AP299" s="78"/>
      <c r="AQ299" s="78"/>
      <c r="AR299" s="78"/>
      <c r="AS299" s="78"/>
      <c r="AT299" s="78"/>
      <c r="AU299" s="78"/>
      <c r="AV299" s="78"/>
      <c r="AW299" s="78"/>
      <c r="AX299" s="78"/>
      <c r="AY299" s="78"/>
      <c r="AZ299" s="78"/>
      <c r="BA299" s="78"/>
      <c r="BB299" s="78"/>
      <c r="BC299" s="78"/>
      <c r="BD299" s="78"/>
      <c r="BE299" s="78"/>
      <c r="BF299" s="78"/>
      <c r="BG299" s="78"/>
      <c r="BH299" s="78"/>
      <c r="BI299" s="78"/>
      <c r="BJ299" s="78"/>
      <c r="BK299" s="78"/>
      <c r="BL299" s="78"/>
      <c r="BM299" s="78"/>
      <c r="BN299" s="78"/>
      <c r="BO299" s="78"/>
      <c r="BP299" s="78"/>
      <c r="BQ299" s="78"/>
      <c r="BR299" s="78"/>
      <c r="BS299" s="78"/>
      <c r="BT299" s="78"/>
      <c r="BU299" s="78"/>
      <c r="BV299" s="78"/>
      <c r="BW299" s="78"/>
      <c r="BX299" s="78"/>
      <c r="BY299" s="78"/>
      <c r="BZ299" s="78"/>
    </row>
    <row r="300" spans="1:78" x14ac:dyDescent="0.2">
      <c r="A300" s="78"/>
      <c r="B300" s="78"/>
      <c r="C300" s="78"/>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c r="AF300" s="78"/>
      <c r="AG300" s="78"/>
      <c r="AH300" s="78"/>
      <c r="AI300" s="78"/>
      <c r="AJ300" s="78"/>
      <c r="AK300" s="78"/>
      <c r="AL300" s="78"/>
      <c r="AM300" s="78"/>
      <c r="AN300" s="78"/>
      <c r="AO300" s="78"/>
      <c r="AP300" s="78"/>
      <c r="AQ300" s="78"/>
      <c r="AR300" s="78"/>
      <c r="AS300" s="78"/>
      <c r="AT300" s="78"/>
      <c r="AU300" s="78"/>
      <c r="AV300" s="78"/>
      <c r="AW300" s="78"/>
      <c r="AX300" s="78"/>
      <c r="AY300" s="78"/>
      <c r="AZ300" s="78"/>
      <c r="BA300" s="78"/>
      <c r="BB300" s="78"/>
      <c r="BC300" s="78"/>
      <c r="BD300" s="78"/>
      <c r="BE300" s="78"/>
      <c r="BF300" s="78"/>
      <c r="BG300" s="78"/>
      <c r="BH300" s="78"/>
      <c r="BI300" s="78"/>
      <c r="BJ300" s="78"/>
      <c r="BK300" s="78"/>
      <c r="BL300" s="78"/>
      <c r="BM300" s="78"/>
      <c r="BN300" s="78"/>
      <c r="BO300" s="78"/>
      <c r="BP300" s="78"/>
      <c r="BQ300" s="78"/>
      <c r="BR300" s="78"/>
      <c r="BS300" s="78"/>
      <c r="BT300" s="78"/>
      <c r="BU300" s="78"/>
      <c r="BV300" s="78"/>
      <c r="BW300" s="78"/>
      <c r="BX300" s="78"/>
      <c r="BY300" s="78"/>
      <c r="BZ300" s="78"/>
    </row>
    <row r="301" spans="1:78" x14ac:dyDescent="0.2">
      <c r="A301" s="78"/>
      <c r="B301" s="78"/>
      <c r="C301" s="78"/>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c r="AF301" s="78"/>
      <c r="AG301" s="78"/>
      <c r="AH301" s="78"/>
      <c r="AI301" s="78"/>
      <c r="AJ301" s="78"/>
      <c r="AK301" s="78"/>
      <c r="AL301" s="78"/>
      <c r="AM301" s="78"/>
      <c r="AN301" s="78"/>
      <c r="AO301" s="78"/>
      <c r="AP301" s="78"/>
      <c r="AQ301" s="78"/>
      <c r="AR301" s="78"/>
      <c r="AS301" s="78"/>
      <c r="AT301" s="78"/>
      <c r="AU301" s="78"/>
      <c r="AV301" s="78"/>
      <c r="AW301" s="78"/>
      <c r="AX301" s="78"/>
      <c r="AY301" s="78"/>
      <c r="AZ301" s="78"/>
      <c r="BA301" s="78"/>
      <c r="BB301" s="78"/>
      <c r="BC301" s="78"/>
      <c r="BD301" s="78"/>
      <c r="BE301" s="78"/>
      <c r="BF301" s="78"/>
      <c r="BG301" s="78"/>
      <c r="BH301" s="78"/>
      <c r="BI301" s="78"/>
      <c r="BJ301" s="78"/>
      <c r="BK301" s="78"/>
      <c r="BL301" s="78"/>
      <c r="BM301" s="78"/>
      <c r="BN301" s="78"/>
      <c r="BO301" s="78"/>
      <c r="BP301" s="78"/>
      <c r="BQ301" s="78"/>
      <c r="BR301" s="78"/>
      <c r="BS301" s="78"/>
      <c r="BT301" s="78"/>
      <c r="BU301" s="78"/>
      <c r="BV301" s="78"/>
      <c r="BW301" s="78"/>
      <c r="BX301" s="78"/>
      <c r="BY301" s="78"/>
      <c r="BZ301" s="78"/>
    </row>
    <row r="302" spans="1:78" x14ac:dyDescent="0.2">
      <c r="A302" s="78"/>
      <c r="B302" s="78"/>
      <c r="C302" s="78"/>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c r="AC302" s="78"/>
      <c r="AD302" s="78"/>
      <c r="AE302" s="78"/>
      <c r="AF302" s="78"/>
      <c r="AG302" s="78"/>
      <c r="AH302" s="78"/>
      <c r="AI302" s="78"/>
      <c r="AJ302" s="78"/>
      <c r="AK302" s="78"/>
      <c r="AL302" s="78"/>
      <c r="AM302" s="78"/>
      <c r="AN302" s="78"/>
      <c r="AO302" s="78"/>
      <c r="AP302" s="78"/>
      <c r="AQ302" s="78"/>
      <c r="AR302" s="78"/>
      <c r="AS302" s="78"/>
      <c r="AT302" s="78"/>
      <c r="AU302" s="78"/>
      <c r="AV302" s="78"/>
      <c r="AW302" s="78"/>
      <c r="AX302" s="78"/>
      <c r="AY302" s="78"/>
      <c r="AZ302" s="78"/>
      <c r="BA302" s="78"/>
      <c r="BB302" s="78"/>
      <c r="BC302" s="78"/>
      <c r="BD302" s="78"/>
      <c r="BE302" s="78"/>
      <c r="BF302" s="78"/>
      <c r="BG302" s="78"/>
      <c r="BH302" s="78"/>
      <c r="BI302" s="78"/>
      <c r="BJ302" s="78"/>
      <c r="BK302" s="78"/>
      <c r="BL302" s="78"/>
      <c r="BM302" s="78"/>
      <c r="BN302" s="78"/>
      <c r="BO302" s="78"/>
      <c r="BP302" s="78"/>
      <c r="BQ302" s="78"/>
      <c r="BR302" s="78"/>
      <c r="BS302" s="78"/>
      <c r="BT302" s="78"/>
      <c r="BU302" s="78"/>
      <c r="BV302" s="78"/>
      <c r="BW302" s="78"/>
      <c r="BX302" s="78"/>
      <c r="BY302" s="78"/>
      <c r="BZ302" s="78"/>
    </row>
    <row r="303" spans="1:78" x14ac:dyDescent="0.2">
      <c r="A303" s="78"/>
      <c r="B303" s="78"/>
      <c r="C303" s="78"/>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c r="AC303" s="78"/>
      <c r="AD303" s="78"/>
      <c r="AE303" s="78"/>
      <c r="AF303" s="78"/>
      <c r="AG303" s="78"/>
      <c r="AH303" s="78"/>
      <c r="AI303" s="78"/>
      <c r="AJ303" s="78"/>
      <c r="AK303" s="78"/>
      <c r="AL303" s="78"/>
      <c r="AM303" s="78"/>
      <c r="AN303" s="78"/>
      <c r="AO303" s="78"/>
      <c r="AP303" s="78"/>
      <c r="AQ303" s="78"/>
      <c r="AR303" s="78"/>
      <c r="AS303" s="78"/>
      <c r="AT303" s="78"/>
      <c r="AU303" s="78"/>
      <c r="AV303" s="78"/>
      <c r="AW303" s="78"/>
      <c r="AX303" s="78"/>
      <c r="AY303" s="78"/>
      <c r="AZ303" s="78"/>
      <c r="BA303" s="78"/>
      <c r="BB303" s="78"/>
      <c r="BC303" s="78"/>
      <c r="BD303" s="78"/>
      <c r="BE303" s="78"/>
      <c r="BF303" s="78"/>
      <c r="BG303" s="78"/>
      <c r="BH303" s="78"/>
      <c r="BI303" s="78"/>
      <c r="BJ303" s="78"/>
      <c r="BK303" s="78"/>
      <c r="BL303" s="78"/>
      <c r="BM303" s="78"/>
      <c r="BN303" s="78"/>
      <c r="BO303" s="78"/>
      <c r="BP303" s="78"/>
      <c r="BQ303" s="78"/>
      <c r="BR303" s="78"/>
      <c r="BS303" s="78"/>
      <c r="BT303" s="78"/>
      <c r="BU303" s="78"/>
      <c r="BV303" s="78"/>
      <c r="BW303" s="78"/>
      <c r="BX303" s="78"/>
      <c r="BY303" s="78"/>
      <c r="BZ303" s="78"/>
    </row>
    <row r="304" spans="1:78" x14ac:dyDescent="0.2">
      <c r="A304" s="78"/>
      <c r="B304" s="78"/>
      <c r="C304" s="78"/>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c r="AC304" s="78"/>
      <c r="AD304" s="78"/>
      <c r="AE304" s="78"/>
      <c r="AF304" s="78"/>
      <c r="AG304" s="78"/>
      <c r="AH304" s="78"/>
      <c r="AI304" s="78"/>
      <c r="AJ304" s="78"/>
      <c r="AK304" s="78"/>
      <c r="AL304" s="78"/>
      <c r="AM304" s="78"/>
      <c r="AN304" s="78"/>
      <c r="AO304" s="78"/>
      <c r="AP304" s="78"/>
      <c r="AQ304" s="78"/>
      <c r="AR304" s="78"/>
      <c r="AS304" s="78"/>
      <c r="AT304" s="78"/>
      <c r="AU304" s="78"/>
      <c r="AV304" s="78"/>
      <c r="AW304" s="78"/>
      <c r="AX304" s="78"/>
      <c r="AY304" s="78"/>
      <c r="AZ304" s="78"/>
      <c r="BA304" s="78"/>
      <c r="BB304" s="78"/>
      <c r="BC304" s="78"/>
      <c r="BD304" s="78"/>
      <c r="BE304" s="78"/>
      <c r="BF304" s="78"/>
      <c r="BG304" s="78"/>
      <c r="BH304" s="78"/>
      <c r="BI304" s="78"/>
      <c r="BJ304" s="78"/>
      <c r="BK304" s="78"/>
      <c r="BL304" s="78"/>
      <c r="BM304" s="78"/>
      <c r="BN304" s="78"/>
      <c r="BO304" s="78"/>
      <c r="BP304" s="78"/>
      <c r="BQ304" s="78"/>
      <c r="BR304" s="78"/>
      <c r="BS304" s="78"/>
      <c r="BT304" s="78"/>
      <c r="BU304" s="78"/>
      <c r="BV304" s="78"/>
      <c r="BW304" s="78"/>
      <c r="BX304" s="78"/>
      <c r="BY304" s="78"/>
      <c r="BZ304" s="78"/>
    </row>
    <row r="305" spans="1:78" x14ac:dyDescent="0.2">
      <c r="A305" s="78"/>
      <c r="B305" s="78"/>
      <c r="C305" s="78"/>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c r="AF305" s="78"/>
      <c r="AG305" s="78"/>
      <c r="AH305" s="78"/>
      <c r="AI305" s="78"/>
      <c r="AJ305" s="78"/>
      <c r="AK305" s="78"/>
      <c r="AL305" s="78"/>
      <c r="AM305" s="78"/>
      <c r="AN305" s="78"/>
      <c r="AO305" s="78"/>
      <c r="AP305" s="78"/>
      <c r="AQ305" s="78"/>
      <c r="AR305" s="78"/>
      <c r="AS305" s="78"/>
      <c r="AT305" s="78"/>
      <c r="AU305" s="78"/>
      <c r="AV305" s="78"/>
      <c r="AW305" s="78"/>
      <c r="AX305" s="78"/>
      <c r="AY305" s="78"/>
      <c r="AZ305" s="78"/>
      <c r="BA305" s="78"/>
      <c r="BB305" s="78"/>
      <c r="BC305" s="78"/>
      <c r="BD305" s="78"/>
      <c r="BE305" s="78"/>
      <c r="BF305" s="78"/>
      <c r="BG305" s="78"/>
      <c r="BH305" s="78"/>
      <c r="BI305" s="78"/>
      <c r="BJ305" s="78"/>
      <c r="BK305" s="78"/>
      <c r="BL305" s="78"/>
      <c r="BM305" s="78"/>
      <c r="BN305" s="78"/>
      <c r="BO305" s="78"/>
      <c r="BP305" s="78"/>
      <c r="BQ305" s="78"/>
      <c r="BR305" s="78"/>
      <c r="BS305" s="78"/>
      <c r="BT305" s="78"/>
      <c r="BU305" s="78"/>
      <c r="BV305" s="78"/>
      <c r="BW305" s="78"/>
      <c r="BX305" s="78"/>
      <c r="BY305" s="78"/>
      <c r="BZ305" s="78"/>
    </row>
    <row r="306" spans="1:78" x14ac:dyDescent="0.2">
      <c r="A306" s="78"/>
      <c r="B306" s="78"/>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c r="AC306" s="78"/>
      <c r="AD306" s="78"/>
      <c r="AE306" s="78"/>
      <c r="AF306" s="78"/>
      <c r="AG306" s="78"/>
      <c r="AH306" s="78"/>
      <c r="AI306" s="78"/>
      <c r="AJ306" s="78"/>
      <c r="AK306" s="78"/>
      <c r="AL306" s="78"/>
      <c r="AM306" s="78"/>
      <c r="AN306" s="78"/>
      <c r="AO306" s="78"/>
      <c r="AP306" s="78"/>
      <c r="AQ306" s="78"/>
      <c r="AR306" s="78"/>
      <c r="AS306" s="78"/>
      <c r="AT306" s="78"/>
      <c r="AU306" s="78"/>
      <c r="AV306" s="78"/>
      <c r="AW306" s="78"/>
      <c r="AX306" s="78"/>
      <c r="AY306" s="78"/>
      <c r="AZ306" s="78"/>
      <c r="BA306" s="78"/>
      <c r="BB306" s="78"/>
      <c r="BC306" s="78"/>
      <c r="BD306" s="78"/>
      <c r="BE306" s="78"/>
      <c r="BF306" s="78"/>
      <c r="BG306" s="78"/>
      <c r="BH306" s="78"/>
      <c r="BI306" s="78"/>
      <c r="BJ306" s="78"/>
      <c r="BK306" s="78"/>
      <c r="BL306" s="78"/>
      <c r="BM306" s="78"/>
      <c r="BN306" s="78"/>
      <c r="BO306" s="78"/>
      <c r="BP306" s="78"/>
      <c r="BQ306" s="78"/>
      <c r="BR306" s="78"/>
      <c r="BS306" s="78"/>
      <c r="BT306" s="78"/>
      <c r="BU306" s="78"/>
      <c r="BV306" s="78"/>
      <c r="BW306" s="78"/>
      <c r="BX306" s="78"/>
      <c r="BY306" s="78"/>
      <c r="BZ306" s="78"/>
    </row>
    <row r="307" spans="1:78" x14ac:dyDescent="0.2">
      <c r="A307" s="78"/>
      <c r="B307" s="78"/>
      <c r="C307" s="78"/>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78"/>
      <c r="AC307" s="78"/>
      <c r="AD307" s="78"/>
      <c r="AE307" s="78"/>
      <c r="AF307" s="78"/>
      <c r="AG307" s="78"/>
      <c r="AH307" s="78"/>
      <c r="AI307" s="78"/>
      <c r="AJ307" s="78"/>
      <c r="AK307" s="78"/>
      <c r="AL307" s="78"/>
      <c r="AM307" s="78"/>
      <c r="AN307" s="78"/>
      <c r="AO307" s="78"/>
      <c r="AP307" s="78"/>
      <c r="AQ307" s="78"/>
      <c r="AR307" s="78"/>
      <c r="AS307" s="78"/>
      <c r="AT307" s="78"/>
      <c r="AU307" s="78"/>
      <c r="AV307" s="78"/>
      <c r="AW307" s="78"/>
      <c r="AX307" s="78"/>
      <c r="AY307" s="78"/>
      <c r="AZ307" s="78"/>
      <c r="BA307" s="78"/>
      <c r="BB307" s="78"/>
      <c r="BC307" s="78"/>
      <c r="BD307" s="78"/>
      <c r="BE307" s="78"/>
      <c r="BF307" s="78"/>
      <c r="BG307" s="78"/>
      <c r="BH307" s="78"/>
      <c r="BI307" s="78"/>
      <c r="BJ307" s="78"/>
      <c r="BK307" s="78"/>
      <c r="BL307" s="78"/>
      <c r="BM307" s="78"/>
      <c r="BN307" s="78"/>
      <c r="BO307" s="78"/>
      <c r="BP307" s="78"/>
      <c r="BQ307" s="78"/>
      <c r="BR307" s="78"/>
      <c r="BS307" s="78"/>
      <c r="BT307" s="78"/>
      <c r="BU307" s="78"/>
      <c r="BV307" s="78"/>
      <c r="BW307" s="78"/>
      <c r="BX307" s="78"/>
      <c r="BY307" s="78"/>
      <c r="BZ307" s="78"/>
    </row>
    <row r="308" spans="1:78" x14ac:dyDescent="0.2">
      <c r="A308" s="78"/>
      <c r="B308" s="78"/>
      <c r="C308" s="78"/>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c r="AC308" s="78"/>
      <c r="AD308" s="78"/>
      <c r="AE308" s="78"/>
      <c r="AF308" s="78"/>
      <c r="AG308" s="78"/>
      <c r="AH308" s="78"/>
      <c r="AI308" s="78"/>
      <c r="AJ308" s="78"/>
      <c r="AK308" s="78"/>
      <c r="AL308" s="78"/>
      <c r="AM308" s="78"/>
      <c r="AN308" s="78"/>
      <c r="AO308" s="78"/>
      <c r="AP308" s="78"/>
      <c r="AQ308" s="78"/>
      <c r="AR308" s="78"/>
      <c r="AS308" s="78"/>
      <c r="AT308" s="78"/>
      <c r="AU308" s="78"/>
      <c r="AV308" s="78"/>
      <c r="AW308" s="78"/>
      <c r="AX308" s="78"/>
      <c r="AY308" s="78"/>
      <c r="AZ308" s="78"/>
      <c r="BA308" s="78"/>
      <c r="BB308" s="78"/>
      <c r="BC308" s="78"/>
      <c r="BD308" s="78"/>
      <c r="BE308" s="78"/>
      <c r="BF308" s="78"/>
      <c r="BG308" s="78"/>
      <c r="BH308" s="78"/>
      <c r="BI308" s="78"/>
      <c r="BJ308" s="78"/>
      <c r="BK308" s="78"/>
      <c r="BL308" s="78"/>
      <c r="BM308" s="78"/>
      <c r="BN308" s="78"/>
      <c r="BO308" s="78"/>
      <c r="BP308" s="78"/>
      <c r="BQ308" s="78"/>
      <c r="BR308" s="78"/>
      <c r="BS308" s="78"/>
      <c r="BT308" s="78"/>
      <c r="BU308" s="78"/>
      <c r="BV308" s="78"/>
      <c r="BW308" s="78"/>
      <c r="BX308" s="78"/>
      <c r="BY308" s="78"/>
      <c r="BZ308" s="78"/>
    </row>
    <row r="309" spans="1:78" x14ac:dyDescent="0.2">
      <c r="A309" s="78"/>
      <c r="B309" s="78"/>
      <c r="C309" s="78"/>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c r="AC309" s="78"/>
      <c r="AD309" s="78"/>
      <c r="AE309" s="78"/>
      <c r="AF309" s="78"/>
      <c r="AG309" s="78"/>
      <c r="AH309" s="78"/>
      <c r="AI309" s="78"/>
      <c r="AJ309" s="78"/>
      <c r="AK309" s="78"/>
      <c r="AL309" s="78"/>
      <c r="AM309" s="78"/>
      <c r="AN309" s="78"/>
      <c r="AO309" s="78"/>
      <c r="AP309" s="78"/>
      <c r="AQ309" s="78"/>
      <c r="AR309" s="78"/>
      <c r="AS309" s="78"/>
      <c r="AT309" s="78"/>
      <c r="AU309" s="78"/>
      <c r="AV309" s="78"/>
      <c r="AW309" s="78"/>
      <c r="AX309" s="78"/>
      <c r="AY309" s="78"/>
      <c r="AZ309" s="78"/>
      <c r="BA309" s="78"/>
      <c r="BB309" s="78"/>
      <c r="BC309" s="78"/>
      <c r="BD309" s="78"/>
      <c r="BE309" s="78"/>
      <c r="BF309" s="78"/>
      <c r="BG309" s="78"/>
      <c r="BH309" s="78"/>
      <c r="BI309" s="78"/>
      <c r="BJ309" s="78"/>
      <c r="BK309" s="78"/>
      <c r="BL309" s="78"/>
      <c r="BM309" s="78"/>
      <c r="BN309" s="78"/>
      <c r="BO309" s="78"/>
      <c r="BP309" s="78"/>
      <c r="BQ309" s="78"/>
      <c r="BR309" s="78"/>
      <c r="BS309" s="78"/>
      <c r="BT309" s="78"/>
      <c r="BU309" s="78"/>
      <c r="BV309" s="78"/>
      <c r="BW309" s="78"/>
      <c r="BX309" s="78"/>
      <c r="BY309" s="78"/>
      <c r="BZ309" s="78"/>
    </row>
    <row r="310" spans="1:78" x14ac:dyDescent="0.2">
      <c r="A310" s="78"/>
      <c r="B310" s="78"/>
      <c r="C310" s="78"/>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c r="AC310" s="78"/>
      <c r="AD310" s="78"/>
      <c r="AE310" s="78"/>
      <c r="AF310" s="78"/>
      <c r="AG310" s="78"/>
      <c r="AH310" s="78"/>
      <c r="AI310" s="78"/>
      <c r="AJ310" s="78"/>
      <c r="AK310" s="78"/>
      <c r="AL310" s="78"/>
      <c r="AM310" s="78"/>
      <c r="AN310" s="78"/>
      <c r="AO310" s="78"/>
      <c r="AP310" s="78"/>
      <c r="AQ310" s="78"/>
      <c r="AR310" s="78"/>
      <c r="AS310" s="78"/>
      <c r="AT310" s="78"/>
      <c r="AU310" s="78"/>
      <c r="AV310" s="78"/>
      <c r="AW310" s="78"/>
      <c r="AX310" s="78"/>
      <c r="AY310" s="78"/>
      <c r="AZ310" s="78"/>
      <c r="BA310" s="78"/>
      <c r="BB310" s="78"/>
      <c r="BC310" s="78"/>
      <c r="BD310" s="78"/>
      <c r="BE310" s="78"/>
      <c r="BF310" s="78"/>
      <c r="BG310" s="78"/>
      <c r="BH310" s="78"/>
      <c r="BI310" s="78"/>
      <c r="BJ310" s="78"/>
      <c r="BK310" s="78"/>
      <c r="BL310" s="78"/>
      <c r="BM310" s="78"/>
      <c r="BN310" s="78"/>
      <c r="BO310" s="78"/>
      <c r="BP310" s="78"/>
      <c r="BQ310" s="78"/>
      <c r="BR310" s="78"/>
      <c r="BS310" s="78"/>
      <c r="BT310" s="78"/>
      <c r="BU310" s="78"/>
      <c r="BV310" s="78"/>
      <c r="BW310" s="78"/>
      <c r="BX310" s="78"/>
      <c r="BY310" s="78"/>
      <c r="BZ310" s="78"/>
    </row>
    <row r="311" spans="1:78" x14ac:dyDescent="0.2">
      <c r="A311" s="78"/>
      <c r="B311" s="78"/>
      <c r="C311" s="78"/>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c r="AC311" s="78"/>
      <c r="AD311" s="78"/>
      <c r="AE311" s="78"/>
      <c r="AF311" s="78"/>
      <c r="AG311" s="78"/>
      <c r="AH311" s="78"/>
      <c r="AI311" s="78"/>
      <c r="AJ311" s="78"/>
      <c r="AK311" s="78"/>
      <c r="AL311" s="78"/>
      <c r="AM311" s="78"/>
      <c r="AN311" s="78"/>
      <c r="AO311" s="78"/>
      <c r="AP311" s="78"/>
      <c r="AQ311" s="78"/>
      <c r="AR311" s="78"/>
      <c r="AS311" s="78"/>
      <c r="AT311" s="78"/>
      <c r="AU311" s="78"/>
      <c r="AV311" s="78"/>
      <c r="AW311" s="78"/>
      <c r="AX311" s="78"/>
      <c r="AY311" s="78"/>
      <c r="AZ311" s="78"/>
      <c r="BA311" s="78"/>
      <c r="BB311" s="78"/>
      <c r="BC311" s="78"/>
      <c r="BD311" s="78"/>
      <c r="BE311" s="78"/>
      <c r="BF311" s="78"/>
      <c r="BG311" s="78"/>
      <c r="BH311" s="78"/>
      <c r="BI311" s="78"/>
      <c r="BJ311" s="78"/>
      <c r="BK311" s="78"/>
      <c r="BL311" s="78"/>
      <c r="BM311" s="78"/>
      <c r="BN311" s="78"/>
      <c r="BO311" s="78"/>
      <c r="BP311" s="78"/>
      <c r="BQ311" s="78"/>
      <c r="BR311" s="78"/>
      <c r="BS311" s="78"/>
      <c r="BT311" s="78"/>
      <c r="BU311" s="78"/>
      <c r="BV311" s="78"/>
      <c r="BW311" s="78"/>
      <c r="BX311" s="78"/>
      <c r="BY311" s="78"/>
      <c r="BZ311" s="78"/>
    </row>
    <row r="312" spans="1:78" x14ac:dyDescent="0.2">
      <c r="A312" s="78"/>
      <c r="B312" s="78"/>
      <c r="C312" s="78"/>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c r="AC312" s="78"/>
      <c r="AD312" s="78"/>
      <c r="AE312" s="78"/>
      <c r="AF312" s="78"/>
      <c r="AG312" s="78"/>
      <c r="AH312" s="78"/>
      <c r="AI312" s="78"/>
      <c r="AJ312" s="78"/>
      <c r="AK312" s="78"/>
      <c r="AL312" s="78"/>
      <c r="AM312" s="78"/>
      <c r="AN312" s="78"/>
      <c r="AO312" s="78"/>
      <c r="AP312" s="78"/>
      <c r="AQ312" s="78"/>
      <c r="AR312" s="78"/>
      <c r="AS312" s="78"/>
      <c r="AT312" s="78"/>
      <c r="AU312" s="78"/>
      <c r="AV312" s="78"/>
      <c r="AW312" s="78"/>
      <c r="AX312" s="78"/>
      <c r="AY312" s="78"/>
      <c r="AZ312" s="78"/>
      <c r="BA312" s="78"/>
      <c r="BB312" s="78"/>
      <c r="BC312" s="78"/>
      <c r="BD312" s="78"/>
      <c r="BE312" s="78"/>
      <c r="BF312" s="78"/>
      <c r="BG312" s="78"/>
      <c r="BH312" s="78"/>
      <c r="BI312" s="78"/>
      <c r="BJ312" s="78"/>
      <c r="BK312" s="78"/>
      <c r="BL312" s="78"/>
      <c r="BM312" s="78"/>
      <c r="BN312" s="78"/>
      <c r="BO312" s="78"/>
      <c r="BP312" s="78"/>
      <c r="BQ312" s="78"/>
      <c r="BR312" s="78"/>
      <c r="BS312" s="78"/>
      <c r="BT312" s="78"/>
      <c r="BU312" s="78"/>
      <c r="BV312" s="78"/>
      <c r="BW312" s="78"/>
      <c r="BX312" s="78"/>
      <c r="BY312" s="78"/>
      <c r="BZ312" s="78"/>
    </row>
    <row r="313" spans="1:78" x14ac:dyDescent="0.2">
      <c r="A313" s="78"/>
      <c r="B313" s="78"/>
      <c r="C313" s="78"/>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c r="AC313" s="78"/>
      <c r="AD313" s="78"/>
      <c r="AE313" s="78"/>
      <c r="AF313" s="78"/>
      <c r="AG313" s="78"/>
      <c r="AH313" s="78"/>
      <c r="AI313" s="78"/>
      <c r="AJ313" s="78"/>
      <c r="AK313" s="78"/>
      <c r="AL313" s="78"/>
      <c r="AM313" s="78"/>
      <c r="AN313" s="78"/>
      <c r="AO313" s="78"/>
      <c r="AP313" s="78"/>
      <c r="AQ313" s="78"/>
      <c r="AR313" s="78"/>
      <c r="AS313" s="78"/>
      <c r="AT313" s="78"/>
      <c r="AU313" s="78"/>
      <c r="AV313" s="78"/>
      <c r="AW313" s="78"/>
      <c r="AX313" s="78"/>
      <c r="AY313" s="78"/>
      <c r="AZ313" s="78"/>
      <c r="BA313" s="78"/>
      <c r="BB313" s="78"/>
      <c r="BC313" s="78"/>
      <c r="BD313" s="78"/>
      <c r="BE313" s="78"/>
      <c r="BF313" s="78"/>
      <c r="BG313" s="78"/>
      <c r="BH313" s="78"/>
      <c r="BI313" s="78"/>
      <c r="BJ313" s="78"/>
      <c r="BK313" s="78"/>
      <c r="BL313" s="78"/>
      <c r="BM313" s="78"/>
      <c r="BN313" s="78"/>
      <c r="BO313" s="78"/>
      <c r="BP313" s="78"/>
      <c r="BQ313" s="78"/>
      <c r="BR313" s="78"/>
      <c r="BS313" s="78"/>
      <c r="BT313" s="78"/>
      <c r="BU313" s="78"/>
      <c r="BV313" s="78"/>
      <c r="BW313" s="78"/>
      <c r="BX313" s="78"/>
      <c r="BY313" s="78"/>
      <c r="BZ313" s="78"/>
    </row>
    <row r="314" spans="1:78" x14ac:dyDescent="0.2">
      <c r="A314" s="78"/>
      <c r="B314" s="78"/>
      <c r="C314" s="78"/>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78"/>
      <c r="AC314" s="78"/>
      <c r="AD314" s="78"/>
      <c r="AE314" s="78"/>
      <c r="AF314" s="78"/>
      <c r="AG314" s="78"/>
      <c r="AH314" s="78"/>
      <c r="AI314" s="78"/>
      <c r="AJ314" s="78"/>
      <c r="AK314" s="78"/>
      <c r="AL314" s="78"/>
      <c r="AM314" s="78"/>
      <c r="AN314" s="78"/>
      <c r="AO314" s="78"/>
      <c r="AP314" s="78"/>
      <c r="AQ314" s="78"/>
      <c r="AR314" s="78"/>
      <c r="AS314" s="78"/>
      <c r="AT314" s="78"/>
      <c r="AU314" s="78"/>
      <c r="AV314" s="78"/>
      <c r="AW314" s="78"/>
      <c r="AX314" s="78"/>
      <c r="AY314" s="78"/>
      <c r="AZ314" s="78"/>
      <c r="BA314" s="78"/>
      <c r="BB314" s="78"/>
      <c r="BC314" s="78"/>
      <c r="BD314" s="78"/>
      <c r="BE314" s="78"/>
      <c r="BF314" s="78"/>
      <c r="BG314" s="78"/>
      <c r="BH314" s="78"/>
      <c r="BI314" s="78"/>
      <c r="BJ314" s="78"/>
      <c r="BK314" s="78"/>
      <c r="BL314" s="78"/>
      <c r="BM314" s="78"/>
      <c r="BN314" s="78"/>
      <c r="BO314" s="78"/>
      <c r="BP314" s="78"/>
      <c r="BQ314" s="78"/>
      <c r="BR314" s="78"/>
      <c r="BS314" s="78"/>
      <c r="BT314" s="78"/>
      <c r="BU314" s="78"/>
      <c r="BV314" s="78"/>
      <c r="BW314" s="78"/>
      <c r="BX314" s="78"/>
      <c r="BY314" s="78"/>
      <c r="BZ314" s="78"/>
    </row>
    <row r="315" spans="1:78" s="78" customFormat="1" x14ac:dyDescent="0.2"/>
    <row r="316" spans="1:78" s="78" customFormat="1" x14ac:dyDescent="0.2"/>
    <row r="317" spans="1:78" s="78" customFormat="1" x14ac:dyDescent="0.2"/>
    <row r="318" spans="1:78" s="78" customFormat="1" x14ac:dyDescent="0.2"/>
    <row r="319" spans="1:78" s="78" customFormat="1" x14ac:dyDescent="0.2"/>
    <row r="320" spans="1:78" s="78" customFormat="1" x14ac:dyDescent="0.2"/>
    <row r="321" s="78" customFormat="1" x14ac:dyDescent="0.2"/>
    <row r="322" s="78" customFormat="1" x14ac:dyDescent="0.2"/>
    <row r="323" s="78" customFormat="1" x14ac:dyDescent="0.2"/>
    <row r="324" s="78" customFormat="1" x14ac:dyDescent="0.2"/>
    <row r="325" s="78" customFormat="1" x14ac:dyDescent="0.2"/>
    <row r="326" s="78" customFormat="1" x14ac:dyDescent="0.2"/>
    <row r="327" s="78" customFormat="1" x14ac:dyDescent="0.2"/>
    <row r="328" s="78" customFormat="1" x14ac:dyDescent="0.2"/>
    <row r="329" s="78" customFormat="1" x14ac:dyDescent="0.2"/>
    <row r="330" s="78" customFormat="1" x14ac:dyDescent="0.2"/>
    <row r="331" s="78" customFormat="1" x14ac:dyDescent="0.2"/>
    <row r="332" s="78" customFormat="1" x14ac:dyDescent="0.2"/>
    <row r="333" s="78" customFormat="1" x14ac:dyDescent="0.2"/>
    <row r="334" s="78" customFormat="1" x14ac:dyDescent="0.2"/>
    <row r="335" s="78" customFormat="1" x14ac:dyDescent="0.2"/>
    <row r="336" s="78" customFormat="1" x14ac:dyDescent="0.2"/>
    <row r="337" s="78" customFormat="1" x14ac:dyDescent="0.2"/>
    <row r="338" s="78" customFormat="1" x14ac:dyDescent="0.2"/>
    <row r="339" s="78" customFormat="1" x14ac:dyDescent="0.2"/>
    <row r="340" s="78" customFormat="1" x14ac:dyDescent="0.2"/>
    <row r="341" s="78" customFormat="1" x14ac:dyDescent="0.2"/>
    <row r="342" s="78" customFormat="1" x14ac:dyDescent="0.2"/>
    <row r="343" s="78" customFormat="1" x14ac:dyDescent="0.2"/>
    <row r="344" s="78" customFormat="1" x14ac:dyDescent="0.2"/>
    <row r="345" s="78" customFormat="1" x14ac:dyDescent="0.2"/>
    <row r="346" s="78" customFormat="1" x14ac:dyDescent="0.2"/>
    <row r="347" s="78" customFormat="1" x14ac:dyDescent="0.2"/>
    <row r="348" s="78" customFormat="1" x14ac:dyDescent="0.2"/>
    <row r="349" s="78" customFormat="1" x14ac:dyDescent="0.2"/>
    <row r="350" s="78" customFormat="1" x14ac:dyDescent="0.2"/>
    <row r="351" s="78" customFormat="1" x14ac:dyDescent="0.2"/>
    <row r="352" s="78" customFormat="1" x14ac:dyDescent="0.2"/>
    <row r="353" s="78" customFormat="1" x14ac:dyDescent="0.2"/>
    <row r="354" s="78" customFormat="1" x14ac:dyDescent="0.2"/>
    <row r="355" s="78" customFormat="1" x14ac:dyDescent="0.2"/>
    <row r="356" s="78" customFormat="1" x14ac:dyDescent="0.2"/>
    <row r="357" s="78" customFormat="1" x14ac:dyDescent="0.2"/>
    <row r="358" s="78" customFormat="1" x14ac:dyDescent="0.2"/>
    <row r="359" s="78" customFormat="1" x14ac:dyDescent="0.2"/>
    <row r="360" s="78" customFormat="1" x14ac:dyDescent="0.2"/>
    <row r="361" s="78" customFormat="1" x14ac:dyDescent="0.2"/>
    <row r="362" s="78" customFormat="1" x14ac:dyDescent="0.2"/>
    <row r="363" s="78" customFormat="1" x14ac:dyDescent="0.2"/>
    <row r="364" s="78" customFormat="1" x14ac:dyDescent="0.2"/>
    <row r="365" s="78" customFormat="1" x14ac:dyDescent="0.2"/>
    <row r="366" s="78" customFormat="1" x14ac:dyDescent="0.2"/>
    <row r="367" s="78" customFormat="1" x14ac:dyDescent="0.2"/>
    <row r="368" s="78" customFormat="1" x14ac:dyDescent="0.2"/>
    <row r="369" s="78" customFormat="1" x14ac:dyDescent="0.2"/>
    <row r="370" s="78" customFormat="1" x14ac:dyDescent="0.2"/>
    <row r="371" s="78" customFormat="1" x14ac:dyDescent="0.2"/>
    <row r="372" s="78" customFormat="1" x14ac:dyDescent="0.2"/>
    <row r="373" s="78" customFormat="1" x14ac:dyDescent="0.2"/>
    <row r="374" s="78" customFormat="1" x14ac:dyDescent="0.2"/>
    <row r="375" s="78" customFormat="1" x14ac:dyDescent="0.2"/>
    <row r="376" s="78" customFormat="1" x14ac:dyDescent="0.2"/>
    <row r="377" s="78" customFormat="1" x14ac:dyDescent="0.2"/>
    <row r="378" s="78" customFormat="1" x14ac:dyDescent="0.2"/>
    <row r="379" s="78" customFormat="1" x14ac:dyDescent="0.2"/>
    <row r="380" s="78" customFormat="1" x14ac:dyDescent="0.2"/>
    <row r="381" s="78" customFormat="1" x14ac:dyDescent="0.2"/>
    <row r="382" s="78" customFormat="1" x14ac:dyDescent="0.2"/>
    <row r="383" s="78" customFormat="1" x14ac:dyDescent="0.2"/>
    <row r="384" s="78" customFormat="1" x14ac:dyDescent="0.2"/>
    <row r="385" s="78" customFormat="1" x14ac:dyDescent="0.2"/>
    <row r="386" s="78" customFormat="1" x14ac:dyDescent="0.2"/>
    <row r="387" s="78" customFormat="1" x14ac:dyDescent="0.2"/>
    <row r="388" s="78" customFormat="1" x14ac:dyDescent="0.2"/>
    <row r="389" s="78" customFormat="1" x14ac:dyDescent="0.2"/>
    <row r="390" s="78" customFormat="1" x14ac:dyDescent="0.2"/>
    <row r="391" s="78" customFormat="1" x14ac:dyDescent="0.2"/>
    <row r="392" s="78" customFormat="1" x14ac:dyDescent="0.2"/>
    <row r="393" s="78" customFormat="1" x14ac:dyDescent="0.2"/>
    <row r="394" s="78" customFormat="1" x14ac:dyDescent="0.2"/>
    <row r="395" s="78" customFormat="1" x14ac:dyDescent="0.2"/>
    <row r="396" s="78" customFormat="1" x14ac:dyDescent="0.2"/>
    <row r="397" s="78" customFormat="1" x14ac:dyDescent="0.2"/>
    <row r="398" s="78" customFormat="1" x14ac:dyDescent="0.2"/>
    <row r="399" s="78" customFormat="1" x14ac:dyDescent="0.2"/>
    <row r="400" s="78" customFormat="1" x14ac:dyDescent="0.2"/>
    <row r="401" s="78" customFormat="1" x14ac:dyDescent="0.2"/>
    <row r="402" s="78" customFormat="1" x14ac:dyDescent="0.2"/>
    <row r="403" s="78" customFormat="1" x14ac:dyDescent="0.2"/>
    <row r="404" s="78" customFormat="1" x14ac:dyDescent="0.2"/>
    <row r="405" s="78" customFormat="1" x14ac:dyDescent="0.2"/>
    <row r="406" s="78" customFormat="1" x14ac:dyDescent="0.2"/>
    <row r="407" s="78" customFormat="1" x14ac:dyDescent="0.2"/>
    <row r="408" s="78" customFormat="1" x14ac:dyDescent="0.2"/>
    <row r="409" s="78" customFormat="1" x14ac:dyDescent="0.2"/>
    <row r="410" s="78" customFormat="1" x14ac:dyDescent="0.2"/>
    <row r="411" s="78" customFormat="1" x14ac:dyDescent="0.2"/>
    <row r="412" s="78" customFormat="1" x14ac:dyDescent="0.2"/>
    <row r="413" s="78" customFormat="1" x14ac:dyDescent="0.2"/>
    <row r="414" s="78" customFormat="1" x14ac:dyDescent="0.2"/>
    <row r="415" s="78" customFormat="1" x14ac:dyDescent="0.2"/>
    <row r="416" s="78" customFormat="1" x14ac:dyDescent="0.2"/>
    <row r="417" s="78" customFormat="1" x14ac:dyDescent="0.2"/>
    <row r="418" s="78" customFormat="1" x14ac:dyDescent="0.2"/>
    <row r="419" s="78" customFormat="1" x14ac:dyDescent="0.2"/>
    <row r="420" s="78" customFormat="1" x14ac:dyDescent="0.2"/>
    <row r="421" s="78" customFormat="1" x14ac:dyDescent="0.2"/>
    <row r="422" s="78" customFormat="1" x14ac:dyDescent="0.2"/>
    <row r="423" s="78" customFormat="1" x14ac:dyDescent="0.2"/>
    <row r="424" s="78" customFormat="1" x14ac:dyDescent="0.2"/>
    <row r="425" s="78" customFormat="1" x14ac:dyDescent="0.2"/>
    <row r="426" s="78" customFormat="1" x14ac:dyDescent="0.2"/>
    <row r="427" s="78" customFormat="1" x14ac:dyDescent="0.2"/>
    <row r="428" s="78" customFormat="1" x14ac:dyDescent="0.2"/>
    <row r="429" s="78" customFormat="1" x14ac:dyDescent="0.2"/>
    <row r="430" s="78" customFormat="1" x14ac:dyDescent="0.2"/>
    <row r="431" s="78" customFormat="1" x14ac:dyDescent="0.2"/>
    <row r="432" s="78" customFormat="1" x14ac:dyDescent="0.2"/>
    <row r="433" s="78" customFormat="1" x14ac:dyDescent="0.2"/>
    <row r="434" s="78" customFormat="1" x14ac:dyDescent="0.2"/>
    <row r="435" s="78" customFormat="1" x14ac:dyDescent="0.2"/>
    <row r="436" s="78" customFormat="1" x14ac:dyDescent="0.2"/>
    <row r="437" s="78" customFormat="1" x14ac:dyDescent="0.2"/>
    <row r="438" s="78" customFormat="1" x14ac:dyDescent="0.2"/>
    <row r="439" s="78" customFormat="1" x14ac:dyDescent="0.2"/>
    <row r="440" s="78" customFormat="1" x14ac:dyDescent="0.2"/>
    <row r="441" s="78" customFormat="1" x14ac:dyDescent="0.2"/>
    <row r="442" s="78" customFormat="1" x14ac:dyDescent="0.2"/>
    <row r="443" s="78" customFormat="1" x14ac:dyDescent="0.2"/>
    <row r="444" s="78" customFormat="1" x14ac:dyDescent="0.2"/>
    <row r="445" s="78" customFormat="1" x14ac:dyDescent="0.2"/>
    <row r="446" s="78" customFormat="1" x14ac:dyDescent="0.2"/>
    <row r="447" s="78" customFormat="1" x14ac:dyDescent="0.2"/>
    <row r="448" s="78" customFormat="1" x14ac:dyDescent="0.2"/>
    <row r="449" s="78" customFormat="1" x14ac:dyDescent="0.2"/>
    <row r="450" s="78" customFormat="1" x14ac:dyDescent="0.2"/>
    <row r="451" s="78" customFormat="1" x14ac:dyDescent="0.2"/>
    <row r="452" s="78" customFormat="1" x14ac:dyDescent="0.2"/>
    <row r="453" s="78" customFormat="1" x14ac:dyDescent="0.2"/>
    <row r="454" s="78" customFormat="1" x14ac:dyDescent="0.2"/>
    <row r="455" s="78" customFormat="1" x14ac:dyDescent="0.2"/>
    <row r="456" s="78" customFormat="1" x14ac:dyDescent="0.2"/>
    <row r="457" s="78" customFormat="1" x14ac:dyDescent="0.2"/>
    <row r="458" s="78" customFormat="1" x14ac:dyDescent="0.2"/>
    <row r="459" s="78" customFormat="1" x14ac:dyDescent="0.2"/>
    <row r="460" s="78" customFormat="1" x14ac:dyDescent="0.2"/>
    <row r="461" s="78" customFormat="1" x14ac:dyDescent="0.2"/>
    <row r="462" s="78" customFormat="1" x14ac:dyDescent="0.2"/>
    <row r="463" s="78" customFormat="1" x14ac:dyDescent="0.2"/>
    <row r="464" s="78" customFormat="1" x14ac:dyDescent="0.2"/>
    <row r="465" s="78" customFormat="1" x14ac:dyDescent="0.2"/>
    <row r="466" s="78" customFormat="1" x14ac:dyDescent="0.2"/>
    <row r="467" s="78" customFormat="1" x14ac:dyDescent="0.2"/>
    <row r="468" s="78" customFormat="1" x14ac:dyDescent="0.2"/>
    <row r="469" s="78" customFormat="1" x14ac:dyDescent="0.2"/>
    <row r="470" s="78" customFormat="1" x14ac:dyDescent="0.2"/>
    <row r="471" s="78" customFormat="1" x14ac:dyDescent="0.2"/>
    <row r="472" s="78" customFormat="1" x14ac:dyDescent="0.2"/>
    <row r="473" s="78" customFormat="1" x14ac:dyDescent="0.2"/>
    <row r="474" s="78" customFormat="1" x14ac:dyDescent="0.2"/>
    <row r="475" s="78" customFormat="1" x14ac:dyDescent="0.2"/>
    <row r="476" s="78" customFormat="1" x14ac:dyDescent="0.2"/>
    <row r="477" s="78" customFormat="1" x14ac:dyDescent="0.2"/>
    <row r="478" s="78" customFormat="1" x14ac:dyDescent="0.2"/>
    <row r="479" s="78" customFormat="1" x14ac:dyDescent="0.2"/>
    <row r="480" s="78" customFormat="1" x14ac:dyDescent="0.2"/>
    <row r="481" s="78" customFormat="1" x14ac:dyDescent="0.2"/>
    <row r="482" s="78" customFormat="1" x14ac:dyDescent="0.2"/>
    <row r="483" s="78" customFormat="1" x14ac:dyDescent="0.2"/>
    <row r="484" s="78" customFormat="1" x14ac:dyDescent="0.2"/>
    <row r="485" s="78" customFormat="1" x14ac:dyDescent="0.2"/>
    <row r="486" s="78" customFormat="1" x14ac:dyDescent="0.2"/>
    <row r="487" s="78" customFormat="1" x14ac:dyDescent="0.2"/>
    <row r="488" s="78" customFormat="1" x14ac:dyDescent="0.2"/>
    <row r="489" s="78" customFormat="1" x14ac:dyDescent="0.2"/>
    <row r="490" s="78" customFormat="1" x14ac:dyDescent="0.2"/>
    <row r="491" s="78" customFormat="1" x14ac:dyDescent="0.2"/>
    <row r="492" s="78" customFormat="1" x14ac:dyDescent="0.2"/>
    <row r="493" s="78" customFormat="1" x14ac:dyDescent="0.2"/>
    <row r="494" s="78" customFormat="1" x14ac:dyDescent="0.2"/>
    <row r="495" s="78" customFormat="1" x14ac:dyDescent="0.2"/>
    <row r="496" s="78" customFormat="1" x14ac:dyDescent="0.2"/>
    <row r="497" s="78" customFormat="1" x14ac:dyDescent="0.2"/>
    <row r="498" s="78" customFormat="1" x14ac:dyDescent="0.2"/>
    <row r="499" s="78" customFormat="1" x14ac:dyDescent="0.2"/>
    <row r="500" s="78" customFormat="1" x14ac:dyDescent="0.2"/>
    <row r="501" s="78" customFormat="1" x14ac:dyDescent="0.2"/>
    <row r="502" s="78" customFormat="1" x14ac:dyDescent="0.2"/>
    <row r="503" s="78" customFormat="1" x14ac:dyDescent="0.2"/>
    <row r="504" s="78" customFormat="1" x14ac:dyDescent="0.2"/>
    <row r="505" s="78" customFormat="1" x14ac:dyDescent="0.2"/>
    <row r="506" s="78" customFormat="1" x14ac:dyDescent="0.2"/>
    <row r="507" s="78" customFormat="1" x14ac:dyDescent="0.2"/>
    <row r="508" s="78" customFormat="1" x14ac:dyDescent="0.2"/>
    <row r="509" s="78" customFormat="1" x14ac:dyDescent="0.2"/>
    <row r="510" s="78" customFormat="1" x14ac:dyDescent="0.2"/>
    <row r="511" s="78" customFormat="1" x14ac:dyDescent="0.2"/>
    <row r="512" s="78" customFormat="1" x14ac:dyDescent="0.2"/>
    <row r="513" s="78" customFormat="1" x14ac:dyDescent="0.2"/>
    <row r="514" s="78" customFormat="1" x14ac:dyDescent="0.2"/>
    <row r="515" s="78" customFormat="1" x14ac:dyDescent="0.2"/>
    <row r="516" s="78" customFormat="1" x14ac:dyDescent="0.2"/>
    <row r="517" s="78" customFormat="1" x14ac:dyDescent="0.2"/>
    <row r="518" s="78" customFormat="1" x14ac:dyDescent="0.2"/>
    <row r="519" s="78" customFormat="1" x14ac:dyDescent="0.2"/>
    <row r="520" s="78" customFormat="1" x14ac:dyDescent="0.2"/>
    <row r="521" s="78" customFormat="1" x14ac:dyDescent="0.2"/>
    <row r="522" s="78" customFormat="1" x14ac:dyDescent="0.2"/>
    <row r="523" s="78" customFormat="1" x14ac:dyDescent="0.2"/>
    <row r="524" s="78" customFormat="1" x14ac:dyDescent="0.2"/>
    <row r="525" s="78" customFormat="1" x14ac:dyDescent="0.2"/>
    <row r="526" s="78" customFormat="1" x14ac:dyDescent="0.2"/>
    <row r="527" s="78" customFormat="1" x14ac:dyDescent="0.2"/>
    <row r="528" s="78" customFormat="1" x14ac:dyDescent="0.2"/>
    <row r="529" s="78" customFormat="1" x14ac:dyDescent="0.2"/>
    <row r="530" s="78" customFormat="1" x14ac:dyDescent="0.2"/>
    <row r="531" s="78" customFormat="1" x14ac:dyDescent="0.2"/>
    <row r="532" s="78" customFormat="1" x14ac:dyDescent="0.2"/>
    <row r="533" s="78" customFormat="1" x14ac:dyDescent="0.2"/>
    <row r="534" s="78" customFormat="1" x14ac:dyDescent="0.2"/>
    <row r="535" s="78" customFormat="1" x14ac:dyDescent="0.2"/>
    <row r="536" s="78" customFormat="1" x14ac:dyDescent="0.2"/>
    <row r="537" s="78" customFormat="1" x14ac:dyDescent="0.2"/>
    <row r="538" s="78" customFormat="1" x14ac:dyDescent="0.2"/>
    <row r="539" s="78" customFormat="1" x14ac:dyDescent="0.2"/>
    <row r="540" s="78" customFormat="1" x14ac:dyDescent="0.2"/>
    <row r="541" s="78" customFormat="1" x14ac:dyDescent="0.2"/>
    <row r="542" s="78" customFormat="1" x14ac:dyDescent="0.2"/>
    <row r="543" s="78" customFormat="1" x14ac:dyDescent="0.2"/>
    <row r="544" s="78" customFormat="1" x14ac:dyDescent="0.2"/>
    <row r="545" s="78" customFormat="1" x14ac:dyDescent="0.2"/>
    <row r="546" s="78" customFormat="1" x14ac:dyDescent="0.2"/>
    <row r="547" s="78" customFormat="1" x14ac:dyDescent="0.2"/>
    <row r="548" s="78" customFormat="1" x14ac:dyDescent="0.2"/>
    <row r="549" s="78" customFormat="1" x14ac:dyDescent="0.2"/>
    <row r="550" s="78" customFormat="1" x14ac:dyDescent="0.2"/>
    <row r="551" s="78" customFormat="1" x14ac:dyDescent="0.2"/>
    <row r="552" s="78" customFormat="1" x14ac:dyDescent="0.2"/>
    <row r="553" s="78" customFormat="1" x14ac:dyDescent="0.2"/>
    <row r="554" s="78" customFormat="1" x14ac:dyDescent="0.2"/>
    <row r="555" s="78" customFormat="1" x14ac:dyDescent="0.2"/>
    <row r="556" s="78" customFormat="1" x14ac:dyDescent="0.2"/>
    <row r="557" s="78" customFormat="1" x14ac:dyDescent="0.2"/>
    <row r="558" s="78" customFormat="1" x14ac:dyDescent="0.2"/>
    <row r="559" s="78" customFormat="1" x14ac:dyDescent="0.2"/>
    <row r="560" s="78" customFormat="1" x14ac:dyDescent="0.2"/>
    <row r="561" s="78" customFormat="1" x14ac:dyDescent="0.2"/>
    <row r="562" s="78" customFormat="1" x14ac:dyDescent="0.2"/>
    <row r="563" s="78" customFormat="1" x14ac:dyDescent="0.2"/>
    <row r="564" s="78" customFormat="1" x14ac:dyDescent="0.2"/>
    <row r="565" s="78" customFormat="1" x14ac:dyDescent="0.2"/>
    <row r="566" s="78" customFormat="1" x14ac:dyDescent="0.2"/>
    <row r="567" s="78" customFormat="1" x14ac:dyDescent="0.2"/>
    <row r="568" s="78" customFormat="1" x14ac:dyDescent="0.2"/>
    <row r="569" s="78" customFormat="1" x14ac:dyDescent="0.2"/>
    <row r="570" s="78" customFormat="1" x14ac:dyDescent="0.2"/>
    <row r="571" s="78" customFormat="1" x14ac:dyDescent="0.2"/>
    <row r="572" s="78" customFormat="1" x14ac:dyDescent="0.2"/>
    <row r="573" s="78" customFormat="1" x14ac:dyDescent="0.2"/>
    <row r="574" s="78" customFormat="1" x14ac:dyDescent="0.2"/>
    <row r="575" s="78" customFormat="1" x14ac:dyDescent="0.2"/>
    <row r="576" s="78" customFormat="1" x14ac:dyDescent="0.2"/>
    <row r="577" s="78" customFormat="1" x14ac:dyDescent="0.2"/>
    <row r="578" s="78" customFormat="1" x14ac:dyDescent="0.2"/>
    <row r="579" s="78" customFormat="1" x14ac:dyDescent="0.2"/>
    <row r="580" s="78" customFormat="1" x14ac:dyDescent="0.2"/>
    <row r="581" s="78" customFormat="1" x14ac:dyDescent="0.2"/>
    <row r="582" s="78" customFormat="1" x14ac:dyDescent="0.2"/>
    <row r="583" s="78" customFormat="1" x14ac:dyDescent="0.2"/>
    <row r="584" s="78" customFormat="1" x14ac:dyDescent="0.2"/>
    <row r="585" s="78" customFormat="1" x14ac:dyDescent="0.2"/>
    <row r="586" s="78" customFormat="1" x14ac:dyDescent="0.2"/>
    <row r="587" s="78" customFormat="1" x14ac:dyDescent="0.2"/>
    <row r="588" s="78" customFormat="1" x14ac:dyDescent="0.2"/>
    <row r="589" s="78" customFormat="1" x14ac:dyDescent="0.2"/>
    <row r="590" s="78" customFormat="1" x14ac:dyDescent="0.2"/>
    <row r="591" s="78" customFormat="1" x14ac:dyDescent="0.2"/>
    <row r="592" s="78" customFormat="1" x14ac:dyDescent="0.2"/>
    <row r="593" s="78" customFormat="1" x14ac:dyDescent="0.2"/>
    <row r="594" s="78" customFormat="1" x14ac:dyDescent="0.2"/>
    <row r="595" s="78" customFormat="1" x14ac:dyDescent="0.2"/>
    <row r="596" s="78" customFormat="1" x14ac:dyDescent="0.2"/>
  </sheetData>
  <mergeCells count="56">
    <mergeCell ref="G62:H62"/>
    <mergeCell ref="A90:P90"/>
    <mergeCell ref="F35:G35"/>
    <mergeCell ref="D35:E35"/>
    <mergeCell ref="B35:C36"/>
    <mergeCell ref="D36:E36"/>
    <mergeCell ref="A35:A37"/>
    <mergeCell ref="F36:G36"/>
    <mergeCell ref="O62:P62"/>
    <mergeCell ref="L35:L37"/>
    <mergeCell ref="I62:J62"/>
    <mergeCell ref="B62:D62"/>
    <mergeCell ref="A1:F1"/>
    <mergeCell ref="A2:B2"/>
    <mergeCell ref="C2:D2"/>
    <mergeCell ref="E2:F2"/>
    <mergeCell ref="A3:B3"/>
    <mergeCell ref="C3:D3"/>
    <mergeCell ref="E3:F3"/>
    <mergeCell ref="A4:B4"/>
    <mergeCell ref="C4:D4"/>
    <mergeCell ref="E4:F4"/>
    <mergeCell ref="A8:A10"/>
    <mergeCell ref="D8:E8"/>
    <mergeCell ref="F8:G8"/>
    <mergeCell ref="B8:C9"/>
    <mergeCell ref="D9:E9"/>
    <mergeCell ref="F9:G9"/>
    <mergeCell ref="L8:L10"/>
    <mergeCell ref="A31:I31"/>
    <mergeCell ref="A58:I58"/>
    <mergeCell ref="A32:L32"/>
    <mergeCell ref="I9:I10"/>
    <mergeCell ref="H9:H10"/>
    <mergeCell ref="H35:I36"/>
    <mergeCell ref="H8:I8"/>
    <mergeCell ref="K8:K10"/>
    <mergeCell ref="J8:J10"/>
    <mergeCell ref="J35:J37"/>
    <mergeCell ref="K35:K37"/>
    <mergeCell ref="A121:B121"/>
    <mergeCell ref="A125:B125"/>
    <mergeCell ref="A59:L59"/>
    <mergeCell ref="K62:L62"/>
    <mergeCell ref="M62:N62"/>
    <mergeCell ref="A114:B114"/>
    <mergeCell ref="A100:B100"/>
    <mergeCell ref="A62:A63"/>
    <mergeCell ref="A92:C93"/>
    <mergeCell ref="A98:C98"/>
    <mergeCell ref="A111:C111"/>
    <mergeCell ref="A89:P89"/>
    <mergeCell ref="A119:B119"/>
    <mergeCell ref="A104:B104"/>
    <mergeCell ref="A106:C106"/>
    <mergeCell ref="E62:F62"/>
  </mergeCells>
  <phoneticPr fontId="10" type="noConversion"/>
  <conditionalFormatting sqref="Q69 Q81">
    <cfRule type="duplicateValues" dxfId="0" priority="2"/>
  </conditionalFormatting>
  <pageMargins left="0.7" right="0.7" top="0.75" bottom="0.75" header="0.3" footer="0.3"/>
  <pageSetup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CACFE-AB91-415D-93CD-4570A9EE8E69}">
  <sheetPr>
    <pageSetUpPr fitToPage="1"/>
  </sheetPr>
  <dimension ref="A1:BA508"/>
  <sheetViews>
    <sheetView workbookViewId="0">
      <selection sqref="A1:C1"/>
    </sheetView>
  </sheetViews>
  <sheetFormatPr defaultRowHeight="12.75" x14ac:dyDescent="0.2"/>
  <cols>
    <col min="1" max="1" width="14.85546875" customWidth="1"/>
    <col min="2" max="2" width="14.28515625" customWidth="1"/>
    <col min="3" max="3" width="16.140625" customWidth="1"/>
    <col min="4" max="4" width="14.28515625" customWidth="1"/>
    <col min="5" max="5" width="18" customWidth="1"/>
    <col min="6" max="6" width="15.7109375" customWidth="1"/>
    <col min="7" max="7" width="15.42578125" customWidth="1"/>
    <col min="8" max="9" width="15.140625" customWidth="1"/>
    <col min="10" max="10" width="20.85546875" customWidth="1"/>
    <col min="11" max="11" width="16.7109375" customWidth="1"/>
    <col min="12" max="12" width="15" customWidth="1"/>
    <col min="13" max="14" width="15.28515625" customWidth="1"/>
    <col min="15" max="16" width="17.28515625" bestFit="1" customWidth="1"/>
  </cols>
  <sheetData>
    <row r="1" spans="1:53" ht="18" customHeight="1" x14ac:dyDescent="0.2">
      <c r="A1" s="454" t="s">
        <v>124</v>
      </c>
      <c r="B1" s="469"/>
      <c r="C1" s="470"/>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row>
    <row r="2" spans="1:53" ht="29.45" customHeight="1" x14ac:dyDescent="0.2">
      <c r="A2" s="471" t="s">
        <v>125</v>
      </c>
      <c r="B2" s="472"/>
      <c r="C2" s="153">
        <f>I28</f>
        <v>12954083.600000001</v>
      </c>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row>
    <row r="3" spans="1:53" ht="33.75" customHeight="1" x14ac:dyDescent="0.2">
      <c r="A3" s="471" t="s">
        <v>126</v>
      </c>
      <c r="B3" s="472"/>
      <c r="C3" s="153">
        <f>J28</f>
        <v>4775261.4283619458</v>
      </c>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row>
    <row r="4" spans="1:53" x14ac:dyDescent="0.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row>
    <row r="5" spans="1:53" x14ac:dyDescent="0.2">
      <c r="A5" s="356" t="s">
        <v>127</v>
      </c>
      <c r="B5" s="368"/>
      <c r="C5" s="368"/>
      <c r="D5" s="368"/>
      <c r="E5" s="368"/>
      <c r="F5" s="368"/>
      <c r="G5" s="368"/>
      <c r="H5" s="368"/>
      <c r="I5" s="368"/>
      <c r="J5" s="368"/>
      <c r="K5" s="369"/>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row>
    <row r="6" spans="1:53" ht="12.75" customHeight="1" x14ac:dyDescent="0.2">
      <c r="A6" s="339" t="s">
        <v>37</v>
      </c>
      <c r="B6" s="343" t="s">
        <v>128</v>
      </c>
      <c r="C6" s="343"/>
      <c r="D6" s="329" t="s">
        <v>129</v>
      </c>
      <c r="E6" s="330"/>
      <c r="F6" s="331"/>
      <c r="G6" s="329" t="s">
        <v>130</v>
      </c>
      <c r="H6" s="330"/>
      <c r="I6" s="330"/>
      <c r="J6" s="331"/>
      <c r="K6" s="372" t="s">
        <v>214</v>
      </c>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row>
    <row r="7" spans="1:53" ht="61.5" customHeight="1" thickBot="1" x14ac:dyDescent="0.25">
      <c r="A7" s="340"/>
      <c r="B7" s="3" t="s">
        <v>89</v>
      </c>
      <c r="C7" s="3" t="s">
        <v>106</v>
      </c>
      <c r="D7" s="3" t="s">
        <v>131</v>
      </c>
      <c r="E7" s="3" t="s">
        <v>132</v>
      </c>
      <c r="F7" s="3" t="s">
        <v>133</v>
      </c>
      <c r="G7" s="3" t="s">
        <v>216</v>
      </c>
      <c r="H7" s="3" t="s">
        <v>134</v>
      </c>
      <c r="I7" s="3" t="s">
        <v>135</v>
      </c>
      <c r="J7" s="3" t="s">
        <v>136</v>
      </c>
      <c r="K7" s="45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row>
    <row r="8" spans="1:53" ht="13.5" thickTop="1" x14ac:dyDescent="0.2">
      <c r="A8" s="49">
        <v>2026</v>
      </c>
      <c r="B8" s="50">
        <f>'Travel Time'!H38</f>
        <v>7236117.6999999955</v>
      </c>
      <c r="C8" s="8">
        <f>'Travel Time'!I38</f>
        <v>2285089.7999999989</v>
      </c>
      <c r="D8" s="172">
        <f>ROUND($B8*$B$67+$C8*$B$68,0)/1000000</f>
        <v>10.915874000000001</v>
      </c>
      <c r="E8" s="173">
        <f t="shared" ref="E8:E27" si="0">ROUND($B8*$C$67+$C8*$C$68,0)/1000000</f>
        <v>0.27116400000000002</v>
      </c>
      <c r="F8" s="172">
        <f>ROUND($B8*$D$67+$C8*$D$68,0)/1000000</f>
        <v>34.614539999999998</v>
      </c>
      <c r="G8" s="165">
        <f>ROUND(D8*B38+E8*D38,0)</f>
        <v>404250</v>
      </c>
      <c r="H8" s="164">
        <f>ROUND(F8*E38,0)</f>
        <v>1973</v>
      </c>
      <c r="I8" s="165">
        <f>(G8+H8)*K8</f>
        <v>162489.20000000001</v>
      </c>
      <c r="J8" s="164">
        <f>G8*INDEX(NPV!$C$3:$C$42,MATCH('Environmental Protection'!$A8,NPV!$B$3:$B$42,0))+H8*INDEX(NPV!$D$3:$D$42,MATCH('Environmental Protection'!$A8,NPV!$B$3:$B$42,0))</f>
        <v>271021.20041626203</v>
      </c>
      <c r="K8" s="264">
        <f>'Travel Time'!L11</f>
        <v>0.4</v>
      </c>
      <c r="L8" s="63"/>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row>
    <row r="9" spans="1:53" x14ac:dyDescent="0.2">
      <c r="A9" s="49">
        <f>A8+1</f>
        <v>2027</v>
      </c>
      <c r="B9" s="50">
        <f>'Travel Time'!H39</f>
        <v>7359422</v>
      </c>
      <c r="C9" s="8">
        <f>'Travel Time'!I39</f>
        <v>2324028.0000000009</v>
      </c>
      <c r="D9" s="172">
        <f>ROUND($B9*$B$67+$C9*$B$68,0)/1000000</f>
        <v>11.101882</v>
      </c>
      <c r="E9" s="173">
        <f t="shared" si="0"/>
        <v>0.275785</v>
      </c>
      <c r="F9" s="172">
        <f t="shared" ref="F9:F27" si="1">ROUND($B9*$D$67+$C9*$D$68,0)/1000000</f>
        <v>35.204376000000003</v>
      </c>
      <c r="G9" s="165">
        <f t="shared" ref="G9:G26" si="2">ROUND(D9*B39+E9*D39,0)</f>
        <v>418027</v>
      </c>
      <c r="H9" s="164">
        <f t="shared" ref="H9:H26" si="3">ROUND(F9*E39,0)</f>
        <v>2042</v>
      </c>
      <c r="I9" s="165">
        <f>(G9+H9)*K9</f>
        <v>189031.05000000002</v>
      </c>
      <c r="J9" s="164">
        <f>G9*INDEX(NPV!$C$3:$C$42,MATCH('Environmental Protection'!$A9,NPV!$B$3:$B$42,0))+H9*INDEX(NPV!$D$3:$D$42,MATCH('Environmental Protection'!$A9,NPV!$B$3:$B$42,0))</f>
        <v>261986.5392169531</v>
      </c>
      <c r="K9" s="264">
        <f>'Travel Time'!L12</f>
        <v>0.45</v>
      </c>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row>
    <row r="10" spans="1:53" x14ac:dyDescent="0.2">
      <c r="A10" s="49">
        <f t="shared" ref="A10:A27" si="4">A9+1</f>
        <v>2028</v>
      </c>
      <c r="B10" s="50">
        <f>'Travel Time'!H40</f>
        <v>7484668.1000000052</v>
      </c>
      <c r="C10" s="8">
        <f>'Travel Time'!I40</f>
        <v>2363579.4000000004</v>
      </c>
      <c r="D10" s="172">
        <f t="shared" ref="D10:D27" si="5">ROUND($B10*$B$67+$C10*$B$68,0)/1000000</f>
        <v>11.290819000000001</v>
      </c>
      <c r="E10" s="173">
        <f t="shared" si="0"/>
        <v>0.28047800000000001</v>
      </c>
      <c r="F10" s="172">
        <f t="shared" si="1"/>
        <v>35.803500999999997</v>
      </c>
      <c r="G10" s="165">
        <f t="shared" si="2"/>
        <v>432230</v>
      </c>
      <c r="H10" s="164">
        <f t="shared" si="3"/>
        <v>2148</v>
      </c>
      <c r="I10" s="165">
        <f>(G10+H10)*K10</f>
        <v>217189</v>
      </c>
      <c r="J10" s="164">
        <f>G10*INDEX(NPV!$C$3:$C$42,MATCH('Environmental Protection'!$A10,NPV!$B$3:$B$42,0))+H10*INDEX(NPV!$D$3:$D$42,MATCH('Environmental Protection'!$A10,NPV!$B$3:$B$42,0))</f>
        <v>253257.44630145287</v>
      </c>
      <c r="K10" s="264">
        <f>'Travel Time'!L13</f>
        <v>0.5</v>
      </c>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row>
    <row r="11" spans="1:53" x14ac:dyDescent="0.2">
      <c r="A11" s="49">
        <f t="shared" si="4"/>
        <v>2029</v>
      </c>
      <c r="B11" s="50">
        <f>'Travel Time'!H41</f>
        <v>7611856</v>
      </c>
      <c r="C11" s="8">
        <f>'Travel Time'!I41</f>
        <v>2403743.9999999991</v>
      </c>
      <c r="D11" s="172">
        <f t="shared" si="5"/>
        <v>11.482685</v>
      </c>
      <c r="E11" s="173">
        <f t="shared" si="0"/>
        <v>0.285244</v>
      </c>
      <c r="F11" s="172">
        <f t="shared" si="1"/>
        <v>36.411914000000003</v>
      </c>
      <c r="G11" s="165">
        <f t="shared" si="2"/>
        <v>446842</v>
      </c>
      <c r="H11" s="164">
        <f t="shared" si="3"/>
        <v>2221</v>
      </c>
      <c r="I11" s="165">
        <f t="shared" ref="I11:I27" si="6">(G11+H11)*K11</f>
        <v>246984.65000000002</v>
      </c>
      <c r="J11" s="164">
        <f>G11*INDEX(NPV!$C$3:$C$42,MATCH('Environmental Protection'!$A11,NPV!$B$3:$B$42,0))+H11*INDEX(NPV!$D$3:$D$42,MATCH('Environmental Protection'!$A11,NPV!$B$3:$B$42,0))</f>
        <v>244754.6529663211</v>
      </c>
      <c r="K11" s="264">
        <f>'Travel Time'!L14</f>
        <v>0.55000000000000004</v>
      </c>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row>
    <row r="12" spans="1:53" x14ac:dyDescent="0.2">
      <c r="A12" s="49">
        <f t="shared" si="4"/>
        <v>2030</v>
      </c>
      <c r="B12" s="50">
        <f>'Travel Time'!H42</f>
        <v>7741471.1500000022</v>
      </c>
      <c r="C12" s="8">
        <f>'Travel Time'!I42</f>
        <v>2444675.1000000024</v>
      </c>
      <c r="D12" s="172">
        <f t="shared" si="5"/>
        <v>11.678213</v>
      </c>
      <c r="E12" s="173">
        <f t="shared" si="0"/>
        <v>0.290101</v>
      </c>
      <c r="F12" s="172">
        <f t="shared" si="1"/>
        <v>37.031937999999997</v>
      </c>
      <c r="G12" s="165">
        <f t="shared" si="2"/>
        <v>463067</v>
      </c>
      <c r="H12" s="164">
        <f t="shared" si="3"/>
        <v>2296</v>
      </c>
      <c r="I12" s="165">
        <f t="shared" si="6"/>
        <v>279217.80000000005</v>
      </c>
      <c r="J12" s="164">
        <f>G12*INDEX(NPV!$C$3:$C$42,MATCH('Environmental Protection'!$A12,NPV!$B$3:$B$42,0))+H12*INDEX(NPV!$D$3:$D$42,MATCH('Environmental Protection'!$A12,NPV!$B$3:$B$42,0))</f>
        <v>237108.22128955025</v>
      </c>
      <c r="K12" s="264">
        <f>'Travel Time'!L15</f>
        <v>0.60000000000000009</v>
      </c>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row>
    <row r="13" spans="1:53" x14ac:dyDescent="0.2">
      <c r="A13" s="49">
        <f t="shared" si="4"/>
        <v>2031</v>
      </c>
      <c r="B13" s="50">
        <f>'Travel Time'!H43</f>
        <v>7873270.8249999955</v>
      </c>
      <c r="C13" s="8">
        <f>'Travel Time'!I43</f>
        <v>2486296.0499999989</v>
      </c>
      <c r="D13" s="172">
        <f t="shared" si="5"/>
        <v>11.877036</v>
      </c>
      <c r="E13" s="173">
        <f t="shared" si="0"/>
        <v>0.29504000000000002</v>
      </c>
      <c r="F13" s="172">
        <f t="shared" si="1"/>
        <v>37.662413000000001</v>
      </c>
      <c r="G13" s="165">
        <f t="shared" si="2"/>
        <v>470951</v>
      </c>
      <c r="H13" s="164">
        <f t="shared" si="3"/>
        <v>2373</v>
      </c>
      <c r="I13" s="165">
        <f t="shared" si="6"/>
        <v>307660.60000000003</v>
      </c>
      <c r="J13" s="164">
        <f>G13*INDEX(NPV!$C$3:$C$42,MATCH('Environmental Protection'!$A13,NPV!$B$3:$B$42,0))+H13*INDEX(NPV!$D$3:$D$42,MATCH('Environmental Protection'!$A13,NPV!$B$3:$B$42,0))</f>
        <v>225459.73324089919</v>
      </c>
      <c r="K13" s="264">
        <f>'Travel Time'!L16</f>
        <v>0.65</v>
      </c>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row>
    <row r="14" spans="1:53" x14ac:dyDescent="0.2">
      <c r="A14" s="49">
        <f t="shared" si="4"/>
        <v>2032</v>
      </c>
      <c r="B14" s="50">
        <f>'Travel Time'!H44</f>
        <v>8007255.025000006</v>
      </c>
      <c r="C14" s="8">
        <f>'Travel Time'!I44</f>
        <v>2528606.8500000015</v>
      </c>
      <c r="D14" s="172">
        <f t="shared" si="5"/>
        <v>12.079155</v>
      </c>
      <c r="E14" s="173">
        <f t="shared" si="0"/>
        <v>0.30006100000000002</v>
      </c>
      <c r="F14" s="172">
        <f t="shared" si="1"/>
        <v>38.303336999999999</v>
      </c>
      <c r="G14" s="165">
        <f t="shared" si="2"/>
        <v>478966</v>
      </c>
      <c r="H14" s="164">
        <f t="shared" si="3"/>
        <v>2451</v>
      </c>
      <c r="I14" s="165">
        <f t="shared" si="6"/>
        <v>336991.9</v>
      </c>
      <c r="J14" s="164">
        <f>G14*INDEX(NPV!$C$3:$C$42,MATCH('Environmental Protection'!$A14,NPV!$B$3:$B$42,0))+H14*INDEX(NPV!$D$3:$D$42,MATCH('Environmental Protection'!$A14,NPV!$B$3:$B$42,0))</f>
        <v>214385.71415605099</v>
      </c>
      <c r="K14" s="264">
        <f>'Travel Time'!L17</f>
        <v>0.70000000000000007</v>
      </c>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row>
    <row r="15" spans="1:53" x14ac:dyDescent="0.2">
      <c r="A15" s="49">
        <f t="shared" si="4"/>
        <v>2033</v>
      </c>
      <c r="B15" s="50">
        <f>'Travel Time'!H45</f>
        <v>8143423.75</v>
      </c>
      <c r="C15" s="8">
        <f>'Travel Time'!I45</f>
        <v>2571607.5</v>
      </c>
      <c r="D15" s="172">
        <f t="shared" si="5"/>
        <v>12.284568999999999</v>
      </c>
      <c r="E15" s="173">
        <f t="shared" si="0"/>
        <v>0.30516399999999999</v>
      </c>
      <c r="F15" s="172">
        <f t="shared" si="1"/>
        <v>38.954709999999999</v>
      </c>
      <c r="G15" s="165">
        <f t="shared" si="2"/>
        <v>487111</v>
      </c>
      <c r="H15" s="164">
        <f t="shared" si="3"/>
        <v>2532</v>
      </c>
      <c r="I15" s="165">
        <f t="shared" si="6"/>
        <v>367232.25</v>
      </c>
      <c r="J15" s="164">
        <f>G15*INDEX(NPV!$C$3:$C$42,MATCH('Environmental Protection'!$A15,NPV!$B$3:$B$42,0))+H15*INDEX(NPV!$D$3:$D$42,MATCH('Environmental Protection'!$A15,NPV!$B$3:$B$42,0))</f>
        <v>203857.91596829618</v>
      </c>
      <c r="K15" s="264">
        <f>'Travel Time'!L18</f>
        <v>0.75</v>
      </c>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row>
    <row r="16" spans="1:53" x14ac:dyDescent="0.2">
      <c r="A16" s="49">
        <f t="shared" si="4"/>
        <v>2034</v>
      </c>
      <c r="B16" s="50">
        <f>'Travel Time'!H46</f>
        <v>8282019.7250000015</v>
      </c>
      <c r="C16" s="8">
        <f>'Travel Time'!I46</f>
        <v>2615374.6500000004</v>
      </c>
      <c r="D16" s="172">
        <f t="shared" si="5"/>
        <v>12.493645000000001</v>
      </c>
      <c r="E16" s="173">
        <f t="shared" si="0"/>
        <v>0.31035800000000002</v>
      </c>
      <c r="F16" s="172">
        <f t="shared" si="1"/>
        <v>39.617694999999998</v>
      </c>
      <c r="G16" s="165">
        <f t="shared" si="2"/>
        <v>495402</v>
      </c>
      <c r="H16" s="164">
        <f t="shared" si="3"/>
        <v>2615</v>
      </c>
      <c r="I16" s="165">
        <f t="shared" si="6"/>
        <v>398413.60000000003</v>
      </c>
      <c r="J16" s="164">
        <f>G16*INDEX(NPV!$C$3:$C$42,MATCH('Environmental Protection'!$A16,NPV!$B$3:$B$42,0))+H16*INDEX(NPV!$D$3:$D$42,MATCH('Environmental Protection'!$A16,NPV!$B$3:$B$42,0))</f>
        <v>193854.25989668048</v>
      </c>
      <c r="K16" s="264">
        <f>'Travel Time'!L19</f>
        <v>0.8</v>
      </c>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row>
    <row r="17" spans="1:53" x14ac:dyDescent="0.2">
      <c r="A17" s="49">
        <f t="shared" si="4"/>
        <v>2035</v>
      </c>
      <c r="B17" s="50">
        <f>'Travel Time'!H47</f>
        <v>8423042.9499999955</v>
      </c>
      <c r="C17" s="8">
        <f>'Travel Time'!I47</f>
        <v>2659908.2999999998</v>
      </c>
      <c r="D17" s="172">
        <f t="shared" si="5"/>
        <v>12.706382</v>
      </c>
      <c r="E17" s="173">
        <f t="shared" si="0"/>
        <v>0.31564199999999998</v>
      </c>
      <c r="F17" s="172">
        <f t="shared" si="1"/>
        <v>40.292290999999999</v>
      </c>
      <c r="G17" s="165">
        <f t="shared" si="2"/>
        <v>503837</v>
      </c>
      <c r="H17" s="164">
        <f t="shared" si="3"/>
        <v>2700</v>
      </c>
      <c r="I17" s="165">
        <f t="shared" si="6"/>
        <v>430556.45000000007</v>
      </c>
      <c r="J17" s="164">
        <f>G17*INDEX(NPV!$C$3:$C$42,MATCH('Environmental Protection'!$A17,NPV!$B$3:$B$42,0))+H17*INDEX(NPV!$D$3:$D$42,MATCH('Environmental Protection'!$A17,NPV!$B$3:$B$42,0))</f>
        <v>184346.74245651872</v>
      </c>
      <c r="K17" s="264">
        <f>'Travel Time'!L20</f>
        <v>0.85000000000000009</v>
      </c>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row>
    <row r="18" spans="1:53" x14ac:dyDescent="0.2">
      <c r="A18" s="49">
        <f t="shared" si="4"/>
        <v>2036</v>
      </c>
      <c r="B18" s="50">
        <f>'Travel Time'!H48</f>
        <v>8566493.424999997</v>
      </c>
      <c r="C18" s="8">
        <f>'Travel Time'!I48</f>
        <v>2705208.4500000011</v>
      </c>
      <c r="D18" s="172">
        <f t="shared" si="5"/>
        <v>12.922781000000001</v>
      </c>
      <c r="E18" s="173">
        <f t="shared" si="0"/>
        <v>0.32101800000000003</v>
      </c>
      <c r="F18" s="172">
        <f t="shared" si="1"/>
        <v>40.978498000000002</v>
      </c>
      <c r="G18" s="165">
        <f t="shared" si="2"/>
        <v>512418</v>
      </c>
      <c r="H18" s="164">
        <f t="shared" si="3"/>
        <v>2828</v>
      </c>
      <c r="I18" s="165">
        <f t="shared" si="6"/>
        <v>463721.4</v>
      </c>
      <c r="J18" s="164">
        <f>G18*INDEX(NPV!$C$3:$C$42,MATCH('Environmental Protection'!$A18,NPV!$B$3:$B$42,0))+H18*INDEX(NPV!$D$3:$D$42,MATCH('Environmental Protection'!$A18,NPV!$B$3:$B$42,0))</f>
        <v>175336.02123785159</v>
      </c>
      <c r="K18" s="264">
        <f>'Travel Time'!L21</f>
        <v>0.9</v>
      </c>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row>
    <row r="19" spans="1:53" x14ac:dyDescent="0.2">
      <c r="A19" s="49">
        <f t="shared" si="4"/>
        <v>2037</v>
      </c>
      <c r="B19" s="50">
        <f>'Travel Time'!H49</f>
        <v>8712128.424999997</v>
      </c>
      <c r="C19" s="8">
        <f>'Travel Time'!I49</f>
        <v>2751198.4499999993</v>
      </c>
      <c r="D19" s="172">
        <f t="shared" si="5"/>
        <v>13.142474999999999</v>
      </c>
      <c r="E19" s="173">
        <f t="shared" si="0"/>
        <v>0.32647599999999999</v>
      </c>
      <c r="F19" s="172">
        <f t="shared" si="1"/>
        <v>41.675153999999999</v>
      </c>
      <c r="G19" s="165">
        <f t="shared" si="2"/>
        <v>521129</v>
      </c>
      <c r="H19" s="164">
        <f t="shared" si="3"/>
        <v>2917</v>
      </c>
      <c r="I19" s="165">
        <f t="shared" si="6"/>
        <v>497843.7</v>
      </c>
      <c r="J19" s="164">
        <f>G19*INDEX(NPV!$C$3:$C$42,MATCH('Environmental Protection'!$A19,NPV!$B$3:$B$42,0))+H19*INDEX(NPV!$D$3:$D$42,MATCH('Environmental Protection'!$A19,NPV!$B$3:$B$42,0))</f>
        <v>166740.92850070048</v>
      </c>
      <c r="K19" s="264">
        <f>'Travel Time'!L22</f>
        <v>0.95000000000000007</v>
      </c>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row>
    <row r="20" spans="1:53" x14ac:dyDescent="0.2">
      <c r="A20" s="49">
        <f t="shared" si="4"/>
        <v>2038</v>
      </c>
      <c r="B20" s="50">
        <f>'Travel Time'!H50</f>
        <v>17720866.799999997</v>
      </c>
      <c r="C20" s="8">
        <f>'Travel Time'!I50</f>
        <v>5596063.1999999993</v>
      </c>
      <c r="D20" s="172">
        <f t="shared" si="5"/>
        <v>26.732393999999999</v>
      </c>
      <c r="E20" s="173">
        <f t="shared" si="0"/>
        <v>0.66406600000000005</v>
      </c>
      <c r="F20" s="172">
        <f t="shared" si="1"/>
        <v>84.769165000000001</v>
      </c>
      <c r="G20" s="165">
        <f t="shared" si="2"/>
        <v>1060000</v>
      </c>
      <c r="H20" s="164">
        <f t="shared" si="3"/>
        <v>6019</v>
      </c>
      <c r="I20" s="165">
        <f t="shared" si="6"/>
        <v>1066019</v>
      </c>
      <c r="J20" s="164">
        <f>G20*INDEX(NPV!$C$3:$C$42,MATCH('Environmental Protection'!$A20,NPV!$B$3:$B$42,0))+H20*INDEX(NPV!$D$3:$D$42,MATCH('Environmental Protection'!$A20,NPV!$B$3:$B$42,0))</f>
        <v>317151.27944413654</v>
      </c>
      <c r="K20" s="264">
        <f>'Travel Time'!L23</f>
        <v>1</v>
      </c>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row>
    <row r="21" spans="1:53" x14ac:dyDescent="0.2">
      <c r="A21" s="49">
        <f t="shared" si="4"/>
        <v>2039</v>
      </c>
      <c r="B21" s="50">
        <f>'Travel Time'!H51</f>
        <v>18022816.699999996</v>
      </c>
      <c r="C21" s="8">
        <f>'Travel Time'!I51</f>
        <v>5691415.7999999989</v>
      </c>
      <c r="D21" s="172">
        <f t="shared" si="5"/>
        <v>27.187892999999999</v>
      </c>
      <c r="E21" s="173">
        <f t="shared" si="0"/>
        <v>0.67538100000000001</v>
      </c>
      <c r="F21" s="172">
        <f t="shared" si="1"/>
        <v>86.213566999999998</v>
      </c>
      <c r="G21" s="165">
        <f t="shared" si="2"/>
        <v>1078061</v>
      </c>
      <c r="H21" s="164">
        <f t="shared" si="3"/>
        <v>6207</v>
      </c>
      <c r="I21" s="165">
        <f t="shared" si="6"/>
        <v>1084268</v>
      </c>
      <c r="J21" s="164">
        <f>G21*INDEX(NPV!$C$3:$C$42,MATCH('Environmental Protection'!$A21,NPV!$B$3:$B$42,0))+H21*INDEX(NPV!$D$3:$D$42,MATCH('Environmental Protection'!$A21,NPV!$B$3:$B$42,0))</f>
        <v>301632.61536242027</v>
      </c>
      <c r="K21" s="264">
        <f>'Travel Time'!L24</f>
        <v>1</v>
      </c>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row>
    <row r="22" spans="1:53" x14ac:dyDescent="0.2">
      <c r="A22" s="49">
        <f t="shared" si="4"/>
        <v>2040</v>
      </c>
      <c r="B22" s="50">
        <f>'Travel Time'!H52</f>
        <v>18329135.649999999</v>
      </c>
      <c r="C22" s="8">
        <f>'Travel Time'!I52</f>
        <v>5788148.0999999996</v>
      </c>
      <c r="D22" s="172">
        <f t="shared" si="5"/>
        <v>27.649982999999999</v>
      </c>
      <c r="E22" s="173">
        <f t="shared" si="0"/>
        <v>0.68686000000000003</v>
      </c>
      <c r="F22" s="172">
        <f t="shared" si="1"/>
        <v>87.678866999999997</v>
      </c>
      <c r="G22" s="165">
        <f t="shared" si="2"/>
        <v>1096384</v>
      </c>
      <c r="H22" s="164">
        <f t="shared" si="3"/>
        <v>6401</v>
      </c>
      <c r="I22" s="165">
        <f t="shared" si="6"/>
        <v>1102785</v>
      </c>
      <c r="J22" s="164">
        <f>G22*INDEX(NPV!$C$3:$C$42,MATCH('Environmental Protection'!$A22,NPV!$B$3:$B$42,0))+H22*INDEX(NPV!$D$3:$D$42,MATCH('Environmental Protection'!$A22,NPV!$B$3:$B$42,0))</f>
        <v>286870.53848362732</v>
      </c>
      <c r="K22" s="264">
        <f>'Travel Time'!L25</f>
        <v>1</v>
      </c>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row>
    <row r="23" spans="1:53" x14ac:dyDescent="0.2">
      <c r="A23" s="49">
        <f t="shared" si="4"/>
        <v>2041</v>
      </c>
      <c r="B23" s="50">
        <f>'Travel Time'!H53</f>
        <v>18641280</v>
      </c>
      <c r="C23" s="8">
        <f>'Travel Time'!I53</f>
        <v>5886720</v>
      </c>
      <c r="D23" s="172">
        <f t="shared" si="5"/>
        <v>28.120861000000001</v>
      </c>
      <c r="E23" s="173">
        <f t="shared" si="0"/>
        <v>0.69855699999999998</v>
      </c>
      <c r="F23" s="172">
        <f t="shared" si="1"/>
        <v>89.172034999999994</v>
      </c>
      <c r="G23" s="165">
        <f t="shared" si="2"/>
        <v>1115056</v>
      </c>
      <c r="H23" s="164">
        <f t="shared" si="3"/>
        <v>6599</v>
      </c>
      <c r="I23" s="165">
        <f t="shared" si="6"/>
        <v>1121655</v>
      </c>
      <c r="J23" s="164">
        <f>G23*INDEX(NPV!$C$3:$C$42,MATCH('Environmental Protection'!$A23,NPV!$B$3:$B$42,0))+H23*INDEX(NPV!$D$3:$D$42,MATCH('Environmental Protection'!$A23,NPV!$B$3:$B$42,0))</f>
        <v>272847.90412183717</v>
      </c>
      <c r="K23" s="264">
        <f>'Travel Time'!L26</f>
        <v>1</v>
      </c>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row>
    <row r="24" spans="1:53" x14ac:dyDescent="0.2">
      <c r="A24" s="49">
        <f t="shared" si="4"/>
        <v>2042</v>
      </c>
      <c r="B24" s="50">
        <f>'Travel Time'!H54</f>
        <v>18958764.299999997</v>
      </c>
      <c r="C24" s="8">
        <f>'Travel Time'!I54</f>
        <v>5986978.1999999993</v>
      </c>
      <c r="D24" s="172">
        <f t="shared" si="5"/>
        <v>28.599795</v>
      </c>
      <c r="E24" s="173">
        <f t="shared" si="0"/>
        <v>0.71045499999999995</v>
      </c>
      <c r="F24" s="172">
        <f t="shared" si="1"/>
        <v>90.690746000000004</v>
      </c>
      <c r="G24" s="165">
        <f t="shared" si="2"/>
        <v>1134047</v>
      </c>
      <c r="H24" s="164">
        <f t="shared" si="3"/>
        <v>6802</v>
      </c>
      <c r="I24" s="165">
        <f t="shared" si="6"/>
        <v>1140849</v>
      </c>
      <c r="J24" s="164">
        <f>G24*INDEX(NPV!$C$3:$C$42,MATCH('Environmental Protection'!$A24,NPV!$B$3:$B$42,0))+H24*INDEX(NPV!$D$3:$D$42,MATCH('Environmental Protection'!$A24,NPV!$B$3:$B$42,0))</f>
        <v>259519.25062318027</v>
      </c>
      <c r="K24" s="264">
        <f>'Travel Time'!L27</f>
        <v>1</v>
      </c>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row>
    <row r="25" spans="1:53" x14ac:dyDescent="0.2">
      <c r="A25" s="49">
        <f t="shared" si="4"/>
        <v>2043</v>
      </c>
      <c r="B25" s="50">
        <f>'Travel Time'!H55</f>
        <v>19281103.100000001</v>
      </c>
      <c r="C25" s="8">
        <f>'Travel Time'!I55</f>
        <v>6088769.4000000004</v>
      </c>
      <c r="D25" s="172">
        <f t="shared" si="5"/>
        <v>29.086051000000001</v>
      </c>
      <c r="E25" s="173">
        <f t="shared" si="0"/>
        <v>0.72253400000000001</v>
      </c>
      <c r="F25" s="172">
        <f t="shared" si="1"/>
        <v>92.232679000000005</v>
      </c>
      <c r="G25" s="165">
        <f t="shared" si="2"/>
        <v>1153328</v>
      </c>
      <c r="H25" s="164">
        <f t="shared" si="3"/>
        <v>7102</v>
      </c>
      <c r="I25" s="165">
        <f t="shared" si="6"/>
        <v>1160430</v>
      </c>
      <c r="J25" s="164">
        <f>G25*INDEX(NPV!$C$3:$C$42,MATCH('Environmental Protection'!$A25,NPV!$B$3:$B$42,0))+H25*INDEX(NPV!$D$3:$D$42,MATCH('Environmental Protection'!$A25,NPV!$B$3:$B$42,0))</f>
        <v>246889.47187211449</v>
      </c>
      <c r="K25" s="264">
        <f>'Travel Time'!L28</f>
        <v>1</v>
      </c>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row>
    <row r="26" spans="1:53" x14ac:dyDescent="0.2">
      <c r="A26" s="49">
        <f t="shared" si="4"/>
        <v>2044</v>
      </c>
      <c r="B26" s="50">
        <f>'Travel Time'!H56</f>
        <v>19609267.300000001</v>
      </c>
      <c r="C26" s="8">
        <f>'Travel Time'!I56</f>
        <v>6192400.2000000011</v>
      </c>
      <c r="D26" s="172">
        <f t="shared" si="5"/>
        <v>29.581095999999999</v>
      </c>
      <c r="E26" s="173">
        <f t="shared" si="0"/>
        <v>0.73483100000000001</v>
      </c>
      <c r="F26" s="172">
        <f t="shared" si="1"/>
        <v>93.802477999999994</v>
      </c>
      <c r="G26" s="165">
        <f t="shared" si="2"/>
        <v>1172957</v>
      </c>
      <c r="H26" s="164">
        <f t="shared" si="3"/>
        <v>7317</v>
      </c>
      <c r="I26" s="165">
        <f t="shared" si="6"/>
        <v>1180274</v>
      </c>
      <c r="J26" s="164">
        <f>G26*INDEX(NPV!$C$3:$C$42,MATCH('Environmental Protection'!$A26,NPV!$B$3:$B$42,0))+H26*INDEX(NPV!$D$3:$D$42,MATCH('Environmental Protection'!$A26,NPV!$B$3:$B$42,0))</f>
        <v>234843.98704407652</v>
      </c>
      <c r="K26" s="264">
        <f>'Travel Time'!L29</f>
        <v>1</v>
      </c>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row>
    <row r="27" spans="1:53" ht="13.5" thickBot="1" x14ac:dyDescent="0.25">
      <c r="A27" s="143">
        <f t="shared" si="4"/>
        <v>2045</v>
      </c>
      <c r="B27" s="196">
        <f>'Travel Time'!H57</f>
        <v>19943256.899999999</v>
      </c>
      <c r="C27" s="31">
        <f>'Travel Time'!I57</f>
        <v>6297870.6000000015</v>
      </c>
      <c r="D27" s="180">
        <f t="shared" si="5"/>
        <v>30.084928000000001</v>
      </c>
      <c r="E27" s="181">
        <f t="shared" si="0"/>
        <v>0.74734699999999998</v>
      </c>
      <c r="F27" s="180">
        <f t="shared" si="1"/>
        <v>95.400143999999997</v>
      </c>
      <c r="G27" s="182">
        <f>ROUND(D27*B57+E27*D57,0)</f>
        <v>1192935</v>
      </c>
      <c r="H27" s="183">
        <f>ROUND(F27*E57,0)</f>
        <v>7537</v>
      </c>
      <c r="I27" s="182">
        <f t="shared" si="6"/>
        <v>1200472</v>
      </c>
      <c r="J27" s="183">
        <f>G27*INDEX(NPV!$C$3:$C$42,MATCH('Environmental Protection'!$A27,NPV!$B$3:$B$42,0))+H27*INDEX(NPV!$D$3:$D$42,MATCH('Environmental Protection'!$A27,NPV!$B$3:$B$42,0))</f>
        <v>223397.00576301801</v>
      </c>
      <c r="K27" s="265">
        <f>'Travel Time'!L30</f>
        <v>1</v>
      </c>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row>
    <row r="28" spans="1:53" ht="16.5" customHeight="1" thickTop="1" x14ac:dyDescent="0.2">
      <c r="A28" s="462" t="s">
        <v>16</v>
      </c>
      <c r="B28" s="463"/>
      <c r="C28" s="463"/>
      <c r="D28" s="463"/>
      <c r="E28" s="463"/>
      <c r="F28" s="464"/>
      <c r="G28" s="178">
        <f>SUM(G8:G27)</f>
        <v>14636998</v>
      </c>
      <c r="H28" s="179">
        <f>SUM(H8:H27)</f>
        <v>83080</v>
      </c>
      <c r="I28" s="178">
        <f>SUM(I8:I27)</f>
        <v>12954083.600000001</v>
      </c>
      <c r="J28" s="179">
        <f>SUM(J8:J27)</f>
        <v>4775261.4283619458</v>
      </c>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row>
    <row r="29" spans="1:53" x14ac:dyDescent="0.2">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row>
    <row r="30" spans="1:53" x14ac:dyDescent="0.2">
      <c r="A30" s="356" t="s">
        <v>137</v>
      </c>
      <c r="B30" s="368"/>
      <c r="C30" s="368"/>
      <c r="D30" s="368"/>
      <c r="E30" s="369"/>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row>
    <row r="31" spans="1:53" x14ac:dyDescent="0.2">
      <c r="A31" s="465" t="s">
        <v>37</v>
      </c>
      <c r="B31" s="356" t="s">
        <v>138</v>
      </c>
      <c r="C31" s="368"/>
      <c r="D31" s="368"/>
      <c r="E31" s="369"/>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row>
    <row r="32" spans="1:53" x14ac:dyDescent="0.2">
      <c r="A32" s="382"/>
      <c r="B32" s="7" t="s">
        <v>217</v>
      </c>
      <c r="C32" s="169" t="s">
        <v>139</v>
      </c>
      <c r="D32" s="169" t="s">
        <v>140</v>
      </c>
      <c r="E32" s="169" t="s">
        <v>134</v>
      </c>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row>
    <row r="33" spans="1:53" x14ac:dyDescent="0.2">
      <c r="A33" s="142">
        <v>2021</v>
      </c>
      <c r="B33" s="170">
        <v>15600</v>
      </c>
      <c r="C33" s="176">
        <v>41500</v>
      </c>
      <c r="D33" s="170">
        <v>748600</v>
      </c>
      <c r="E33" s="176">
        <v>52</v>
      </c>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row>
    <row r="34" spans="1:53" x14ac:dyDescent="0.2">
      <c r="A34" s="142">
        <f>A33+1</f>
        <v>2022</v>
      </c>
      <c r="B34" s="170">
        <v>15800</v>
      </c>
      <c r="C34" s="176">
        <v>42300</v>
      </c>
      <c r="D34" s="170">
        <v>761600</v>
      </c>
      <c r="E34" s="176">
        <v>53</v>
      </c>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row>
    <row r="35" spans="1:53" x14ac:dyDescent="0.2">
      <c r="A35" s="142">
        <f t="shared" ref="A35:A62" si="7">A34+1</f>
        <v>2023</v>
      </c>
      <c r="B35" s="170">
        <v>16000</v>
      </c>
      <c r="C35" s="176">
        <v>43100</v>
      </c>
      <c r="D35" s="170">
        <v>774700</v>
      </c>
      <c r="E35" s="176">
        <v>54</v>
      </c>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row>
    <row r="36" spans="1:53" x14ac:dyDescent="0.2">
      <c r="A36" s="142">
        <f t="shared" si="7"/>
        <v>2024</v>
      </c>
      <c r="B36" s="170">
        <v>16200</v>
      </c>
      <c r="C36" s="176">
        <v>44000</v>
      </c>
      <c r="D36" s="170">
        <v>788100</v>
      </c>
      <c r="E36" s="176">
        <v>55</v>
      </c>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row>
    <row r="37" spans="1:53" x14ac:dyDescent="0.2">
      <c r="A37" s="142">
        <f t="shared" si="7"/>
        <v>2025</v>
      </c>
      <c r="B37" s="170">
        <v>16500</v>
      </c>
      <c r="C37" s="176">
        <v>44900</v>
      </c>
      <c r="D37" s="170">
        <v>801700</v>
      </c>
      <c r="E37" s="176">
        <v>56</v>
      </c>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row>
    <row r="38" spans="1:53" x14ac:dyDescent="0.2">
      <c r="A38" s="142">
        <f t="shared" si="7"/>
        <v>2026</v>
      </c>
      <c r="B38" s="170">
        <v>16800</v>
      </c>
      <c r="C38" s="176">
        <v>45700</v>
      </c>
      <c r="D38" s="170">
        <v>814500</v>
      </c>
      <c r="E38" s="176">
        <v>57</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row>
    <row r="39" spans="1:53" x14ac:dyDescent="0.2">
      <c r="A39" s="142">
        <f t="shared" si="7"/>
        <v>2027</v>
      </c>
      <c r="B39" s="170">
        <v>17100</v>
      </c>
      <c r="C39" s="176">
        <v>46500</v>
      </c>
      <c r="D39" s="170">
        <v>827400</v>
      </c>
      <c r="E39" s="176">
        <v>58</v>
      </c>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row>
    <row r="40" spans="1:53" x14ac:dyDescent="0.2">
      <c r="A40" s="142">
        <f t="shared" si="7"/>
        <v>2028</v>
      </c>
      <c r="B40" s="170">
        <v>17400</v>
      </c>
      <c r="C40" s="176">
        <v>47300</v>
      </c>
      <c r="D40" s="170">
        <v>840600</v>
      </c>
      <c r="E40" s="176">
        <v>60</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row>
    <row r="41" spans="1:53" x14ac:dyDescent="0.2">
      <c r="A41" s="142">
        <f t="shared" si="7"/>
        <v>2029</v>
      </c>
      <c r="B41" s="170">
        <v>17700</v>
      </c>
      <c r="C41" s="176">
        <v>48200</v>
      </c>
      <c r="D41" s="170">
        <v>854000</v>
      </c>
      <c r="E41" s="176">
        <v>61</v>
      </c>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row>
    <row r="42" spans="1:53" x14ac:dyDescent="0.2">
      <c r="A42" s="142">
        <f t="shared" si="7"/>
        <v>2030</v>
      </c>
      <c r="B42" s="170">
        <v>18100</v>
      </c>
      <c r="C42" s="176">
        <v>49100</v>
      </c>
      <c r="D42" s="170">
        <v>867600</v>
      </c>
      <c r="E42" s="176">
        <v>62</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row>
    <row r="43" spans="1:53" x14ac:dyDescent="0.2">
      <c r="A43" s="142">
        <f t="shared" si="7"/>
        <v>2031</v>
      </c>
      <c r="B43" s="170">
        <v>18100</v>
      </c>
      <c r="C43" s="176">
        <v>49100</v>
      </c>
      <c r="D43" s="170">
        <v>867600</v>
      </c>
      <c r="E43" s="176">
        <v>63</v>
      </c>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row>
    <row r="44" spans="1:53" x14ac:dyDescent="0.2">
      <c r="A44" s="142">
        <f t="shared" si="7"/>
        <v>2032</v>
      </c>
      <c r="B44" s="170">
        <v>18100</v>
      </c>
      <c r="C44" s="176">
        <v>49100</v>
      </c>
      <c r="D44" s="170">
        <v>867600</v>
      </c>
      <c r="E44" s="176">
        <v>64</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row>
    <row r="45" spans="1:53" x14ac:dyDescent="0.2">
      <c r="A45" s="142">
        <f t="shared" si="7"/>
        <v>2033</v>
      </c>
      <c r="B45" s="170">
        <v>18100</v>
      </c>
      <c r="C45" s="176">
        <v>49100</v>
      </c>
      <c r="D45" s="170">
        <v>867600</v>
      </c>
      <c r="E45" s="176">
        <v>65</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row>
    <row r="46" spans="1:53" x14ac:dyDescent="0.2">
      <c r="A46" s="142">
        <f t="shared" si="7"/>
        <v>2034</v>
      </c>
      <c r="B46" s="170">
        <v>18100</v>
      </c>
      <c r="C46" s="176">
        <v>49100</v>
      </c>
      <c r="D46" s="170">
        <v>867600</v>
      </c>
      <c r="E46" s="176">
        <v>66</v>
      </c>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row>
    <row r="47" spans="1:53" x14ac:dyDescent="0.2">
      <c r="A47" s="142">
        <f t="shared" si="7"/>
        <v>2035</v>
      </c>
      <c r="B47" s="170">
        <v>18100</v>
      </c>
      <c r="C47" s="176">
        <v>49100</v>
      </c>
      <c r="D47" s="170">
        <v>867600</v>
      </c>
      <c r="E47" s="176">
        <v>67</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row>
    <row r="48" spans="1:53" x14ac:dyDescent="0.2">
      <c r="A48" s="142">
        <f t="shared" si="7"/>
        <v>2036</v>
      </c>
      <c r="B48" s="170">
        <v>18100</v>
      </c>
      <c r="C48" s="176">
        <v>49100</v>
      </c>
      <c r="D48" s="170">
        <v>867600</v>
      </c>
      <c r="E48" s="176">
        <v>69</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row>
    <row r="49" spans="1:53" x14ac:dyDescent="0.2">
      <c r="A49" s="142">
        <f t="shared" si="7"/>
        <v>2037</v>
      </c>
      <c r="B49" s="170">
        <v>18100</v>
      </c>
      <c r="C49" s="176">
        <v>49100</v>
      </c>
      <c r="D49" s="170">
        <v>867600</v>
      </c>
      <c r="E49" s="176">
        <v>70</v>
      </c>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row>
    <row r="50" spans="1:53" x14ac:dyDescent="0.2">
      <c r="A50" s="142">
        <f t="shared" si="7"/>
        <v>2038</v>
      </c>
      <c r="B50" s="170">
        <v>18100</v>
      </c>
      <c r="C50" s="176">
        <v>49100</v>
      </c>
      <c r="D50" s="170">
        <v>867600</v>
      </c>
      <c r="E50" s="176">
        <v>71</v>
      </c>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row>
    <row r="51" spans="1:53" x14ac:dyDescent="0.2">
      <c r="A51" s="142">
        <f t="shared" si="7"/>
        <v>2039</v>
      </c>
      <c r="B51" s="170">
        <v>18100</v>
      </c>
      <c r="C51" s="176">
        <v>49100</v>
      </c>
      <c r="D51" s="170">
        <v>867600</v>
      </c>
      <c r="E51" s="176">
        <v>72</v>
      </c>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row>
    <row r="52" spans="1:53" x14ac:dyDescent="0.2">
      <c r="A52" s="142">
        <f t="shared" si="7"/>
        <v>2040</v>
      </c>
      <c r="B52" s="170">
        <v>18100</v>
      </c>
      <c r="C52" s="176">
        <v>49100</v>
      </c>
      <c r="D52" s="170">
        <v>867600</v>
      </c>
      <c r="E52" s="176">
        <v>73</v>
      </c>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row>
    <row r="53" spans="1:53" x14ac:dyDescent="0.2">
      <c r="A53" s="142">
        <f t="shared" si="7"/>
        <v>2041</v>
      </c>
      <c r="B53" s="170">
        <v>18100</v>
      </c>
      <c r="C53" s="176">
        <v>49100</v>
      </c>
      <c r="D53" s="170">
        <v>867600</v>
      </c>
      <c r="E53" s="176">
        <v>74</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row>
    <row r="54" spans="1:53" x14ac:dyDescent="0.2">
      <c r="A54" s="142">
        <f t="shared" si="7"/>
        <v>2042</v>
      </c>
      <c r="B54" s="170">
        <v>18100</v>
      </c>
      <c r="C54" s="176">
        <v>49100</v>
      </c>
      <c r="D54" s="170">
        <v>867600</v>
      </c>
      <c r="E54" s="176">
        <v>75</v>
      </c>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row>
    <row r="55" spans="1:53" x14ac:dyDescent="0.2">
      <c r="A55" s="142">
        <f t="shared" si="7"/>
        <v>2043</v>
      </c>
      <c r="B55" s="170">
        <v>18100</v>
      </c>
      <c r="C55" s="176">
        <v>49100</v>
      </c>
      <c r="D55" s="170">
        <v>867600</v>
      </c>
      <c r="E55" s="176">
        <v>77</v>
      </c>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row>
    <row r="56" spans="1:53" x14ac:dyDescent="0.2">
      <c r="A56" s="142">
        <f t="shared" si="7"/>
        <v>2044</v>
      </c>
      <c r="B56" s="170">
        <v>18100</v>
      </c>
      <c r="C56" s="176">
        <v>49100</v>
      </c>
      <c r="D56" s="170">
        <v>867600</v>
      </c>
      <c r="E56" s="176">
        <v>78</v>
      </c>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row>
    <row r="57" spans="1:53" x14ac:dyDescent="0.2">
      <c r="A57" s="142">
        <f t="shared" si="7"/>
        <v>2045</v>
      </c>
      <c r="B57" s="170">
        <v>18100</v>
      </c>
      <c r="C57" s="176">
        <v>49100</v>
      </c>
      <c r="D57" s="170">
        <v>867600</v>
      </c>
      <c r="E57" s="176">
        <v>79</v>
      </c>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row>
    <row r="58" spans="1:53" x14ac:dyDescent="0.2">
      <c r="A58" s="142">
        <f t="shared" si="7"/>
        <v>2046</v>
      </c>
      <c r="B58" s="170">
        <v>18100</v>
      </c>
      <c r="C58" s="176">
        <v>49100</v>
      </c>
      <c r="D58" s="170">
        <v>867600</v>
      </c>
      <c r="E58" s="176">
        <v>80</v>
      </c>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row>
    <row r="59" spans="1:53" x14ac:dyDescent="0.2">
      <c r="A59" s="142">
        <f t="shared" si="7"/>
        <v>2047</v>
      </c>
      <c r="B59" s="170">
        <v>18100</v>
      </c>
      <c r="C59" s="176">
        <v>49100</v>
      </c>
      <c r="D59" s="170">
        <v>867600</v>
      </c>
      <c r="E59" s="176">
        <v>81</v>
      </c>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row>
    <row r="60" spans="1:53" x14ac:dyDescent="0.2">
      <c r="A60" s="142">
        <f t="shared" si="7"/>
        <v>2048</v>
      </c>
      <c r="B60" s="170">
        <v>18100</v>
      </c>
      <c r="C60" s="176">
        <v>49100</v>
      </c>
      <c r="D60" s="170">
        <v>867600</v>
      </c>
      <c r="E60" s="176">
        <v>82</v>
      </c>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row>
    <row r="61" spans="1:53" x14ac:dyDescent="0.2">
      <c r="A61" s="142">
        <f t="shared" si="7"/>
        <v>2049</v>
      </c>
      <c r="B61" s="170">
        <v>18100</v>
      </c>
      <c r="C61" s="176">
        <v>49100</v>
      </c>
      <c r="D61" s="170">
        <v>867600</v>
      </c>
      <c r="E61" s="176">
        <v>83</v>
      </c>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row>
    <row r="62" spans="1:53" x14ac:dyDescent="0.2">
      <c r="A62" s="175">
        <f t="shared" si="7"/>
        <v>2050</v>
      </c>
      <c r="B62" s="171">
        <v>18100</v>
      </c>
      <c r="C62" s="177">
        <v>49100</v>
      </c>
      <c r="D62" s="171">
        <v>867600</v>
      </c>
      <c r="E62" s="177">
        <v>85</v>
      </c>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row>
    <row r="63" spans="1:53" x14ac:dyDescent="0.2">
      <c r="A63" s="364" t="s">
        <v>218</v>
      </c>
      <c r="B63" s="375"/>
      <c r="C63" s="375"/>
      <c r="D63" s="375"/>
      <c r="E63" s="365"/>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row>
    <row r="64" spans="1:53" x14ac:dyDescent="0.2">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row>
    <row r="65" spans="1:53" ht="16.5" x14ac:dyDescent="0.3">
      <c r="A65" s="466" t="s">
        <v>141</v>
      </c>
      <c r="B65" s="467"/>
      <c r="C65" s="467"/>
      <c r="D65" s="46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row>
    <row r="66" spans="1:53" x14ac:dyDescent="0.2">
      <c r="A66" s="53" t="s">
        <v>142</v>
      </c>
      <c r="B66" s="53" t="s">
        <v>217</v>
      </c>
      <c r="C66" s="53" t="s">
        <v>140</v>
      </c>
      <c r="D66" s="53" t="s">
        <v>143</v>
      </c>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row>
    <row r="67" spans="1:53" x14ac:dyDescent="0.2">
      <c r="A67" s="54" t="s">
        <v>144</v>
      </c>
      <c r="B67" s="184">
        <v>0.192</v>
      </c>
      <c r="C67" s="185">
        <v>4.0000000000000001E-3</v>
      </c>
      <c r="D67" s="184">
        <v>4.1520000000000001</v>
      </c>
      <c r="E67" s="48"/>
      <c r="F67" s="204"/>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row>
    <row r="68" spans="1:53" x14ac:dyDescent="0.2">
      <c r="A68" s="54" t="s">
        <v>145</v>
      </c>
      <c r="B68" s="184">
        <v>4.1689999999999996</v>
      </c>
      <c r="C68" s="185">
        <v>0.106</v>
      </c>
      <c r="D68" s="186">
        <v>2</v>
      </c>
      <c r="E68" s="55"/>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row>
    <row r="69" spans="1:53" x14ac:dyDescent="0.2">
      <c r="A69" s="459" t="s">
        <v>229</v>
      </c>
      <c r="B69" s="460"/>
      <c r="C69" s="460"/>
      <c r="D69" s="461"/>
      <c r="E69" s="56"/>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row>
    <row r="70" spans="1:53" ht="13.15" customHeight="1" x14ac:dyDescent="0.2">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row>
    <row r="71" spans="1:53" x14ac:dyDescent="0.2">
      <c r="A71" s="48"/>
      <c r="B71" s="48"/>
      <c r="C71" s="48"/>
      <c r="D71" s="48"/>
      <c r="E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row>
    <row r="72" spans="1:53" x14ac:dyDescent="0.2">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row>
    <row r="73" spans="1:53" x14ac:dyDescent="0.2">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row>
    <row r="74" spans="1:53" x14ac:dyDescent="0.2">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row>
    <row r="75" spans="1:53" x14ac:dyDescent="0.2">
      <c r="A75" s="57"/>
      <c r="B75" s="57"/>
      <c r="C75" s="57"/>
      <c r="D75" s="57"/>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row>
    <row r="76" spans="1:53" ht="12.75" customHeight="1" x14ac:dyDescent="0.2">
      <c r="A76" s="57"/>
      <c r="B76" s="57"/>
      <c r="C76" s="57"/>
      <c r="D76" s="57"/>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row>
    <row r="77" spans="1:53" x14ac:dyDescent="0.2">
      <c r="A77" s="57"/>
      <c r="B77" s="57"/>
      <c r="C77" s="57"/>
      <c r="D77" s="57"/>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row>
    <row r="78" spans="1:53" x14ac:dyDescent="0.2">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row>
    <row r="79" spans="1:53" x14ac:dyDescent="0.2">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row>
    <row r="80" spans="1:53" x14ac:dyDescent="0.2">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row>
    <row r="81" spans="1:53" x14ac:dyDescent="0.2">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row>
    <row r="82" spans="1:53" x14ac:dyDescent="0.2">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row>
    <row r="83" spans="1:53" x14ac:dyDescent="0.2">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row>
    <row r="84" spans="1:53" x14ac:dyDescent="0.2">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row>
    <row r="85" spans="1:53" x14ac:dyDescent="0.2">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row>
    <row r="86" spans="1:53" x14ac:dyDescent="0.2">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row>
    <row r="87" spans="1:53" x14ac:dyDescent="0.2">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row>
    <row r="88" spans="1:53" x14ac:dyDescent="0.2">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row>
    <row r="89" spans="1:53" x14ac:dyDescent="0.2">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row>
    <row r="90" spans="1:53" x14ac:dyDescent="0.2">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row>
    <row r="91" spans="1:53" x14ac:dyDescent="0.2">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row>
    <row r="92" spans="1:53" x14ac:dyDescent="0.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row>
    <row r="93" spans="1:53" x14ac:dyDescent="0.2">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row>
    <row r="94" spans="1:53" x14ac:dyDescent="0.2">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row>
    <row r="95" spans="1:53" x14ac:dyDescent="0.2">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row>
    <row r="96" spans="1:53" x14ac:dyDescent="0.2">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row>
    <row r="97" spans="1:53" x14ac:dyDescent="0.2">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row>
    <row r="98" spans="1:53" x14ac:dyDescent="0.2">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row>
    <row r="99" spans="1:53" x14ac:dyDescent="0.2">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row>
    <row r="100" spans="1:53" x14ac:dyDescent="0.2">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row>
    <row r="101" spans="1:53" x14ac:dyDescent="0.2">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row>
    <row r="102" spans="1:53" x14ac:dyDescent="0.2">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row>
    <row r="103" spans="1:53" x14ac:dyDescent="0.2">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row>
    <row r="104" spans="1:53" x14ac:dyDescent="0.2">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row>
    <row r="105" spans="1:53" x14ac:dyDescent="0.2">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row>
    <row r="106" spans="1:53" x14ac:dyDescent="0.2">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row>
    <row r="107" spans="1:53" x14ac:dyDescent="0.2">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row>
    <row r="108" spans="1:53" x14ac:dyDescent="0.2">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row>
    <row r="109" spans="1:53" x14ac:dyDescent="0.2">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row>
    <row r="110" spans="1:53" x14ac:dyDescent="0.2">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row>
    <row r="111" spans="1:53" x14ac:dyDescent="0.2">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row>
    <row r="112" spans="1:53" x14ac:dyDescent="0.2">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row>
    <row r="113" spans="1:53" x14ac:dyDescent="0.2">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row>
    <row r="114" spans="1:53" x14ac:dyDescent="0.2">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row>
    <row r="115" spans="1:53" x14ac:dyDescent="0.2">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row>
    <row r="116" spans="1:53" x14ac:dyDescent="0.2">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row>
    <row r="117" spans="1:53" x14ac:dyDescent="0.2">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row>
    <row r="118" spans="1:53" x14ac:dyDescent="0.2">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row>
    <row r="119" spans="1:53" x14ac:dyDescent="0.2">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row>
    <row r="120" spans="1:53" x14ac:dyDescent="0.2">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row>
    <row r="121" spans="1:53" x14ac:dyDescent="0.2">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row>
    <row r="122" spans="1:53" x14ac:dyDescent="0.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row>
    <row r="123" spans="1:53" x14ac:dyDescent="0.2">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row>
    <row r="124" spans="1:53" x14ac:dyDescent="0.2">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row>
    <row r="125" spans="1:53" x14ac:dyDescent="0.2">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row>
    <row r="126" spans="1:53" x14ac:dyDescent="0.2">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row>
    <row r="127" spans="1:53" x14ac:dyDescent="0.2">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row>
    <row r="128" spans="1:53" x14ac:dyDescent="0.2">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row>
    <row r="129" spans="1:53" x14ac:dyDescent="0.2">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row>
    <row r="130" spans="1:53" x14ac:dyDescent="0.2">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row>
    <row r="131" spans="1:53" x14ac:dyDescent="0.2">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row>
    <row r="132" spans="1:53" x14ac:dyDescent="0.2">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row>
    <row r="133" spans="1:53" x14ac:dyDescent="0.2">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row>
    <row r="134" spans="1:53" x14ac:dyDescent="0.2">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row>
    <row r="135" spans="1:53" x14ac:dyDescent="0.2">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row>
    <row r="136" spans="1:53" x14ac:dyDescent="0.2">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row>
    <row r="137" spans="1:53" x14ac:dyDescent="0.2">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row>
    <row r="138" spans="1:53" x14ac:dyDescent="0.2">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row>
    <row r="139" spans="1:53" x14ac:dyDescent="0.2">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row>
    <row r="140" spans="1:53" x14ac:dyDescent="0.2">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row>
    <row r="141" spans="1:53" x14ac:dyDescent="0.2">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row>
    <row r="142" spans="1:53" x14ac:dyDescent="0.2">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row>
    <row r="143" spans="1:53" x14ac:dyDescent="0.2">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row>
    <row r="144" spans="1:53" x14ac:dyDescent="0.2">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row>
    <row r="145" spans="1:53" x14ac:dyDescent="0.2">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row>
    <row r="146" spans="1:53" x14ac:dyDescent="0.2">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row>
    <row r="147" spans="1:53" x14ac:dyDescent="0.2">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row>
    <row r="148" spans="1:53" x14ac:dyDescent="0.2">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row>
    <row r="149" spans="1:53" x14ac:dyDescent="0.2">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row>
    <row r="150" spans="1:53" x14ac:dyDescent="0.2">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row>
    <row r="151" spans="1:53" x14ac:dyDescent="0.2">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row>
    <row r="152" spans="1:53" x14ac:dyDescent="0.2">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row>
    <row r="153" spans="1:53" x14ac:dyDescent="0.2">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row>
    <row r="154" spans="1:53" x14ac:dyDescent="0.2">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row>
    <row r="155" spans="1:53" x14ac:dyDescent="0.2">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row>
    <row r="156" spans="1:53" x14ac:dyDescent="0.2">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row>
    <row r="157" spans="1:53" x14ac:dyDescent="0.2">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row>
    <row r="158" spans="1:53" x14ac:dyDescent="0.2">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row>
    <row r="159" spans="1:53" x14ac:dyDescent="0.2">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row>
    <row r="160" spans="1:53" x14ac:dyDescent="0.2">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row>
    <row r="161" spans="1:53" x14ac:dyDescent="0.2">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row>
    <row r="162" spans="1:53" x14ac:dyDescent="0.2">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row>
    <row r="163" spans="1:53" x14ac:dyDescent="0.2">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row>
    <row r="164" spans="1:53" x14ac:dyDescent="0.2">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row>
    <row r="165" spans="1:53" x14ac:dyDescent="0.2">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row>
    <row r="166" spans="1:53" x14ac:dyDescent="0.2">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row>
    <row r="167" spans="1:53" x14ac:dyDescent="0.2">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row>
    <row r="168" spans="1:53" x14ac:dyDescent="0.2">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row>
    <row r="169" spans="1:53" x14ac:dyDescent="0.2">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row>
    <row r="170" spans="1:53" x14ac:dyDescent="0.2">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row>
    <row r="171" spans="1:53" x14ac:dyDescent="0.2">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row>
    <row r="172" spans="1:53" x14ac:dyDescent="0.2">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row>
    <row r="173" spans="1:53" x14ac:dyDescent="0.2">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row>
    <row r="174" spans="1:53" x14ac:dyDescent="0.2">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row>
    <row r="175" spans="1:53" x14ac:dyDescent="0.2">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row>
    <row r="176" spans="1:53" x14ac:dyDescent="0.2">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row>
    <row r="177" spans="1:53" x14ac:dyDescent="0.2">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row>
    <row r="178" spans="1:53" x14ac:dyDescent="0.2">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row>
    <row r="179" spans="1:53" x14ac:dyDescent="0.2">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row>
    <row r="180" spans="1:53" x14ac:dyDescent="0.2">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row>
    <row r="181" spans="1:53" x14ac:dyDescent="0.2">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row>
    <row r="182" spans="1:53" x14ac:dyDescent="0.2">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row>
    <row r="183" spans="1:53" x14ac:dyDescent="0.2">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row>
    <row r="184" spans="1:53" x14ac:dyDescent="0.2">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row>
    <row r="185" spans="1:53" x14ac:dyDescent="0.2">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row>
    <row r="186" spans="1:53" x14ac:dyDescent="0.2">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row>
    <row r="187" spans="1:53" x14ac:dyDescent="0.2">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row>
    <row r="188" spans="1:53" x14ac:dyDescent="0.2">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row>
    <row r="189" spans="1:53" x14ac:dyDescent="0.2">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row>
    <row r="190" spans="1:53" x14ac:dyDescent="0.2">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row>
    <row r="191" spans="1:53" x14ac:dyDescent="0.2">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row>
    <row r="192" spans="1:53" x14ac:dyDescent="0.2">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row>
    <row r="193" spans="1:53" x14ac:dyDescent="0.2">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row>
    <row r="194" spans="1:53" x14ac:dyDescent="0.2">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row>
    <row r="195" spans="1:53" x14ac:dyDescent="0.2">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row>
    <row r="196" spans="1:53" x14ac:dyDescent="0.2">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row>
    <row r="197" spans="1:53" x14ac:dyDescent="0.2">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row>
    <row r="198" spans="1:53" x14ac:dyDescent="0.2">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row>
    <row r="199" spans="1:53" x14ac:dyDescent="0.2">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row>
    <row r="200" spans="1:53" x14ac:dyDescent="0.2">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row>
    <row r="201" spans="1:53" x14ac:dyDescent="0.2">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row>
    <row r="202" spans="1:53" x14ac:dyDescent="0.2">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row>
    <row r="203" spans="1:53" x14ac:dyDescent="0.2">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row>
    <row r="204" spans="1:53" x14ac:dyDescent="0.2">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row>
    <row r="205" spans="1:53" x14ac:dyDescent="0.2">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row>
    <row r="206" spans="1:53" x14ac:dyDescent="0.2">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row>
    <row r="207" spans="1:53" x14ac:dyDescent="0.2">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row>
    <row r="208" spans="1:53" x14ac:dyDescent="0.2">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row>
    <row r="209" spans="1:53" x14ac:dyDescent="0.2">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c r="BA209" s="48"/>
    </row>
    <row r="210" spans="1:53" x14ac:dyDescent="0.2">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row>
    <row r="211" spans="1:53" x14ac:dyDescent="0.2">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row>
    <row r="212" spans="1:53" x14ac:dyDescent="0.2">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row>
    <row r="213" spans="1:53" x14ac:dyDescent="0.2">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row>
    <row r="214" spans="1:53" x14ac:dyDescent="0.2">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row>
    <row r="215" spans="1:53" x14ac:dyDescent="0.2">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row>
    <row r="216" spans="1:53" x14ac:dyDescent="0.2">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row>
    <row r="217" spans="1:53" x14ac:dyDescent="0.2">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row>
    <row r="218" spans="1:53" x14ac:dyDescent="0.2">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row>
    <row r="219" spans="1:53" x14ac:dyDescent="0.2">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row>
    <row r="220" spans="1:53" x14ac:dyDescent="0.2">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row>
    <row r="221" spans="1:53" x14ac:dyDescent="0.2">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row>
    <row r="222" spans="1:53" x14ac:dyDescent="0.2">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row>
    <row r="223" spans="1:53" x14ac:dyDescent="0.2">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row>
    <row r="224" spans="1:53" x14ac:dyDescent="0.2">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row>
    <row r="225" spans="1:53" x14ac:dyDescent="0.2">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row>
    <row r="226" spans="1:53" x14ac:dyDescent="0.2">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row>
    <row r="227" spans="1:53" x14ac:dyDescent="0.2">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row>
    <row r="228" spans="1:53" x14ac:dyDescent="0.2">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row>
    <row r="229" spans="1:53" x14ac:dyDescent="0.2">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row>
    <row r="230" spans="1:53" x14ac:dyDescent="0.2">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row>
    <row r="231" spans="1:53" x14ac:dyDescent="0.2">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row>
    <row r="232" spans="1:53" x14ac:dyDescent="0.2">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row>
    <row r="233" spans="1:53" x14ac:dyDescent="0.2">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row>
    <row r="234" spans="1:53" x14ac:dyDescent="0.2">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row>
    <row r="235" spans="1:53" x14ac:dyDescent="0.2">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row>
    <row r="236" spans="1:53" x14ac:dyDescent="0.2">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row>
    <row r="237" spans="1:53" x14ac:dyDescent="0.2">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row>
    <row r="238" spans="1:53" x14ac:dyDescent="0.2">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row>
    <row r="239" spans="1:53" x14ac:dyDescent="0.2">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row>
    <row r="240" spans="1:53" x14ac:dyDescent="0.2">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row>
    <row r="241" spans="1:53" x14ac:dyDescent="0.2">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row>
    <row r="242" spans="1:53" x14ac:dyDescent="0.2">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row>
    <row r="243" spans="1:53" x14ac:dyDescent="0.2">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c r="AU243" s="48"/>
      <c r="AV243" s="48"/>
      <c r="AW243" s="48"/>
      <c r="AX243" s="48"/>
      <c r="AY243" s="48"/>
      <c r="AZ243" s="48"/>
      <c r="BA243" s="48"/>
    </row>
    <row r="244" spans="1:53" x14ac:dyDescent="0.2">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c r="AU244" s="48"/>
      <c r="AV244" s="48"/>
      <c r="AW244" s="48"/>
      <c r="AX244" s="48"/>
      <c r="AY244" s="48"/>
      <c r="AZ244" s="48"/>
      <c r="BA244" s="48"/>
    </row>
    <row r="245" spans="1:53" x14ac:dyDescent="0.2">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c r="BA245" s="48"/>
    </row>
    <row r="246" spans="1:53" x14ac:dyDescent="0.2">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row>
    <row r="247" spans="1:53" x14ac:dyDescent="0.2">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row>
    <row r="248" spans="1:53" x14ac:dyDescent="0.2">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row>
    <row r="249" spans="1:53" x14ac:dyDescent="0.2">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row>
    <row r="250" spans="1:53" x14ac:dyDescent="0.2">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row>
    <row r="251" spans="1:53" x14ac:dyDescent="0.2">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c r="BA251" s="48"/>
    </row>
    <row r="252" spans="1:53" x14ac:dyDescent="0.2">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row>
    <row r="253" spans="1:53" x14ac:dyDescent="0.2">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row>
    <row r="254" spans="1:53" x14ac:dyDescent="0.2">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row>
    <row r="255" spans="1:53" x14ac:dyDescent="0.2">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row>
    <row r="256" spans="1:53" x14ac:dyDescent="0.2">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c r="BA256" s="48"/>
    </row>
    <row r="257" spans="1:53" x14ac:dyDescent="0.2">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row>
    <row r="258" spans="1:53" x14ac:dyDescent="0.2">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c r="BA258" s="48"/>
    </row>
    <row r="259" spans="1:53" x14ac:dyDescent="0.2">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row>
    <row r="260" spans="1:53" x14ac:dyDescent="0.2">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row>
    <row r="261" spans="1:53" x14ac:dyDescent="0.2">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row>
    <row r="262" spans="1:53" x14ac:dyDescent="0.2">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row>
    <row r="263" spans="1:53" x14ac:dyDescent="0.2">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c r="AU263" s="48"/>
      <c r="AV263" s="48"/>
      <c r="AW263" s="48"/>
      <c r="AX263" s="48"/>
      <c r="AY263" s="48"/>
      <c r="AZ263" s="48"/>
      <c r="BA263" s="48"/>
    </row>
    <row r="264" spans="1:53" x14ac:dyDescent="0.2">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48"/>
      <c r="AW264" s="48"/>
      <c r="AX264" s="48"/>
      <c r="AY264" s="48"/>
      <c r="AZ264" s="48"/>
      <c r="BA264" s="48"/>
    </row>
    <row r="265" spans="1:53" x14ac:dyDescent="0.2">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c r="AU265" s="48"/>
      <c r="AV265" s="48"/>
      <c r="AW265" s="48"/>
      <c r="AX265" s="48"/>
      <c r="AY265" s="48"/>
      <c r="AZ265" s="48"/>
      <c r="BA265" s="48"/>
    </row>
    <row r="266" spans="1:53" x14ac:dyDescent="0.2">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row>
    <row r="267" spans="1:53" x14ac:dyDescent="0.2">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row>
    <row r="268" spans="1:53" x14ac:dyDescent="0.2">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row>
    <row r="269" spans="1:53" x14ac:dyDescent="0.2">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row>
    <row r="270" spans="1:53" x14ac:dyDescent="0.2">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c r="BA270" s="48"/>
    </row>
    <row r="271" spans="1:53" x14ac:dyDescent="0.2">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c r="BA271" s="48"/>
    </row>
    <row r="272" spans="1:53" x14ac:dyDescent="0.2">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c r="AU272" s="48"/>
      <c r="AV272" s="48"/>
      <c r="AW272" s="48"/>
      <c r="AX272" s="48"/>
      <c r="AY272" s="48"/>
      <c r="AZ272" s="48"/>
      <c r="BA272" s="48"/>
    </row>
    <row r="273" spans="1:53" x14ac:dyDescent="0.2">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row>
    <row r="274" spans="1:53" x14ac:dyDescent="0.2">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8"/>
      <c r="AJ274" s="48"/>
      <c r="AK274" s="48"/>
      <c r="AL274" s="48"/>
      <c r="AM274" s="48"/>
      <c r="AN274" s="48"/>
      <c r="AO274" s="48"/>
      <c r="AP274" s="48"/>
      <c r="AQ274" s="48"/>
      <c r="AR274" s="48"/>
      <c r="AS274" s="48"/>
      <c r="AT274" s="48"/>
      <c r="AU274" s="48"/>
      <c r="AV274" s="48"/>
      <c r="AW274" s="48"/>
      <c r="AX274" s="48"/>
      <c r="AY274" s="48"/>
      <c r="AZ274" s="48"/>
      <c r="BA274" s="48"/>
    </row>
    <row r="275" spans="1:53" x14ac:dyDescent="0.2">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c r="AU275" s="48"/>
      <c r="AV275" s="48"/>
      <c r="AW275" s="48"/>
      <c r="AX275" s="48"/>
      <c r="AY275" s="48"/>
      <c r="AZ275" s="48"/>
      <c r="BA275" s="48"/>
    </row>
    <row r="276" spans="1:53" x14ac:dyDescent="0.2">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c r="AU276" s="48"/>
      <c r="AV276" s="48"/>
      <c r="AW276" s="48"/>
      <c r="AX276" s="48"/>
      <c r="AY276" s="48"/>
      <c r="AZ276" s="48"/>
      <c r="BA276" s="48"/>
    </row>
    <row r="277" spans="1:53" x14ac:dyDescent="0.2">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row>
    <row r="278" spans="1:53" x14ac:dyDescent="0.2">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c r="BA278" s="48"/>
    </row>
    <row r="279" spans="1:53" x14ac:dyDescent="0.2">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8"/>
      <c r="AK279" s="48"/>
      <c r="AL279" s="48"/>
      <c r="AM279" s="48"/>
      <c r="AN279" s="48"/>
      <c r="AO279" s="48"/>
      <c r="AP279" s="48"/>
      <c r="AQ279" s="48"/>
      <c r="AR279" s="48"/>
      <c r="AS279" s="48"/>
      <c r="AT279" s="48"/>
      <c r="AU279" s="48"/>
      <c r="AV279" s="48"/>
      <c r="AW279" s="48"/>
      <c r="AX279" s="48"/>
      <c r="AY279" s="48"/>
      <c r="AZ279" s="48"/>
      <c r="BA279" s="48"/>
    </row>
    <row r="280" spans="1:53" x14ac:dyDescent="0.2">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48"/>
      <c r="AL280" s="48"/>
      <c r="AM280" s="48"/>
      <c r="AN280" s="48"/>
      <c r="AO280" s="48"/>
      <c r="AP280" s="48"/>
      <c r="AQ280" s="48"/>
      <c r="AR280" s="48"/>
      <c r="AS280" s="48"/>
      <c r="AT280" s="48"/>
      <c r="AU280" s="48"/>
      <c r="AV280" s="48"/>
      <c r="AW280" s="48"/>
      <c r="AX280" s="48"/>
      <c r="AY280" s="48"/>
      <c r="AZ280" s="48"/>
      <c r="BA280" s="48"/>
    </row>
    <row r="281" spans="1:53" x14ac:dyDescent="0.2">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c r="BA281" s="48"/>
    </row>
    <row r="282" spans="1:53" x14ac:dyDescent="0.2">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c r="AU282" s="48"/>
      <c r="AV282" s="48"/>
      <c r="AW282" s="48"/>
      <c r="AX282" s="48"/>
      <c r="AY282" s="48"/>
      <c r="AZ282" s="48"/>
      <c r="BA282" s="48"/>
    </row>
    <row r="283" spans="1:53" x14ac:dyDescent="0.2">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c r="BA283" s="48"/>
    </row>
    <row r="284" spans="1:53" x14ac:dyDescent="0.2">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row>
    <row r="285" spans="1:53" x14ac:dyDescent="0.2">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48"/>
      <c r="BA285" s="48"/>
    </row>
    <row r="286" spans="1:53" x14ac:dyDescent="0.2">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row>
    <row r="287" spans="1:53" x14ac:dyDescent="0.2">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row>
    <row r="288" spans="1:53" x14ac:dyDescent="0.2">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row>
    <row r="289" spans="1:53" x14ac:dyDescent="0.2">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row>
    <row r="290" spans="1:53" x14ac:dyDescent="0.2">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row>
    <row r="291" spans="1:53" x14ac:dyDescent="0.2">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row>
    <row r="292" spans="1:53" x14ac:dyDescent="0.2">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row>
    <row r="293" spans="1:53" x14ac:dyDescent="0.2">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row>
    <row r="294" spans="1:53" x14ac:dyDescent="0.2">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row>
    <row r="295" spans="1:53" x14ac:dyDescent="0.2">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row>
    <row r="296" spans="1:53" x14ac:dyDescent="0.2">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row>
    <row r="297" spans="1:53" x14ac:dyDescent="0.2">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row>
    <row r="298" spans="1:53" x14ac:dyDescent="0.2">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row>
    <row r="299" spans="1:53" x14ac:dyDescent="0.2">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8"/>
      <c r="AK299" s="48"/>
      <c r="AL299" s="48"/>
      <c r="AM299" s="48"/>
      <c r="AN299" s="48"/>
      <c r="AO299" s="48"/>
      <c r="AP299" s="48"/>
      <c r="AQ299" s="48"/>
      <c r="AR299" s="48"/>
      <c r="AS299" s="48"/>
      <c r="AT299" s="48"/>
      <c r="AU299" s="48"/>
      <c r="AV299" s="48"/>
      <c r="AW299" s="48"/>
      <c r="AX299" s="48"/>
      <c r="AY299" s="48"/>
      <c r="AZ299" s="48"/>
      <c r="BA299" s="48"/>
    </row>
    <row r="300" spans="1:53" x14ac:dyDescent="0.2">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c r="AH300" s="48"/>
      <c r="AI300" s="48"/>
      <c r="AJ300" s="48"/>
      <c r="AK300" s="48"/>
      <c r="AL300" s="48"/>
      <c r="AM300" s="48"/>
      <c r="AN300" s="48"/>
      <c r="AO300" s="48"/>
      <c r="AP300" s="48"/>
      <c r="AQ300" s="48"/>
      <c r="AR300" s="48"/>
      <c r="AS300" s="48"/>
      <c r="AT300" s="48"/>
      <c r="AU300" s="48"/>
      <c r="AV300" s="48"/>
      <c r="AW300" s="48"/>
      <c r="AX300" s="48"/>
      <c r="AY300" s="48"/>
      <c r="AZ300" s="48"/>
      <c r="BA300" s="48"/>
    </row>
    <row r="301" spans="1:53" x14ac:dyDescent="0.2">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row>
    <row r="302" spans="1:53" x14ac:dyDescent="0.2">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8"/>
      <c r="AJ302" s="48"/>
      <c r="AK302" s="48"/>
      <c r="AL302" s="48"/>
      <c r="AM302" s="48"/>
      <c r="AN302" s="48"/>
      <c r="AO302" s="48"/>
      <c r="AP302" s="48"/>
      <c r="AQ302" s="48"/>
      <c r="AR302" s="48"/>
      <c r="AS302" s="48"/>
      <c r="AT302" s="48"/>
      <c r="AU302" s="48"/>
      <c r="AV302" s="48"/>
      <c r="AW302" s="48"/>
      <c r="AX302" s="48"/>
      <c r="AY302" s="48"/>
      <c r="AZ302" s="48"/>
      <c r="BA302" s="48"/>
    </row>
    <row r="303" spans="1:53" x14ac:dyDescent="0.2">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c r="AJ303" s="48"/>
      <c r="AK303" s="48"/>
      <c r="AL303" s="48"/>
      <c r="AM303" s="48"/>
      <c r="AN303" s="48"/>
      <c r="AO303" s="48"/>
      <c r="AP303" s="48"/>
      <c r="AQ303" s="48"/>
      <c r="AR303" s="48"/>
      <c r="AS303" s="48"/>
      <c r="AT303" s="48"/>
      <c r="AU303" s="48"/>
      <c r="AV303" s="48"/>
      <c r="AW303" s="48"/>
      <c r="AX303" s="48"/>
      <c r="AY303" s="48"/>
      <c r="AZ303" s="48"/>
      <c r="BA303" s="48"/>
    </row>
    <row r="304" spans="1:53" x14ac:dyDescent="0.2">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48"/>
      <c r="AI304" s="48"/>
      <c r="AJ304" s="48"/>
      <c r="AK304" s="48"/>
      <c r="AL304" s="48"/>
      <c r="AM304" s="48"/>
      <c r="AN304" s="48"/>
      <c r="AO304" s="48"/>
      <c r="AP304" s="48"/>
      <c r="AQ304" s="48"/>
      <c r="AR304" s="48"/>
      <c r="AS304" s="48"/>
      <c r="AT304" s="48"/>
      <c r="AU304" s="48"/>
      <c r="AV304" s="48"/>
      <c r="AW304" s="48"/>
      <c r="AX304" s="48"/>
      <c r="AY304" s="48"/>
      <c r="AZ304" s="48"/>
      <c r="BA304" s="48"/>
    </row>
    <row r="305" spans="1:53" x14ac:dyDescent="0.2">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48"/>
      <c r="AL305" s="48"/>
      <c r="AM305" s="48"/>
      <c r="AN305" s="48"/>
      <c r="AO305" s="48"/>
      <c r="AP305" s="48"/>
      <c r="AQ305" s="48"/>
      <c r="AR305" s="48"/>
      <c r="AS305" s="48"/>
      <c r="AT305" s="48"/>
      <c r="AU305" s="48"/>
      <c r="AV305" s="48"/>
      <c r="AW305" s="48"/>
      <c r="AX305" s="48"/>
      <c r="AY305" s="48"/>
      <c r="AZ305" s="48"/>
      <c r="BA305" s="48"/>
    </row>
    <row r="306" spans="1:53" x14ac:dyDescent="0.2">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48"/>
      <c r="AI306" s="48"/>
      <c r="AJ306" s="48"/>
      <c r="AK306" s="48"/>
      <c r="AL306" s="48"/>
      <c r="AM306" s="48"/>
      <c r="AN306" s="48"/>
      <c r="AO306" s="48"/>
      <c r="AP306" s="48"/>
      <c r="AQ306" s="48"/>
      <c r="AR306" s="48"/>
      <c r="AS306" s="48"/>
      <c r="AT306" s="48"/>
      <c r="AU306" s="48"/>
      <c r="AV306" s="48"/>
      <c r="AW306" s="48"/>
      <c r="AX306" s="48"/>
      <c r="AY306" s="48"/>
      <c r="AZ306" s="48"/>
      <c r="BA306" s="48"/>
    </row>
    <row r="307" spans="1:53" x14ac:dyDescent="0.2">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48"/>
      <c r="AT307" s="48"/>
      <c r="AU307" s="48"/>
      <c r="AV307" s="48"/>
      <c r="AW307" s="48"/>
      <c r="AX307" s="48"/>
      <c r="AY307" s="48"/>
      <c r="AZ307" s="48"/>
      <c r="BA307" s="48"/>
    </row>
    <row r="308" spans="1:53" x14ac:dyDescent="0.2">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48"/>
      <c r="AT308" s="48"/>
      <c r="AU308" s="48"/>
      <c r="AV308" s="48"/>
      <c r="AW308" s="48"/>
      <c r="AX308" s="48"/>
      <c r="AY308" s="48"/>
      <c r="AZ308" s="48"/>
      <c r="BA308" s="48"/>
    </row>
    <row r="309" spans="1:53" x14ac:dyDescent="0.2">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c r="AH309" s="48"/>
      <c r="AI309" s="48"/>
      <c r="AJ309" s="48"/>
      <c r="AK309" s="48"/>
      <c r="AL309" s="48"/>
      <c r="AM309" s="48"/>
      <c r="AN309" s="48"/>
      <c r="AO309" s="48"/>
      <c r="AP309" s="48"/>
      <c r="AQ309" s="48"/>
      <c r="AR309" s="48"/>
      <c r="AS309" s="48"/>
      <c r="AT309" s="48"/>
      <c r="AU309" s="48"/>
      <c r="AV309" s="48"/>
      <c r="AW309" s="48"/>
      <c r="AX309" s="48"/>
      <c r="AY309" s="48"/>
      <c r="AZ309" s="48"/>
      <c r="BA309" s="48"/>
    </row>
    <row r="310" spans="1:53" x14ac:dyDescent="0.2">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48"/>
      <c r="AI310" s="48"/>
      <c r="AJ310" s="48"/>
      <c r="AK310" s="48"/>
      <c r="AL310" s="48"/>
      <c r="AM310" s="48"/>
      <c r="AN310" s="48"/>
      <c r="AO310" s="48"/>
      <c r="AP310" s="48"/>
      <c r="AQ310" s="48"/>
      <c r="AR310" s="48"/>
      <c r="AS310" s="48"/>
      <c r="AT310" s="48"/>
      <c r="AU310" s="48"/>
      <c r="AV310" s="48"/>
      <c r="AW310" s="48"/>
      <c r="AX310" s="48"/>
      <c r="AY310" s="48"/>
      <c r="AZ310" s="48"/>
      <c r="BA310" s="48"/>
    </row>
    <row r="311" spans="1:53" x14ac:dyDescent="0.2">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48"/>
      <c r="AI311" s="48"/>
      <c r="AJ311" s="48"/>
      <c r="AK311" s="48"/>
      <c r="AL311" s="48"/>
      <c r="AM311" s="48"/>
      <c r="AN311" s="48"/>
      <c r="AO311" s="48"/>
      <c r="AP311" s="48"/>
      <c r="AQ311" s="48"/>
      <c r="AR311" s="48"/>
      <c r="AS311" s="48"/>
      <c r="AT311" s="48"/>
      <c r="AU311" s="48"/>
      <c r="AV311" s="48"/>
      <c r="AW311" s="48"/>
      <c r="AX311" s="48"/>
      <c r="AY311" s="48"/>
      <c r="AZ311" s="48"/>
      <c r="BA311" s="48"/>
    </row>
    <row r="312" spans="1:53" x14ac:dyDescent="0.2">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8"/>
      <c r="AS312" s="48"/>
      <c r="AT312" s="48"/>
      <c r="AU312" s="48"/>
      <c r="AV312" s="48"/>
      <c r="AW312" s="48"/>
      <c r="AX312" s="48"/>
      <c r="AY312" s="48"/>
      <c r="AZ312" s="48"/>
      <c r="BA312" s="48"/>
    </row>
    <row r="313" spans="1:53" x14ac:dyDescent="0.2">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row>
    <row r="314" spans="1:53" x14ac:dyDescent="0.2">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c r="AU314" s="48"/>
      <c r="AV314" s="48"/>
      <c r="AW314" s="48"/>
      <c r="AX314" s="48"/>
      <c r="AY314" s="48"/>
      <c r="AZ314" s="48"/>
      <c r="BA314" s="48"/>
    </row>
    <row r="315" spans="1:53" x14ac:dyDescent="0.2">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row>
    <row r="316" spans="1:53" x14ac:dyDescent="0.2">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row>
    <row r="317" spans="1:53" x14ac:dyDescent="0.2">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8"/>
      <c r="AZ317" s="48"/>
      <c r="BA317" s="48"/>
    </row>
    <row r="318" spans="1:53" x14ac:dyDescent="0.2">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48"/>
      <c r="AJ318" s="48"/>
      <c r="AK318" s="48"/>
      <c r="AL318" s="48"/>
      <c r="AM318" s="48"/>
      <c r="AN318" s="48"/>
      <c r="AO318" s="48"/>
      <c r="AP318" s="48"/>
      <c r="AQ318" s="48"/>
      <c r="AR318" s="48"/>
      <c r="AS318" s="48"/>
      <c r="AT318" s="48"/>
      <c r="AU318" s="48"/>
      <c r="AV318" s="48"/>
      <c r="AW318" s="48"/>
      <c r="AX318" s="48"/>
      <c r="AY318" s="48"/>
      <c r="AZ318" s="48"/>
      <c r="BA318" s="48"/>
    </row>
    <row r="319" spans="1:53" x14ac:dyDescent="0.2">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8"/>
      <c r="AZ319" s="48"/>
      <c r="BA319" s="48"/>
    </row>
    <row r="320" spans="1:53" x14ac:dyDescent="0.2">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c r="AH320" s="48"/>
      <c r="AI320" s="48"/>
      <c r="AJ320" s="48"/>
      <c r="AK320" s="48"/>
      <c r="AL320" s="48"/>
      <c r="AM320" s="48"/>
      <c r="AN320" s="48"/>
      <c r="AO320" s="48"/>
      <c r="AP320" s="48"/>
      <c r="AQ320" s="48"/>
      <c r="AR320" s="48"/>
      <c r="AS320" s="48"/>
      <c r="AT320" s="48"/>
      <c r="AU320" s="48"/>
      <c r="AV320" s="48"/>
      <c r="AW320" s="48"/>
      <c r="AX320" s="48"/>
      <c r="AY320" s="48"/>
      <c r="AZ320" s="48"/>
      <c r="BA320" s="48"/>
    </row>
    <row r="321" spans="1:53" x14ac:dyDescent="0.2">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row>
    <row r="322" spans="1:53" x14ac:dyDescent="0.2">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c r="AU322" s="48"/>
      <c r="AV322" s="48"/>
      <c r="AW322" s="48"/>
      <c r="AX322" s="48"/>
      <c r="AY322" s="48"/>
      <c r="AZ322" s="48"/>
      <c r="BA322" s="48"/>
    </row>
    <row r="323" spans="1:53" x14ac:dyDescent="0.2">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8"/>
      <c r="AH323" s="48"/>
      <c r="AI323" s="48"/>
      <c r="AJ323" s="48"/>
      <c r="AK323" s="48"/>
      <c r="AL323" s="48"/>
      <c r="AM323" s="48"/>
      <c r="AN323" s="48"/>
      <c r="AO323" s="48"/>
      <c r="AP323" s="48"/>
      <c r="AQ323" s="48"/>
      <c r="AR323" s="48"/>
      <c r="AS323" s="48"/>
      <c r="AT323" s="48"/>
      <c r="AU323" s="48"/>
      <c r="AV323" s="48"/>
      <c r="AW323" s="48"/>
      <c r="AX323" s="48"/>
      <c r="AY323" s="48"/>
      <c r="AZ323" s="48"/>
      <c r="BA323" s="48"/>
    </row>
    <row r="324" spans="1:53" x14ac:dyDescent="0.2">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c r="AH324" s="48"/>
      <c r="AI324" s="48"/>
      <c r="AJ324" s="48"/>
      <c r="AK324" s="48"/>
      <c r="AL324" s="48"/>
      <c r="AM324" s="48"/>
      <c r="AN324" s="48"/>
      <c r="AO324" s="48"/>
      <c r="AP324" s="48"/>
      <c r="AQ324" s="48"/>
      <c r="AR324" s="48"/>
      <c r="AS324" s="48"/>
      <c r="AT324" s="48"/>
      <c r="AU324" s="48"/>
      <c r="AV324" s="48"/>
      <c r="AW324" s="48"/>
      <c r="AX324" s="48"/>
      <c r="AY324" s="48"/>
      <c r="AZ324" s="48"/>
      <c r="BA324" s="48"/>
    </row>
    <row r="325" spans="1:53" x14ac:dyDescent="0.2">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8"/>
      <c r="AH325" s="48"/>
      <c r="AI325" s="48"/>
      <c r="AJ325" s="48"/>
      <c r="AK325" s="48"/>
      <c r="AL325" s="48"/>
      <c r="AM325" s="48"/>
      <c r="AN325" s="48"/>
      <c r="AO325" s="48"/>
      <c r="AP325" s="48"/>
      <c r="AQ325" s="48"/>
      <c r="AR325" s="48"/>
      <c r="AS325" s="48"/>
      <c r="AT325" s="48"/>
      <c r="AU325" s="48"/>
      <c r="AV325" s="48"/>
      <c r="AW325" s="48"/>
      <c r="AX325" s="48"/>
      <c r="AY325" s="48"/>
      <c r="AZ325" s="48"/>
      <c r="BA325" s="48"/>
    </row>
    <row r="326" spans="1:53" x14ac:dyDescent="0.2">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c r="AH326" s="48"/>
      <c r="AI326" s="48"/>
      <c r="AJ326" s="48"/>
      <c r="AK326" s="48"/>
      <c r="AL326" s="48"/>
      <c r="AM326" s="48"/>
      <c r="AN326" s="48"/>
      <c r="AO326" s="48"/>
      <c r="AP326" s="48"/>
      <c r="AQ326" s="48"/>
      <c r="AR326" s="48"/>
      <c r="AS326" s="48"/>
      <c r="AT326" s="48"/>
      <c r="AU326" s="48"/>
      <c r="AV326" s="48"/>
      <c r="AW326" s="48"/>
      <c r="AX326" s="48"/>
      <c r="AY326" s="48"/>
      <c r="AZ326" s="48"/>
      <c r="BA326" s="48"/>
    </row>
    <row r="327" spans="1:53" x14ac:dyDescent="0.2">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c r="AH327" s="48"/>
      <c r="AI327" s="48"/>
      <c r="AJ327" s="48"/>
      <c r="AK327" s="48"/>
      <c r="AL327" s="48"/>
      <c r="AM327" s="48"/>
      <c r="AN327" s="48"/>
      <c r="AO327" s="48"/>
      <c r="AP327" s="48"/>
      <c r="AQ327" s="48"/>
      <c r="AR327" s="48"/>
      <c r="AS327" s="48"/>
      <c r="AT327" s="48"/>
      <c r="AU327" s="48"/>
      <c r="AV327" s="48"/>
      <c r="AW327" s="48"/>
      <c r="AX327" s="48"/>
      <c r="AY327" s="48"/>
      <c r="AZ327" s="48"/>
      <c r="BA327" s="48"/>
    </row>
    <row r="328" spans="1:53" x14ac:dyDescent="0.2">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8"/>
      <c r="AJ328" s="48"/>
      <c r="AK328" s="48"/>
      <c r="AL328" s="48"/>
      <c r="AM328" s="48"/>
      <c r="AN328" s="48"/>
      <c r="AO328" s="48"/>
      <c r="AP328" s="48"/>
      <c r="AQ328" s="48"/>
      <c r="AR328" s="48"/>
      <c r="AS328" s="48"/>
      <c r="AT328" s="48"/>
      <c r="AU328" s="48"/>
      <c r="AV328" s="48"/>
      <c r="AW328" s="48"/>
      <c r="AX328" s="48"/>
      <c r="AY328" s="48"/>
      <c r="AZ328" s="48"/>
      <c r="BA328" s="48"/>
    </row>
    <row r="329" spans="1:53" x14ac:dyDescent="0.2">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row>
    <row r="330" spans="1:53" x14ac:dyDescent="0.2">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c r="AH330" s="48"/>
      <c r="AI330" s="48"/>
      <c r="AJ330" s="48"/>
      <c r="AK330" s="48"/>
      <c r="AL330" s="48"/>
      <c r="AM330" s="48"/>
      <c r="AN330" s="48"/>
      <c r="AO330" s="48"/>
      <c r="AP330" s="48"/>
      <c r="AQ330" s="48"/>
      <c r="AR330" s="48"/>
      <c r="AS330" s="48"/>
      <c r="AT330" s="48"/>
      <c r="AU330" s="48"/>
      <c r="AV330" s="48"/>
      <c r="AW330" s="48"/>
      <c r="AX330" s="48"/>
      <c r="AY330" s="48"/>
      <c r="AZ330" s="48"/>
      <c r="BA330" s="48"/>
    </row>
    <row r="331" spans="1:53" x14ac:dyDescent="0.2">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c r="AH331" s="48"/>
      <c r="AI331" s="48"/>
      <c r="AJ331" s="48"/>
      <c r="AK331" s="48"/>
      <c r="AL331" s="48"/>
      <c r="AM331" s="48"/>
      <c r="AN331" s="48"/>
      <c r="AO331" s="48"/>
      <c r="AP331" s="48"/>
      <c r="AQ331" s="48"/>
      <c r="AR331" s="48"/>
      <c r="AS331" s="48"/>
      <c r="AT331" s="48"/>
      <c r="AU331" s="48"/>
      <c r="AV331" s="48"/>
      <c r="AW331" s="48"/>
      <c r="AX331" s="48"/>
      <c r="AY331" s="48"/>
      <c r="AZ331" s="48"/>
      <c r="BA331" s="48"/>
    </row>
    <row r="332" spans="1:53" x14ac:dyDescent="0.2">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8"/>
      <c r="AE332" s="48"/>
      <c r="AF332" s="48"/>
      <c r="AG332" s="48"/>
      <c r="AH332" s="48"/>
      <c r="AI332" s="48"/>
      <c r="AJ332" s="48"/>
      <c r="AK332" s="48"/>
      <c r="AL332" s="48"/>
      <c r="AM332" s="48"/>
      <c r="AN332" s="48"/>
      <c r="AO332" s="48"/>
      <c r="AP332" s="48"/>
      <c r="AQ332" s="48"/>
      <c r="AR332" s="48"/>
      <c r="AS332" s="48"/>
      <c r="AT332" s="48"/>
      <c r="AU332" s="48"/>
      <c r="AV332" s="48"/>
      <c r="AW332" s="48"/>
      <c r="AX332" s="48"/>
      <c r="AY332" s="48"/>
      <c r="AZ332" s="48"/>
      <c r="BA332" s="48"/>
    </row>
    <row r="333" spans="1:53" x14ac:dyDescent="0.2">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48"/>
      <c r="AI333" s="48"/>
      <c r="AJ333" s="48"/>
      <c r="AK333" s="48"/>
      <c r="AL333" s="48"/>
      <c r="AM333" s="48"/>
      <c r="AN333" s="48"/>
      <c r="AO333" s="48"/>
      <c r="AP333" s="48"/>
      <c r="AQ333" s="48"/>
      <c r="AR333" s="48"/>
      <c r="AS333" s="48"/>
      <c r="AT333" s="48"/>
      <c r="AU333" s="48"/>
      <c r="AV333" s="48"/>
      <c r="AW333" s="48"/>
      <c r="AX333" s="48"/>
      <c r="AY333" s="48"/>
      <c r="AZ333" s="48"/>
      <c r="BA333" s="48"/>
    </row>
    <row r="334" spans="1:53" x14ac:dyDescent="0.2">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c r="AH334" s="48"/>
      <c r="AI334" s="48"/>
      <c r="AJ334" s="48"/>
      <c r="AK334" s="48"/>
      <c r="AL334" s="48"/>
      <c r="AM334" s="48"/>
      <c r="AN334" s="48"/>
      <c r="AO334" s="48"/>
      <c r="AP334" s="48"/>
      <c r="AQ334" s="48"/>
      <c r="AR334" s="48"/>
      <c r="AS334" s="48"/>
      <c r="AT334" s="48"/>
      <c r="AU334" s="48"/>
      <c r="AV334" s="48"/>
      <c r="AW334" s="48"/>
      <c r="AX334" s="48"/>
      <c r="AY334" s="48"/>
      <c r="AZ334" s="48"/>
      <c r="BA334" s="48"/>
    </row>
    <row r="335" spans="1:53" x14ac:dyDescent="0.2">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c r="AJ335" s="48"/>
      <c r="AK335" s="48"/>
      <c r="AL335" s="48"/>
      <c r="AM335" s="48"/>
      <c r="AN335" s="48"/>
      <c r="AO335" s="48"/>
      <c r="AP335" s="48"/>
      <c r="AQ335" s="48"/>
      <c r="AR335" s="48"/>
      <c r="AS335" s="48"/>
      <c r="AT335" s="48"/>
      <c r="AU335" s="48"/>
      <c r="AV335" s="48"/>
      <c r="AW335" s="48"/>
      <c r="AX335" s="48"/>
      <c r="AY335" s="48"/>
      <c r="AZ335" s="48"/>
      <c r="BA335" s="48"/>
    </row>
    <row r="336" spans="1:53" x14ac:dyDescent="0.2">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8"/>
      <c r="AE336" s="48"/>
      <c r="AF336" s="48"/>
      <c r="AG336" s="48"/>
      <c r="AH336" s="48"/>
      <c r="AI336" s="48"/>
      <c r="AJ336" s="48"/>
      <c r="AK336" s="48"/>
      <c r="AL336" s="48"/>
      <c r="AM336" s="48"/>
      <c r="AN336" s="48"/>
      <c r="AO336" s="48"/>
      <c r="AP336" s="48"/>
      <c r="AQ336" s="48"/>
      <c r="AR336" s="48"/>
      <c r="AS336" s="48"/>
      <c r="AT336" s="48"/>
      <c r="AU336" s="48"/>
      <c r="AV336" s="48"/>
      <c r="AW336" s="48"/>
      <c r="AX336" s="48"/>
      <c r="AY336" s="48"/>
      <c r="AZ336" s="48"/>
      <c r="BA336" s="48"/>
    </row>
    <row r="337" spans="1:53" x14ac:dyDescent="0.2">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c r="AD337" s="48"/>
      <c r="AE337" s="48"/>
      <c r="AF337" s="48"/>
      <c r="AG337" s="48"/>
      <c r="AH337" s="48"/>
      <c r="AI337" s="48"/>
      <c r="AJ337" s="48"/>
      <c r="AK337" s="48"/>
      <c r="AL337" s="48"/>
      <c r="AM337" s="48"/>
      <c r="AN337" s="48"/>
      <c r="AO337" s="48"/>
      <c r="AP337" s="48"/>
      <c r="AQ337" s="48"/>
      <c r="AR337" s="48"/>
      <c r="AS337" s="48"/>
      <c r="AT337" s="48"/>
      <c r="AU337" s="48"/>
      <c r="AV337" s="48"/>
      <c r="AW337" s="48"/>
      <c r="AX337" s="48"/>
      <c r="AY337" s="48"/>
      <c r="AZ337" s="48"/>
      <c r="BA337" s="48"/>
    </row>
    <row r="338" spans="1:53" x14ac:dyDescent="0.2">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c r="AD338" s="48"/>
      <c r="AE338" s="48"/>
      <c r="AF338" s="48"/>
      <c r="AG338" s="48"/>
      <c r="AH338" s="48"/>
      <c r="AI338" s="48"/>
      <c r="AJ338" s="48"/>
      <c r="AK338" s="48"/>
      <c r="AL338" s="48"/>
      <c r="AM338" s="48"/>
      <c r="AN338" s="48"/>
      <c r="AO338" s="48"/>
      <c r="AP338" s="48"/>
      <c r="AQ338" s="48"/>
      <c r="AR338" s="48"/>
      <c r="AS338" s="48"/>
      <c r="AT338" s="48"/>
      <c r="AU338" s="48"/>
      <c r="AV338" s="48"/>
      <c r="AW338" s="48"/>
      <c r="AX338" s="48"/>
      <c r="AY338" s="48"/>
      <c r="AZ338" s="48"/>
      <c r="BA338" s="48"/>
    </row>
    <row r="339" spans="1:53" x14ac:dyDescent="0.2">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c r="AH339" s="48"/>
      <c r="AI339" s="48"/>
      <c r="AJ339" s="48"/>
      <c r="AK339" s="48"/>
      <c r="AL339" s="48"/>
      <c r="AM339" s="48"/>
      <c r="AN339" s="48"/>
      <c r="AO339" s="48"/>
      <c r="AP339" s="48"/>
      <c r="AQ339" s="48"/>
      <c r="AR339" s="48"/>
      <c r="AS339" s="48"/>
      <c r="AT339" s="48"/>
      <c r="AU339" s="48"/>
      <c r="AV339" s="48"/>
      <c r="AW339" s="48"/>
      <c r="AX339" s="48"/>
      <c r="AY339" s="48"/>
      <c r="AZ339" s="48"/>
      <c r="BA339" s="48"/>
    </row>
    <row r="340" spans="1:53" x14ac:dyDescent="0.2">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8"/>
      <c r="AE340" s="48"/>
      <c r="AF340" s="48"/>
      <c r="AG340" s="48"/>
      <c r="AH340" s="48"/>
      <c r="AI340" s="48"/>
      <c r="AJ340" s="48"/>
      <c r="AK340" s="48"/>
      <c r="AL340" s="48"/>
      <c r="AM340" s="48"/>
      <c r="AN340" s="48"/>
      <c r="AO340" s="48"/>
      <c r="AP340" s="48"/>
      <c r="AQ340" s="48"/>
      <c r="AR340" s="48"/>
      <c r="AS340" s="48"/>
      <c r="AT340" s="48"/>
      <c r="AU340" s="48"/>
      <c r="AV340" s="48"/>
      <c r="AW340" s="48"/>
      <c r="AX340" s="48"/>
      <c r="AY340" s="48"/>
      <c r="AZ340" s="48"/>
      <c r="BA340" s="48"/>
    </row>
    <row r="341" spans="1:53" x14ac:dyDescent="0.2">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c r="AJ341" s="48"/>
      <c r="AK341" s="48"/>
      <c r="AL341" s="48"/>
      <c r="AM341" s="48"/>
      <c r="AN341" s="48"/>
      <c r="AO341" s="48"/>
      <c r="AP341" s="48"/>
      <c r="AQ341" s="48"/>
      <c r="AR341" s="48"/>
      <c r="AS341" s="48"/>
      <c r="AT341" s="48"/>
      <c r="AU341" s="48"/>
      <c r="AV341" s="48"/>
      <c r="AW341" s="48"/>
      <c r="AX341" s="48"/>
      <c r="AY341" s="48"/>
      <c r="AZ341" s="48"/>
      <c r="BA341" s="48"/>
    </row>
    <row r="342" spans="1:53" x14ac:dyDescent="0.2">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c r="AH342" s="48"/>
      <c r="AI342" s="48"/>
      <c r="AJ342" s="48"/>
      <c r="AK342" s="48"/>
      <c r="AL342" s="48"/>
      <c r="AM342" s="48"/>
      <c r="AN342" s="48"/>
      <c r="AO342" s="48"/>
      <c r="AP342" s="48"/>
      <c r="AQ342" s="48"/>
      <c r="AR342" s="48"/>
      <c r="AS342" s="48"/>
      <c r="AT342" s="48"/>
      <c r="AU342" s="48"/>
      <c r="AV342" s="48"/>
      <c r="AW342" s="48"/>
      <c r="AX342" s="48"/>
      <c r="AY342" s="48"/>
      <c r="AZ342" s="48"/>
      <c r="BA342" s="48"/>
    </row>
    <row r="343" spans="1:53" x14ac:dyDescent="0.2">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c r="AD343" s="48"/>
      <c r="AE343" s="48"/>
      <c r="AF343" s="48"/>
      <c r="AG343" s="48"/>
      <c r="AH343" s="48"/>
      <c r="AI343" s="48"/>
      <c r="AJ343" s="48"/>
      <c r="AK343" s="48"/>
      <c r="AL343" s="48"/>
      <c r="AM343" s="48"/>
      <c r="AN343" s="48"/>
      <c r="AO343" s="48"/>
      <c r="AP343" s="48"/>
      <c r="AQ343" s="48"/>
      <c r="AR343" s="48"/>
      <c r="AS343" s="48"/>
      <c r="AT343" s="48"/>
      <c r="AU343" s="48"/>
      <c r="AV343" s="48"/>
      <c r="AW343" s="48"/>
      <c r="AX343" s="48"/>
      <c r="AY343" s="48"/>
      <c r="AZ343" s="48"/>
      <c r="BA343" s="48"/>
    </row>
    <row r="344" spans="1:53" x14ac:dyDescent="0.2">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c r="AD344" s="48"/>
      <c r="AE344" s="48"/>
      <c r="AF344" s="48"/>
      <c r="AG344" s="48"/>
      <c r="AH344" s="48"/>
      <c r="AI344" s="48"/>
      <c r="AJ344" s="48"/>
      <c r="AK344" s="48"/>
      <c r="AL344" s="48"/>
      <c r="AM344" s="48"/>
      <c r="AN344" s="48"/>
      <c r="AO344" s="48"/>
      <c r="AP344" s="48"/>
      <c r="AQ344" s="48"/>
      <c r="AR344" s="48"/>
      <c r="AS344" s="48"/>
      <c r="AT344" s="48"/>
      <c r="AU344" s="48"/>
      <c r="AV344" s="48"/>
      <c r="AW344" s="48"/>
      <c r="AX344" s="48"/>
      <c r="AY344" s="48"/>
      <c r="AZ344" s="48"/>
      <c r="BA344" s="48"/>
    </row>
    <row r="345" spans="1:53" x14ac:dyDescent="0.2">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c r="AD345" s="48"/>
      <c r="AE345" s="48"/>
      <c r="AF345" s="48"/>
      <c r="AG345" s="48"/>
      <c r="AH345" s="48"/>
      <c r="AI345" s="48"/>
      <c r="AJ345" s="48"/>
      <c r="AK345" s="48"/>
      <c r="AL345" s="48"/>
      <c r="AM345" s="48"/>
      <c r="AN345" s="48"/>
      <c r="AO345" s="48"/>
      <c r="AP345" s="48"/>
      <c r="AQ345" s="48"/>
      <c r="AR345" s="48"/>
      <c r="AS345" s="48"/>
      <c r="AT345" s="48"/>
      <c r="AU345" s="48"/>
      <c r="AV345" s="48"/>
      <c r="AW345" s="48"/>
      <c r="AX345" s="48"/>
      <c r="AY345" s="48"/>
      <c r="AZ345" s="48"/>
      <c r="BA345" s="48"/>
    </row>
    <row r="346" spans="1:53" x14ac:dyDescent="0.2">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row>
    <row r="347" spans="1:53" x14ac:dyDescent="0.2">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8"/>
      <c r="AO347" s="48"/>
      <c r="AP347" s="48"/>
      <c r="AQ347" s="48"/>
      <c r="AR347" s="48"/>
      <c r="AS347" s="48"/>
      <c r="AT347" s="48"/>
      <c r="AU347" s="48"/>
      <c r="AV347" s="48"/>
      <c r="AW347" s="48"/>
      <c r="AX347" s="48"/>
      <c r="AY347" s="48"/>
      <c r="AZ347" s="48"/>
      <c r="BA347" s="48"/>
    </row>
    <row r="348" spans="1:53" x14ac:dyDescent="0.2">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c r="AD348" s="48"/>
      <c r="AE348" s="48"/>
      <c r="AF348" s="48"/>
      <c r="AG348" s="48"/>
      <c r="AH348" s="48"/>
      <c r="AI348" s="48"/>
      <c r="AJ348" s="48"/>
      <c r="AK348" s="48"/>
      <c r="AL348" s="48"/>
      <c r="AM348" s="48"/>
      <c r="AN348" s="48"/>
      <c r="AO348" s="48"/>
      <c r="AP348" s="48"/>
      <c r="AQ348" s="48"/>
      <c r="AR348" s="48"/>
      <c r="AS348" s="48"/>
      <c r="AT348" s="48"/>
      <c r="AU348" s="48"/>
      <c r="AV348" s="48"/>
      <c r="AW348" s="48"/>
      <c r="AX348" s="48"/>
      <c r="AY348" s="48"/>
      <c r="AZ348" s="48"/>
      <c r="BA348" s="48"/>
    </row>
    <row r="349" spans="1:53" x14ac:dyDescent="0.2">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c r="AD349" s="48"/>
      <c r="AE349" s="48"/>
      <c r="AF349" s="48"/>
      <c r="AG349" s="48"/>
      <c r="AH349" s="48"/>
      <c r="AI349" s="48"/>
      <c r="AJ349" s="48"/>
      <c r="AK349" s="48"/>
      <c r="AL349" s="48"/>
      <c r="AM349" s="48"/>
      <c r="AN349" s="48"/>
      <c r="AO349" s="48"/>
      <c r="AP349" s="48"/>
      <c r="AQ349" s="48"/>
      <c r="AR349" s="48"/>
      <c r="AS349" s="48"/>
      <c r="AT349" s="48"/>
      <c r="AU349" s="48"/>
      <c r="AV349" s="48"/>
      <c r="AW349" s="48"/>
      <c r="AX349" s="48"/>
      <c r="AY349" s="48"/>
      <c r="AZ349" s="48"/>
      <c r="BA349" s="48"/>
    </row>
    <row r="350" spans="1:53" x14ac:dyDescent="0.2">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c r="AY350" s="48"/>
      <c r="AZ350" s="48"/>
      <c r="BA350" s="48"/>
    </row>
    <row r="351" spans="1:53" x14ac:dyDescent="0.2">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c r="AD351" s="48"/>
      <c r="AE351" s="48"/>
      <c r="AF351" s="48"/>
      <c r="AG351" s="48"/>
      <c r="AH351" s="48"/>
      <c r="AI351" s="48"/>
      <c r="AJ351" s="48"/>
      <c r="AK351" s="48"/>
      <c r="AL351" s="48"/>
      <c r="AM351" s="48"/>
      <c r="AN351" s="48"/>
      <c r="AO351" s="48"/>
      <c r="AP351" s="48"/>
      <c r="AQ351" s="48"/>
      <c r="AR351" s="48"/>
      <c r="AS351" s="48"/>
      <c r="AT351" s="48"/>
      <c r="AU351" s="48"/>
      <c r="AV351" s="48"/>
      <c r="AW351" s="48"/>
      <c r="AX351" s="48"/>
      <c r="AY351" s="48"/>
      <c r="AZ351" s="48"/>
      <c r="BA351" s="48"/>
    </row>
    <row r="352" spans="1:53" x14ac:dyDescent="0.2">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c r="AH352" s="48"/>
      <c r="AI352" s="48"/>
      <c r="AJ352" s="48"/>
      <c r="AK352" s="48"/>
      <c r="AL352" s="48"/>
      <c r="AM352" s="48"/>
      <c r="AN352" s="48"/>
      <c r="AO352" s="48"/>
      <c r="AP352" s="48"/>
      <c r="AQ352" s="48"/>
      <c r="AR352" s="48"/>
      <c r="AS352" s="48"/>
      <c r="AT352" s="48"/>
      <c r="AU352" s="48"/>
      <c r="AV352" s="48"/>
      <c r="AW352" s="48"/>
      <c r="AX352" s="48"/>
      <c r="AY352" s="48"/>
      <c r="AZ352" s="48"/>
      <c r="BA352" s="48"/>
    </row>
    <row r="353" spans="1:53" x14ac:dyDescent="0.2">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8"/>
      <c r="AP353" s="48"/>
      <c r="AQ353" s="48"/>
      <c r="AR353" s="48"/>
      <c r="AS353" s="48"/>
      <c r="AT353" s="48"/>
      <c r="AU353" s="48"/>
      <c r="AV353" s="48"/>
      <c r="AW353" s="48"/>
      <c r="AX353" s="48"/>
      <c r="AY353" s="48"/>
      <c r="AZ353" s="48"/>
      <c r="BA353" s="48"/>
    </row>
    <row r="354" spans="1:53" x14ac:dyDescent="0.2">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c r="AH354" s="48"/>
      <c r="AI354" s="48"/>
      <c r="AJ354" s="48"/>
      <c r="AK354" s="48"/>
      <c r="AL354" s="48"/>
      <c r="AM354" s="48"/>
      <c r="AN354" s="48"/>
      <c r="AO354" s="48"/>
      <c r="AP354" s="48"/>
      <c r="AQ354" s="48"/>
      <c r="AR354" s="48"/>
      <c r="AS354" s="48"/>
      <c r="AT354" s="48"/>
      <c r="AU354" s="48"/>
      <c r="AV354" s="48"/>
      <c r="AW354" s="48"/>
      <c r="AX354" s="48"/>
      <c r="AY354" s="48"/>
      <c r="AZ354" s="48"/>
      <c r="BA354" s="48"/>
    </row>
    <row r="355" spans="1:53" x14ac:dyDescent="0.2">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row>
    <row r="356" spans="1:53" x14ac:dyDescent="0.2">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48"/>
      <c r="AJ356" s="48"/>
      <c r="AK356" s="48"/>
      <c r="AL356" s="48"/>
      <c r="AM356" s="48"/>
      <c r="AN356" s="48"/>
      <c r="AO356" s="48"/>
      <c r="AP356" s="48"/>
      <c r="AQ356" s="48"/>
      <c r="AR356" s="48"/>
      <c r="AS356" s="48"/>
      <c r="AT356" s="48"/>
      <c r="AU356" s="48"/>
      <c r="AV356" s="48"/>
      <c r="AW356" s="48"/>
      <c r="AX356" s="48"/>
      <c r="AY356" s="48"/>
      <c r="AZ356" s="48"/>
      <c r="BA356" s="48"/>
    </row>
    <row r="357" spans="1:53" x14ac:dyDescent="0.2">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c r="AD357" s="48"/>
      <c r="AE357" s="48"/>
      <c r="AF357" s="48"/>
      <c r="AG357" s="48"/>
      <c r="AH357" s="48"/>
      <c r="AI357" s="48"/>
      <c r="AJ357" s="48"/>
      <c r="AK357" s="48"/>
      <c r="AL357" s="48"/>
      <c r="AM357" s="48"/>
      <c r="AN357" s="48"/>
      <c r="AO357" s="48"/>
      <c r="AP357" s="48"/>
      <c r="AQ357" s="48"/>
      <c r="AR357" s="48"/>
      <c r="AS357" s="48"/>
      <c r="AT357" s="48"/>
      <c r="AU357" s="48"/>
      <c r="AV357" s="48"/>
      <c r="AW357" s="48"/>
      <c r="AX357" s="48"/>
      <c r="AY357" s="48"/>
      <c r="AZ357" s="48"/>
      <c r="BA357" s="48"/>
    </row>
    <row r="358" spans="1:53" x14ac:dyDescent="0.2">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c r="AD358" s="48"/>
      <c r="AE358" s="48"/>
      <c r="AF358" s="48"/>
      <c r="AG358" s="48"/>
      <c r="AH358" s="48"/>
      <c r="AI358" s="48"/>
      <c r="AJ358" s="48"/>
      <c r="AK358" s="48"/>
      <c r="AL358" s="48"/>
      <c r="AM358" s="48"/>
      <c r="AN358" s="48"/>
      <c r="AO358" s="48"/>
      <c r="AP358" s="48"/>
      <c r="AQ358" s="48"/>
      <c r="AR358" s="48"/>
      <c r="AS358" s="48"/>
      <c r="AT358" s="48"/>
      <c r="AU358" s="48"/>
      <c r="AV358" s="48"/>
      <c r="AW358" s="48"/>
      <c r="AX358" s="48"/>
      <c r="AY358" s="48"/>
      <c r="AZ358" s="48"/>
      <c r="BA358" s="48"/>
    </row>
    <row r="359" spans="1:53" x14ac:dyDescent="0.2">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row>
    <row r="360" spans="1:53" x14ac:dyDescent="0.2">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row>
    <row r="361" spans="1:53" x14ac:dyDescent="0.2">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c r="AD361" s="48"/>
      <c r="AE361" s="48"/>
      <c r="AF361" s="48"/>
      <c r="AG361" s="48"/>
      <c r="AH361" s="48"/>
      <c r="AI361" s="48"/>
      <c r="AJ361" s="48"/>
      <c r="AK361" s="48"/>
      <c r="AL361" s="48"/>
      <c r="AM361" s="48"/>
      <c r="AN361" s="48"/>
      <c r="AO361" s="48"/>
      <c r="AP361" s="48"/>
      <c r="AQ361" s="48"/>
      <c r="AR361" s="48"/>
      <c r="AS361" s="48"/>
      <c r="AT361" s="48"/>
      <c r="AU361" s="48"/>
      <c r="AV361" s="48"/>
      <c r="AW361" s="48"/>
      <c r="AX361" s="48"/>
      <c r="AY361" s="48"/>
      <c r="AZ361" s="48"/>
      <c r="BA361" s="48"/>
    </row>
    <row r="362" spans="1:53" x14ac:dyDescent="0.2">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c r="AH362" s="48"/>
      <c r="AI362" s="48"/>
      <c r="AJ362" s="48"/>
      <c r="AK362" s="48"/>
      <c r="AL362" s="48"/>
      <c r="AM362" s="48"/>
      <c r="AN362" s="48"/>
      <c r="AO362" s="48"/>
      <c r="AP362" s="48"/>
      <c r="AQ362" s="48"/>
      <c r="AR362" s="48"/>
      <c r="AS362" s="48"/>
      <c r="AT362" s="48"/>
      <c r="AU362" s="48"/>
      <c r="AV362" s="48"/>
      <c r="AW362" s="48"/>
      <c r="AX362" s="48"/>
      <c r="AY362" s="48"/>
      <c r="AZ362" s="48"/>
      <c r="BA362" s="48"/>
    </row>
    <row r="363" spans="1:53" x14ac:dyDescent="0.2">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row>
    <row r="364" spans="1:53" x14ac:dyDescent="0.2">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c r="AD364" s="48"/>
      <c r="AE364" s="48"/>
      <c r="AF364" s="48"/>
      <c r="AG364" s="48"/>
      <c r="AH364" s="48"/>
      <c r="AI364" s="48"/>
      <c r="AJ364" s="48"/>
      <c r="AK364" s="48"/>
      <c r="AL364" s="48"/>
      <c r="AM364" s="48"/>
      <c r="AN364" s="48"/>
      <c r="AO364" s="48"/>
      <c r="AP364" s="48"/>
      <c r="AQ364" s="48"/>
      <c r="AR364" s="48"/>
      <c r="AS364" s="48"/>
      <c r="AT364" s="48"/>
      <c r="AU364" s="48"/>
      <c r="AV364" s="48"/>
      <c r="AW364" s="48"/>
      <c r="AX364" s="48"/>
      <c r="AY364" s="48"/>
      <c r="AZ364" s="48"/>
      <c r="BA364" s="48"/>
    </row>
    <row r="365" spans="1:53" x14ac:dyDescent="0.2">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row>
    <row r="366" spans="1:53" x14ac:dyDescent="0.2">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c r="AD366" s="48"/>
      <c r="AE366" s="48"/>
      <c r="AF366" s="48"/>
      <c r="AG366" s="48"/>
      <c r="AH366" s="48"/>
      <c r="AI366" s="48"/>
      <c r="AJ366" s="48"/>
      <c r="AK366" s="48"/>
      <c r="AL366" s="48"/>
      <c r="AM366" s="48"/>
      <c r="AN366" s="48"/>
      <c r="AO366" s="48"/>
      <c r="AP366" s="48"/>
      <c r="AQ366" s="48"/>
      <c r="AR366" s="48"/>
      <c r="AS366" s="48"/>
      <c r="AT366" s="48"/>
      <c r="AU366" s="48"/>
      <c r="AV366" s="48"/>
      <c r="AW366" s="48"/>
      <c r="AX366" s="48"/>
      <c r="AY366" s="48"/>
      <c r="AZ366" s="48"/>
      <c r="BA366" s="48"/>
    </row>
    <row r="367" spans="1:53" x14ac:dyDescent="0.2">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row>
    <row r="368" spans="1:53" x14ac:dyDescent="0.2">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row>
    <row r="369" spans="1:53" x14ac:dyDescent="0.2">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c r="AD369" s="48"/>
      <c r="AE369" s="48"/>
      <c r="AF369" s="48"/>
      <c r="AG369" s="48"/>
      <c r="AH369" s="48"/>
      <c r="AI369" s="48"/>
      <c r="AJ369" s="48"/>
      <c r="AK369" s="48"/>
      <c r="AL369" s="48"/>
      <c r="AM369" s="48"/>
      <c r="AN369" s="48"/>
      <c r="AO369" s="48"/>
      <c r="AP369" s="48"/>
      <c r="AQ369" s="48"/>
      <c r="AR369" s="48"/>
      <c r="AS369" s="48"/>
      <c r="AT369" s="48"/>
      <c r="AU369" s="48"/>
      <c r="AV369" s="48"/>
      <c r="AW369" s="48"/>
      <c r="AX369" s="48"/>
      <c r="AY369" s="48"/>
      <c r="AZ369" s="48"/>
      <c r="BA369" s="48"/>
    </row>
    <row r="370" spans="1:53" x14ac:dyDescent="0.2">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row>
    <row r="371" spans="1:53" x14ac:dyDescent="0.2">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row>
    <row r="372" spans="1:53" x14ac:dyDescent="0.2">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c r="AD372" s="48"/>
      <c r="AE372" s="48"/>
      <c r="AF372" s="48"/>
      <c r="AG372" s="48"/>
      <c r="AH372" s="48"/>
      <c r="AI372" s="48"/>
      <c r="AJ372" s="48"/>
      <c r="AK372" s="48"/>
      <c r="AL372" s="48"/>
      <c r="AM372" s="48"/>
      <c r="AN372" s="48"/>
      <c r="AO372" s="48"/>
      <c r="AP372" s="48"/>
      <c r="AQ372" s="48"/>
      <c r="AR372" s="48"/>
      <c r="AS372" s="48"/>
      <c r="AT372" s="48"/>
      <c r="AU372" s="48"/>
      <c r="AV372" s="48"/>
      <c r="AW372" s="48"/>
      <c r="AX372" s="48"/>
      <c r="AY372" s="48"/>
      <c r="AZ372" s="48"/>
      <c r="BA372" s="48"/>
    </row>
    <row r="373" spans="1:53" x14ac:dyDescent="0.2">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c r="AX373" s="48"/>
      <c r="AY373" s="48"/>
      <c r="AZ373" s="48"/>
      <c r="BA373" s="48"/>
    </row>
    <row r="374" spans="1:53" x14ac:dyDescent="0.2">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c r="AD374" s="48"/>
      <c r="AE374" s="48"/>
      <c r="AF374" s="48"/>
      <c r="AG374" s="48"/>
      <c r="AH374" s="48"/>
      <c r="AI374" s="48"/>
      <c r="AJ374" s="48"/>
      <c r="AK374" s="48"/>
      <c r="AL374" s="48"/>
      <c r="AM374" s="48"/>
      <c r="AN374" s="48"/>
      <c r="AO374" s="48"/>
      <c r="AP374" s="48"/>
      <c r="AQ374" s="48"/>
      <c r="AR374" s="48"/>
      <c r="AS374" s="48"/>
      <c r="AT374" s="48"/>
      <c r="AU374" s="48"/>
      <c r="AV374" s="48"/>
      <c r="AW374" s="48"/>
      <c r="AX374" s="48"/>
      <c r="AY374" s="48"/>
      <c r="AZ374" s="48"/>
      <c r="BA374" s="48"/>
    </row>
    <row r="375" spans="1:53" x14ac:dyDescent="0.2">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row>
    <row r="376" spans="1:53" x14ac:dyDescent="0.2">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c r="AD376" s="48"/>
      <c r="AE376" s="48"/>
      <c r="AF376" s="48"/>
      <c r="AG376" s="48"/>
      <c r="AH376" s="48"/>
      <c r="AI376" s="48"/>
      <c r="AJ376" s="48"/>
      <c r="AK376" s="48"/>
      <c r="AL376" s="48"/>
      <c r="AM376" s="48"/>
      <c r="AN376" s="48"/>
      <c r="AO376" s="48"/>
      <c r="AP376" s="48"/>
      <c r="AQ376" s="48"/>
      <c r="AR376" s="48"/>
      <c r="AS376" s="48"/>
      <c r="AT376" s="48"/>
      <c r="AU376" s="48"/>
      <c r="AV376" s="48"/>
      <c r="AW376" s="48"/>
      <c r="AX376" s="48"/>
      <c r="AY376" s="48"/>
      <c r="AZ376" s="48"/>
      <c r="BA376" s="48"/>
    </row>
    <row r="377" spans="1:53" x14ac:dyDescent="0.2">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c r="AH377" s="48"/>
      <c r="AI377" s="48"/>
      <c r="AJ377" s="48"/>
      <c r="AK377" s="48"/>
      <c r="AL377" s="48"/>
      <c r="AM377" s="48"/>
      <c r="AN377" s="48"/>
      <c r="AO377" s="48"/>
      <c r="AP377" s="48"/>
      <c r="AQ377" s="48"/>
      <c r="AR377" s="48"/>
      <c r="AS377" s="48"/>
      <c r="AT377" s="48"/>
      <c r="AU377" s="48"/>
      <c r="AV377" s="48"/>
      <c r="AW377" s="48"/>
      <c r="AX377" s="48"/>
      <c r="AY377" s="48"/>
      <c r="AZ377" s="48"/>
      <c r="BA377" s="48"/>
    </row>
    <row r="378" spans="1:53" x14ac:dyDescent="0.2">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c r="AD378" s="48"/>
      <c r="AE378" s="48"/>
      <c r="AF378" s="48"/>
      <c r="AG378" s="48"/>
      <c r="AH378" s="48"/>
      <c r="AI378" s="48"/>
      <c r="AJ378" s="48"/>
      <c r="AK378" s="48"/>
      <c r="AL378" s="48"/>
      <c r="AM378" s="48"/>
      <c r="AN378" s="48"/>
      <c r="AO378" s="48"/>
      <c r="AP378" s="48"/>
      <c r="AQ378" s="48"/>
      <c r="AR378" s="48"/>
      <c r="AS378" s="48"/>
      <c r="AT378" s="48"/>
      <c r="AU378" s="48"/>
      <c r="AV378" s="48"/>
      <c r="AW378" s="48"/>
      <c r="AX378" s="48"/>
      <c r="AY378" s="48"/>
      <c r="AZ378" s="48"/>
      <c r="BA378" s="48"/>
    </row>
    <row r="379" spans="1:53" x14ac:dyDescent="0.2">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c r="AH379" s="48"/>
      <c r="AI379" s="48"/>
      <c r="AJ379" s="48"/>
      <c r="AK379" s="48"/>
      <c r="AL379" s="48"/>
      <c r="AM379" s="48"/>
      <c r="AN379" s="48"/>
      <c r="AO379" s="48"/>
      <c r="AP379" s="48"/>
      <c r="AQ379" s="48"/>
      <c r="AR379" s="48"/>
      <c r="AS379" s="48"/>
      <c r="AT379" s="48"/>
      <c r="AU379" s="48"/>
      <c r="AV379" s="48"/>
      <c r="AW379" s="48"/>
      <c r="AX379" s="48"/>
      <c r="AY379" s="48"/>
      <c r="AZ379" s="48"/>
      <c r="BA379" s="48"/>
    </row>
    <row r="380" spans="1:53" x14ac:dyDescent="0.2">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row>
    <row r="381" spans="1:53" x14ac:dyDescent="0.2">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c r="AH381" s="48"/>
      <c r="AI381" s="48"/>
      <c r="AJ381" s="48"/>
      <c r="AK381" s="48"/>
      <c r="AL381" s="48"/>
      <c r="AM381" s="48"/>
      <c r="AN381" s="48"/>
      <c r="AO381" s="48"/>
      <c r="AP381" s="48"/>
      <c r="AQ381" s="48"/>
      <c r="AR381" s="48"/>
      <c r="AS381" s="48"/>
      <c r="AT381" s="48"/>
      <c r="AU381" s="48"/>
      <c r="AV381" s="48"/>
      <c r="AW381" s="48"/>
      <c r="AX381" s="48"/>
      <c r="AY381" s="48"/>
      <c r="AZ381" s="48"/>
      <c r="BA381" s="48"/>
    </row>
    <row r="382" spans="1:53" x14ac:dyDescent="0.2">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c r="AH382" s="48"/>
      <c r="AI382" s="48"/>
      <c r="AJ382" s="48"/>
      <c r="AK382" s="48"/>
      <c r="AL382" s="48"/>
      <c r="AM382" s="48"/>
      <c r="AN382" s="48"/>
      <c r="AO382" s="48"/>
      <c r="AP382" s="48"/>
      <c r="AQ382" s="48"/>
      <c r="AR382" s="48"/>
      <c r="AS382" s="48"/>
      <c r="AT382" s="48"/>
      <c r="AU382" s="48"/>
      <c r="AV382" s="48"/>
      <c r="AW382" s="48"/>
      <c r="AX382" s="48"/>
      <c r="AY382" s="48"/>
      <c r="AZ382" s="48"/>
      <c r="BA382" s="48"/>
    </row>
    <row r="383" spans="1:53" x14ac:dyDescent="0.2">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c r="AH383" s="48"/>
      <c r="AI383" s="48"/>
      <c r="AJ383" s="48"/>
      <c r="AK383" s="48"/>
      <c r="AL383" s="48"/>
      <c r="AM383" s="48"/>
      <c r="AN383" s="48"/>
      <c r="AO383" s="48"/>
      <c r="AP383" s="48"/>
      <c r="AQ383" s="48"/>
      <c r="AR383" s="48"/>
      <c r="AS383" s="48"/>
      <c r="AT383" s="48"/>
      <c r="AU383" s="48"/>
      <c r="AV383" s="48"/>
      <c r="AW383" s="48"/>
      <c r="AX383" s="48"/>
      <c r="AY383" s="48"/>
      <c r="AZ383" s="48"/>
      <c r="BA383" s="48"/>
    </row>
    <row r="384" spans="1:53" x14ac:dyDescent="0.2">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c r="AH384" s="48"/>
      <c r="AI384" s="48"/>
      <c r="AJ384" s="48"/>
      <c r="AK384" s="48"/>
      <c r="AL384" s="48"/>
      <c r="AM384" s="48"/>
      <c r="AN384" s="48"/>
      <c r="AO384" s="48"/>
      <c r="AP384" s="48"/>
      <c r="AQ384" s="48"/>
      <c r="AR384" s="48"/>
      <c r="AS384" s="48"/>
      <c r="AT384" s="48"/>
      <c r="AU384" s="48"/>
      <c r="AV384" s="48"/>
      <c r="AW384" s="48"/>
      <c r="AX384" s="48"/>
      <c r="AY384" s="48"/>
      <c r="AZ384" s="48"/>
      <c r="BA384" s="48"/>
    </row>
    <row r="385" spans="1:53" x14ac:dyDescent="0.2">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c r="AH385" s="48"/>
      <c r="AI385" s="48"/>
      <c r="AJ385" s="48"/>
      <c r="AK385" s="48"/>
      <c r="AL385" s="48"/>
      <c r="AM385" s="48"/>
      <c r="AN385" s="48"/>
      <c r="AO385" s="48"/>
      <c r="AP385" s="48"/>
      <c r="AQ385" s="48"/>
      <c r="AR385" s="48"/>
      <c r="AS385" s="48"/>
      <c r="AT385" s="48"/>
      <c r="AU385" s="48"/>
      <c r="AV385" s="48"/>
      <c r="AW385" s="48"/>
      <c r="AX385" s="48"/>
      <c r="AY385" s="48"/>
      <c r="AZ385" s="48"/>
      <c r="BA385" s="48"/>
    </row>
    <row r="386" spans="1:53" x14ac:dyDescent="0.2">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row>
    <row r="387" spans="1:53" x14ac:dyDescent="0.2">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c r="AH387" s="48"/>
      <c r="AI387" s="48"/>
      <c r="AJ387" s="48"/>
      <c r="AK387" s="48"/>
      <c r="AL387" s="48"/>
      <c r="AM387" s="48"/>
      <c r="AN387" s="48"/>
      <c r="AO387" s="48"/>
      <c r="AP387" s="48"/>
      <c r="AQ387" s="48"/>
      <c r="AR387" s="48"/>
      <c r="AS387" s="48"/>
      <c r="AT387" s="48"/>
      <c r="AU387" s="48"/>
      <c r="AV387" s="48"/>
      <c r="AW387" s="48"/>
      <c r="AX387" s="48"/>
      <c r="AY387" s="48"/>
      <c r="AZ387" s="48"/>
      <c r="BA387" s="48"/>
    </row>
    <row r="388" spans="1:53" x14ac:dyDescent="0.2">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c r="AH388" s="48"/>
      <c r="AI388" s="48"/>
      <c r="AJ388" s="48"/>
      <c r="AK388" s="48"/>
      <c r="AL388" s="48"/>
      <c r="AM388" s="48"/>
      <c r="AN388" s="48"/>
      <c r="AO388" s="48"/>
      <c r="AP388" s="48"/>
      <c r="AQ388" s="48"/>
      <c r="AR388" s="48"/>
      <c r="AS388" s="48"/>
      <c r="AT388" s="48"/>
      <c r="AU388" s="48"/>
      <c r="AV388" s="48"/>
      <c r="AW388" s="48"/>
      <c r="AX388" s="48"/>
      <c r="AY388" s="48"/>
      <c r="AZ388" s="48"/>
      <c r="BA388" s="48"/>
    </row>
    <row r="389" spans="1:53" x14ac:dyDescent="0.2">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c r="AH389" s="48"/>
      <c r="AI389" s="48"/>
      <c r="AJ389" s="48"/>
      <c r="AK389" s="48"/>
      <c r="AL389" s="48"/>
      <c r="AM389" s="48"/>
      <c r="AN389" s="48"/>
      <c r="AO389" s="48"/>
      <c r="AP389" s="48"/>
      <c r="AQ389" s="48"/>
      <c r="AR389" s="48"/>
      <c r="AS389" s="48"/>
      <c r="AT389" s="48"/>
      <c r="AU389" s="48"/>
      <c r="AV389" s="48"/>
      <c r="AW389" s="48"/>
      <c r="AX389" s="48"/>
      <c r="AY389" s="48"/>
      <c r="AZ389" s="48"/>
      <c r="BA389" s="48"/>
    </row>
    <row r="390" spans="1:53" x14ac:dyDescent="0.2">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row>
    <row r="391" spans="1:53" x14ac:dyDescent="0.2">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c r="AF391" s="48"/>
      <c r="AG391" s="48"/>
      <c r="AH391" s="48"/>
      <c r="AI391" s="48"/>
      <c r="AJ391" s="48"/>
      <c r="AK391" s="48"/>
      <c r="AL391" s="48"/>
      <c r="AM391" s="48"/>
      <c r="AN391" s="48"/>
      <c r="AO391" s="48"/>
      <c r="AP391" s="48"/>
      <c r="AQ391" s="48"/>
      <c r="AR391" s="48"/>
      <c r="AS391" s="48"/>
      <c r="AT391" s="48"/>
      <c r="AU391" s="48"/>
      <c r="AV391" s="48"/>
      <c r="AW391" s="48"/>
      <c r="AX391" s="48"/>
      <c r="AY391" s="48"/>
      <c r="AZ391" s="48"/>
      <c r="BA391" s="48"/>
    </row>
    <row r="392" spans="1:53" x14ac:dyDescent="0.2">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c r="AD392" s="48"/>
      <c r="AE392" s="48"/>
      <c r="AF392" s="48"/>
      <c r="AG392" s="48"/>
      <c r="AH392" s="48"/>
      <c r="AI392" s="48"/>
      <c r="AJ392" s="48"/>
      <c r="AK392" s="48"/>
      <c r="AL392" s="48"/>
      <c r="AM392" s="48"/>
      <c r="AN392" s="48"/>
      <c r="AO392" s="48"/>
      <c r="AP392" s="48"/>
      <c r="AQ392" s="48"/>
      <c r="AR392" s="48"/>
      <c r="AS392" s="48"/>
      <c r="AT392" s="48"/>
      <c r="AU392" s="48"/>
      <c r="AV392" s="48"/>
      <c r="AW392" s="48"/>
      <c r="AX392" s="48"/>
      <c r="AY392" s="48"/>
      <c r="AZ392" s="48"/>
      <c r="BA392" s="48"/>
    </row>
    <row r="393" spans="1:53" x14ac:dyDescent="0.2">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c r="AH393" s="48"/>
      <c r="AI393" s="48"/>
      <c r="AJ393" s="48"/>
      <c r="AK393" s="48"/>
      <c r="AL393" s="48"/>
      <c r="AM393" s="48"/>
      <c r="AN393" s="48"/>
      <c r="AO393" s="48"/>
      <c r="AP393" s="48"/>
      <c r="AQ393" s="48"/>
      <c r="AR393" s="48"/>
      <c r="AS393" s="48"/>
      <c r="AT393" s="48"/>
      <c r="AU393" s="48"/>
      <c r="AV393" s="48"/>
      <c r="AW393" s="48"/>
      <c r="AX393" s="48"/>
      <c r="AY393" s="48"/>
      <c r="AZ393" s="48"/>
      <c r="BA393" s="48"/>
    </row>
    <row r="394" spans="1:53" x14ac:dyDescent="0.2">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c r="AH394" s="48"/>
      <c r="AI394" s="48"/>
      <c r="AJ394" s="48"/>
      <c r="AK394" s="48"/>
      <c r="AL394" s="48"/>
      <c r="AM394" s="48"/>
      <c r="AN394" s="48"/>
      <c r="AO394" s="48"/>
      <c r="AP394" s="48"/>
      <c r="AQ394" s="48"/>
      <c r="AR394" s="48"/>
      <c r="AS394" s="48"/>
      <c r="AT394" s="48"/>
      <c r="AU394" s="48"/>
      <c r="AV394" s="48"/>
      <c r="AW394" s="48"/>
      <c r="AX394" s="48"/>
      <c r="AY394" s="48"/>
      <c r="AZ394" s="48"/>
      <c r="BA394" s="48"/>
    </row>
    <row r="395" spans="1:53" x14ac:dyDescent="0.2">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c r="AH395" s="48"/>
      <c r="AI395" s="48"/>
      <c r="AJ395" s="48"/>
      <c r="AK395" s="48"/>
      <c r="AL395" s="48"/>
      <c r="AM395" s="48"/>
      <c r="AN395" s="48"/>
      <c r="AO395" s="48"/>
      <c r="AP395" s="48"/>
      <c r="AQ395" s="48"/>
      <c r="AR395" s="48"/>
      <c r="AS395" s="48"/>
      <c r="AT395" s="48"/>
      <c r="AU395" s="48"/>
      <c r="AV395" s="48"/>
      <c r="AW395" s="48"/>
      <c r="AX395" s="48"/>
      <c r="AY395" s="48"/>
      <c r="AZ395" s="48"/>
      <c r="BA395" s="48"/>
    </row>
    <row r="396" spans="1:53" x14ac:dyDescent="0.2">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c r="AU396" s="48"/>
      <c r="AV396" s="48"/>
      <c r="AW396" s="48"/>
      <c r="AX396" s="48"/>
      <c r="AY396" s="48"/>
      <c r="AZ396" s="48"/>
      <c r="BA396" s="48"/>
    </row>
    <row r="397" spans="1:53" x14ac:dyDescent="0.2">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c r="AD397" s="48"/>
      <c r="AE397" s="48"/>
      <c r="AF397" s="48"/>
      <c r="AG397" s="48"/>
      <c r="AH397" s="48"/>
      <c r="AI397" s="48"/>
      <c r="AJ397" s="48"/>
      <c r="AK397" s="48"/>
      <c r="AL397" s="48"/>
      <c r="AM397" s="48"/>
      <c r="AN397" s="48"/>
      <c r="AO397" s="48"/>
      <c r="AP397" s="48"/>
      <c r="AQ397" s="48"/>
      <c r="AR397" s="48"/>
      <c r="AS397" s="48"/>
      <c r="AT397" s="48"/>
      <c r="AU397" s="48"/>
      <c r="AV397" s="48"/>
      <c r="AW397" s="48"/>
      <c r="AX397" s="48"/>
      <c r="AY397" s="48"/>
      <c r="AZ397" s="48"/>
      <c r="BA397" s="48"/>
    </row>
    <row r="398" spans="1:53" x14ac:dyDescent="0.2">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c r="AD398" s="48"/>
      <c r="AE398" s="48"/>
      <c r="AF398" s="48"/>
      <c r="AG398" s="48"/>
      <c r="AH398" s="48"/>
      <c r="AI398" s="48"/>
      <c r="AJ398" s="48"/>
      <c r="AK398" s="48"/>
      <c r="AL398" s="48"/>
      <c r="AM398" s="48"/>
      <c r="AN398" s="48"/>
      <c r="AO398" s="48"/>
      <c r="AP398" s="48"/>
      <c r="AQ398" s="48"/>
      <c r="AR398" s="48"/>
      <c r="AS398" s="48"/>
      <c r="AT398" s="48"/>
      <c r="AU398" s="48"/>
      <c r="AV398" s="48"/>
      <c r="AW398" s="48"/>
      <c r="AX398" s="48"/>
      <c r="AY398" s="48"/>
      <c r="AZ398" s="48"/>
      <c r="BA398" s="48"/>
    </row>
    <row r="399" spans="1:53" x14ac:dyDescent="0.2">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G399" s="48"/>
      <c r="AH399" s="48"/>
      <c r="AI399" s="48"/>
      <c r="AJ399" s="48"/>
      <c r="AK399" s="48"/>
      <c r="AL399" s="48"/>
      <c r="AM399" s="48"/>
      <c r="AN399" s="48"/>
      <c r="AO399" s="48"/>
      <c r="AP399" s="48"/>
      <c r="AQ399" s="48"/>
      <c r="AR399" s="48"/>
      <c r="AS399" s="48"/>
      <c r="AT399" s="48"/>
      <c r="AU399" s="48"/>
      <c r="AV399" s="48"/>
      <c r="AW399" s="48"/>
      <c r="AX399" s="48"/>
      <c r="AY399" s="48"/>
      <c r="AZ399" s="48"/>
      <c r="BA399" s="48"/>
    </row>
    <row r="400" spans="1:53" x14ac:dyDescent="0.2">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c r="AH400" s="48"/>
      <c r="AI400" s="48"/>
      <c r="AJ400" s="48"/>
      <c r="AK400" s="48"/>
      <c r="AL400" s="48"/>
      <c r="AM400" s="48"/>
      <c r="AN400" s="48"/>
      <c r="AO400" s="48"/>
      <c r="AP400" s="48"/>
      <c r="AQ400" s="48"/>
      <c r="AR400" s="48"/>
      <c r="AS400" s="48"/>
      <c r="AT400" s="48"/>
      <c r="AU400" s="48"/>
      <c r="AV400" s="48"/>
      <c r="AW400" s="48"/>
      <c r="AX400" s="48"/>
      <c r="AY400" s="48"/>
      <c r="AZ400" s="48"/>
      <c r="BA400" s="48"/>
    </row>
    <row r="401" spans="1:53" x14ac:dyDescent="0.2">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c r="AH401" s="48"/>
      <c r="AI401" s="48"/>
      <c r="AJ401" s="48"/>
      <c r="AK401" s="48"/>
      <c r="AL401" s="48"/>
      <c r="AM401" s="48"/>
      <c r="AN401" s="48"/>
      <c r="AO401" s="48"/>
      <c r="AP401" s="48"/>
      <c r="AQ401" s="48"/>
      <c r="AR401" s="48"/>
      <c r="AS401" s="48"/>
      <c r="AT401" s="48"/>
      <c r="AU401" s="48"/>
      <c r="AV401" s="48"/>
      <c r="AW401" s="48"/>
      <c r="AX401" s="48"/>
      <c r="AY401" s="48"/>
      <c r="AZ401" s="48"/>
      <c r="BA401" s="48"/>
    </row>
    <row r="402" spans="1:53" x14ac:dyDescent="0.2">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48"/>
      <c r="AL402" s="48"/>
      <c r="AM402" s="48"/>
      <c r="AN402" s="48"/>
      <c r="AO402" s="48"/>
      <c r="AP402" s="48"/>
      <c r="AQ402" s="48"/>
      <c r="AR402" s="48"/>
      <c r="AS402" s="48"/>
      <c r="AT402" s="48"/>
      <c r="AU402" s="48"/>
      <c r="AV402" s="48"/>
      <c r="AW402" s="48"/>
      <c r="AX402" s="48"/>
      <c r="AY402" s="48"/>
      <c r="AZ402" s="48"/>
      <c r="BA402" s="48"/>
    </row>
    <row r="403" spans="1:53" x14ac:dyDescent="0.2">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c r="AG403" s="48"/>
      <c r="AH403" s="48"/>
      <c r="AI403" s="48"/>
      <c r="AJ403" s="48"/>
      <c r="AK403" s="48"/>
      <c r="AL403" s="48"/>
      <c r="AM403" s="48"/>
      <c r="AN403" s="48"/>
      <c r="AO403" s="48"/>
      <c r="AP403" s="48"/>
      <c r="AQ403" s="48"/>
      <c r="AR403" s="48"/>
      <c r="AS403" s="48"/>
      <c r="AT403" s="48"/>
      <c r="AU403" s="48"/>
      <c r="AV403" s="48"/>
      <c r="AW403" s="48"/>
      <c r="AX403" s="48"/>
      <c r="AY403" s="48"/>
      <c r="AZ403" s="48"/>
      <c r="BA403" s="48"/>
    </row>
    <row r="404" spans="1:53" x14ac:dyDescent="0.2">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c r="AH404" s="48"/>
      <c r="AI404" s="48"/>
      <c r="AJ404" s="48"/>
      <c r="AK404" s="48"/>
      <c r="AL404" s="48"/>
      <c r="AM404" s="48"/>
      <c r="AN404" s="48"/>
      <c r="AO404" s="48"/>
      <c r="AP404" s="48"/>
      <c r="AQ404" s="48"/>
      <c r="AR404" s="48"/>
      <c r="AS404" s="48"/>
      <c r="AT404" s="48"/>
      <c r="AU404" s="48"/>
      <c r="AV404" s="48"/>
      <c r="AW404" s="48"/>
      <c r="AX404" s="48"/>
      <c r="AY404" s="48"/>
      <c r="AZ404" s="48"/>
      <c r="BA404" s="48"/>
    </row>
    <row r="405" spans="1:53" x14ac:dyDescent="0.2">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G405" s="48"/>
      <c r="AH405" s="48"/>
      <c r="AI405" s="48"/>
      <c r="AJ405" s="48"/>
      <c r="AK405" s="48"/>
      <c r="AL405" s="48"/>
      <c r="AM405" s="48"/>
      <c r="AN405" s="48"/>
      <c r="AO405" s="48"/>
      <c r="AP405" s="48"/>
      <c r="AQ405" s="48"/>
      <c r="AR405" s="48"/>
      <c r="AS405" s="48"/>
      <c r="AT405" s="48"/>
      <c r="AU405" s="48"/>
      <c r="AV405" s="48"/>
      <c r="AW405" s="48"/>
      <c r="AX405" s="48"/>
      <c r="AY405" s="48"/>
      <c r="AZ405" s="48"/>
      <c r="BA405" s="48"/>
    </row>
    <row r="406" spans="1:53" x14ac:dyDescent="0.2">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8"/>
      <c r="AL406" s="48"/>
      <c r="AM406" s="48"/>
      <c r="AN406" s="48"/>
      <c r="AO406" s="48"/>
      <c r="AP406" s="48"/>
      <c r="AQ406" s="48"/>
      <c r="AR406" s="48"/>
      <c r="AS406" s="48"/>
      <c r="AT406" s="48"/>
      <c r="AU406" s="48"/>
      <c r="AV406" s="48"/>
      <c r="AW406" s="48"/>
      <c r="AX406" s="48"/>
      <c r="AY406" s="48"/>
      <c r="AZ406" s="48"/>
      <c r="BA406" s="48"/>
    </row>
    <row r="407" spans="1:53" x14ac:dyDescent="0.2">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c r="AH407" s="48"/>
      <c r="AI407" s="48"/>
      <c r="AJ407" s="48"/>
      <c r="AK407" s="48"/>
      <c r="AL407" s="48"/>
      <c r="AM407" s="48"/>
      <c r="AN407" s="48"/>
      <c r="AO407" s="48"/>
      <c r="AP407" s="48"/>
      <c r="AQ407" s="48"/>
      <c r="AR407" s="48"/>
      <c r="AS407" s="48"/>
      <c r="AT407" s="48"/>
      <c r="AU407" s="48"/>
      <c r="AV407" s="48"/>
      <c r="AW407" s="48"/>
      <c r="AX407" s="48"/>
      <c r="AY407" s="48"/>
      <c r="AZ407" s="48"/>
      <c r="BA407" s="48"/>
    </row>
    <row r="408" spans="1:53" x14ac:dyDescent="0.2">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c r="AG408" s="48"/>
      <c r="AH408" s="48"/>
      <c r="AI408" s="48"/>
      <c r="AJ408" s="48"/>
      <c r="AK408" s="48"/>
      <c r="AL408" s="48"/>
      <c r="AM408" s="48"/>
      <c r="AN408" s="48"/>
      <c r="AO408" s="48"/>
      <c r="AP408" s="48"/>
      <c r="AQ408" s="48"/>
      <c r="AR408" s="48"/>
      <c r="AS408" s="48"/>
      <c r="AT408" s="48"/>
      <c r="AU408" s="48"/>
      <c r="AV408" s="48"/>
      <c r="AW408" s="48"/>
      <c r="AX408" s="48"/>
      <c r="AY408" s="48"/>
      <c r="AZ408" s="48"/>
      <c r="BA408" s="48"/>
    </row>
    <row r="409" spans="1:53" x14ac:dyDescent="0.2">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c r="AH409" s="48"/>
      <c r="AI409" s="48"/>
      <c r="AJ409" s="48"/>
      <c r="AK409" s="48"/>
      <c r="AL409" s="48"/>
      <c r="AM409" s="48"/>
      <c r="AN409" s="48"/>
      <c r="AO409" s="48"/>
      <c r="AP409" s="48"/>
      <c r="AQ409" s="48"/>
      <c r="AR409" s="48"/>
      <c r="AS409" s="48"/>
      <c r="AT409" s="48"/>
      <c r="AU409" s="48"/>
      <c r="AV409" s="48"/>
      <c r="AW409" s="48"/>
      <c r="AX409" s="48"/>
      <c r="AY409" s="48"/>
      <c r="AZ409" s="48"/>
      <c r="BA409" s="48"/>
    </row>
    <row r="410" spans="1:53" x14ac:dyDescent="0.2">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c r="AH410" s="48"/>
      <c r="AI410" s="48"/>
      <c r="AJ410" s="48"/>
      <c r="AK410" s="48"/>
      <c r="AL410" s="48"/>
      <c r="AM410" s="48"/>
      <c r="AN410" s="48"/>
      <c r="AO410" s="48"/>
      <c r="AP410" s="48"/>
      <c r="AQ410" s="48"/>
      <c r="AR410" s="48"/>
      <c r="AS410" s="48"/>
      <c r="AT410" s="48"/>
      <c r="AU410" s="48"/>
      <c r="AV410" s="48"/>
      <c r="AW410" s="48"/>
      <c r="AX410" s="48"/>
      <c r="AY410" s="48"/>
      <c r="AZ410" s="48"/>
      <c r="BA410" s="48"/>
    </row>
    <row r="411" spans="1:53" x14ac:dyDescent="0.2">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c r="AG411" s="48"/>
      <c r="AH411" s="48"/>
      <c r="AI411" s="48"/>
      <c r="AJ411" s="48"/>
      <c r="AK411" s="48"/>
      <c r="AL411" s="48"/>
      <c r="AM411" s="48"/>
      <c r="AN411" s="48"/>
      <c r="AO411" s="48"/>
      <c r="AP411" s="48"/>
      <c r="AQ411" s="48"/>
      <c r="AR411" s="48"/>
      <c r="AS411" s="48"/>
      <c r="AT411" s="48"/>
      <c r="AU411" s="48"/>
      <c r="AV411" s="48"/>
      <c r="AW411" s="48"/>
      <c r="AX411" s="48"/>
      <c r="AY411" s="48"/>
      <c r="AZ411" s="48"/>
      <c r="BA411" s="48"/>
    </row>
    <row r="412" spans="1:53" x14ac:dyDescent="0.2">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c r="AG412" s="48"/>
      <c r="AH412" s="48"/>
      <c r="AI412" s="48"/>
      <c r="AJ412" s="48"/>
      <c r="AK412" s="48"/>
      <c r="AL412" s="48"/>
      <c r="AM412" s="48"/>
      <c r="AN412" s="48"/>
      <c r="AO412" s="48"/>
      <c r="AP412" s="48"/>
      <c r="AQ412" s="48"/>
      <c r="AR412" s="48"/>
      <c r="AS412" s="48"/>
      <c r="AT412" s="48"/>
      <c r="AU412" s="48"/>
      <c r="AV412" s="48"/>
      <c r="AW412" s="48"/>
      <c r="AX412" s="48"/>
      <c r="AY412" s="48"/>
      <c r="AZ412" s="48"/>
      <c r="BA412" s="48"/>
    </row>
    <row r="413" spans="1:53" x14ac:dyDescent="0.2">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8"/>
      <c r="AL413" s="48"/>
      <c r="AM413" s="48"/>
      <c r="AN413" s="48"/>
      <c r="AO413" s="48"/>
      <c r="AP413" s="48"/>
      <c r="AQ413" s="48"/>
      <c r="AR413" s="48"/>
      <c r="AS413" s="48"/>
      <c r="AT413" s="48"/>
      <c r="AU413" s="48"/>
      <c r="AV413" s="48"/>
      <c r="AW413" s="48"/>
      <c r="AX413" s="48"/>
      <c r="AY413" s="48"/>
      <c r="AZ413" s="48"/>
      <c r="BA413" s="48"/>
    </row>
    <row r="414" spans="1:53" x14ac:dyDescent="0.2">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48"/>
      <c r="AL414" s="48"/>
      <c r="AM414" s="48"/>
      <c r="AN414" s="48"/>
      <c r="AO414" s="48"/>
      <c r="AP414" s="48"/>
      <c r="AQ414" s="48"/>
      <c r="AR414" s="48"/>
      <c r="AS414" s="48"/>
      <c r="AT414" s="48"/>
      <c r="AU414" s="48"/>
      <c r="AV414" s="48"/>
      <c r="AW414" s="48"/>
      <c r="AX414" s="48"/>
      <c r="AY414" s="48"/>
      <c r="AZ414" s="48"/>
      <c r="BA414" s="48"/>
    </row>
    <row r="415" spans="1:53" x14ac:dyDescent="0.2">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c r="AH415" s="48"/>
      <c r="AI415" s="48"/>
      <c r="AJ415" s="48"/>
      <c r="AK415" s="48"/>
      <c r="AL415" s="48"/>
      <c r="AM415" s="48"/>
      <c r="AN415" s="48"/>
      <c r="AO415" s="48"/>
      <c r="AP415" s="48"/>
      <c r="AQ415" s="48"/>
      <c r="AR415" s="48"/>
      <c r="AS415" s="48"/>
      <c r="AT415" s="48"/>
      <c r="AU415" s="48"/>
      <c r="AV415" s="48"/>
      <c r="AW415" s="48"/>
      <c r="AX415" s="48"/>
      <c r="AY415" s="48"/>
      <c r="AZ415" s="48"/>
      <c r="BA415" s="48"/>
    </row>
    <row r="416" spans="1:53" x14ac:dyDescent="0.2">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c r="AG416" s="48"/>
      <c r="AH416" s="48"/>
      <c r="AI416" s="48"/>
      <c r="AJ416" s="48"/>
      <c r="AK416" s="48"/>
      <c r="AL416" s="48"/>
      <c r="AM416" s="48"/>
      <c r="AN416" s="48"/>
      <c r="AO416" s="48"/>
      <c r="AP416" s="48"/>
      <c r="AQ416" s="48"/>
      <c r="AR416" s="48"/>
      <c r="AS416" s="48"/>
      <c r="AT416" s="48"/>
      <c r="AU416" s="48"/>
      <c r="AV416" s="48"/>
      <c r="AW416" s="48"/>
      <c r="AX416" s="48"/>
      <c r="AY416" s="48"/>
      <c r="AZ416" s="48"/>
      <c r="BA416" s="48"/>
    </row>
    <row r="417" spans="1:53" x14ac:dyDescent="0.2">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c r="AG417" s="48"/>
      <c r="AH417" s="48"/>
      <c r="AI417" s="48"/>
      <c r="AJ417" s="48"/>
      <c r="AK417" s="48"/>
      <c r="AL417" s="48"/>
      <c r="AM417" s="48"/>
      <c r="AN417" s="48"/>
      <c r="AO417" s="48"/>
      <c r="AP417" s="48"/>
      <c r="AQ417" s="48"/>
      <c r="AR417" s="48"/>
      <c r="AS417" s="48"/>
      <c r="AT417" s="48"/>
      <c r="AU417" s="48"/>
      <c r="AV417" s="48"/>
      <c r="AW417" s="48"/>
      <c r="AX417" s="48"/>
      <c r="AY417" s="48"/>
      <c r="AZ417" s="48"/>
      <c r="BA417" s="48"/>
    </row>
    <row r="418" spans="1:53" x14ac:dyDescent="0.2">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c r="AG418" s="48"/>
      <c r="AH418" s="48"/>
      <c r="AI418" s="48"/>
      <c r="AJ418" s="48"/>
      <c r="AK418" s="48"/>
      <c r="AL418" s="48"/>
      <c r="AM418" s="48"/>
      <c r="AN418" s="48"/>
      <c r="AO418" s="48"/>
      <c r="AP418" s="48"/>
      <c r="AQ418" s="48"/>
      <c r="AR418" s="48"/>
      <c r="AS418" s="48"/>
      <c r="AT418" s="48"/>
      <c r="AU418" s="48"/>
      <c r="AV418" s="48"/>
      <c r="AW418" s="48"/>
      <c r="AX418" s="48"/>
      <c r="AY418" s="48"/>
      <c r="AZ418" s="48"/>
      <c r="BA418" s="48"/>
    </row>
    <row r="419" spans="1:53" x14ac:dyDescent="0.2">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c r="AH419" s="48"/>
      <c r="AI419" s="48"/>
      <c r="AJ419" s="48"/>
      <c r="AK419" s="48"/>
      <c r="AL419" s="48"/>
      <c r="AM419" s="48"/>
      <c r="AN419" s="48"/>
      <c r="AO419" s="48"/>
      <c r="AP419" s="48"/>
      <c r="AQ419" s="48"/>
      <c r="AR419" s="48"/>
      <c r="AS419" s="48"/>
      <c r="AT419" s="48"/>
      <c r="AU419" s="48"/>
      <c r="AV419" s="48"/>
      <c r="AW419" s="48"/>
      <c r="AX419" s="48"/>
      <c r="AY419" s="48"/>
      <c r="AZ419" s="48"/>
      <c r="BA419" s="48"/>
    </row>
    <row r="420" spans="1:53" x14ac:dyDescent="0.2">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48"/>
      <c r="AL420" s="48"/>
      <c r="AM420" s="48"/>
      <c r="AN420" s="48"/>
      <c r="AO420" s="48"/>
      <c r="AP420" s="48"/>
      <c r="AQ420" s="48"/>
      <c r="AR420" s="48"/>
      <c r="AS420" s="48"/>
      <c r="AT420" s="48"/>
      <c r="AU420" s="48"/>
      <c r="AV420" s="48"/>
      <c r="AW420" s="48"/>
      <c r="AX420" s="48"/>
      <c r="AY420" s="48"/>
      <c r="AZ420" s="48"/>
      <c r="BA420" s="48"/>
    </row>
    <row r="421" spans="1:53" x14ac:dyDescent="0.2">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c r="AH421" s="48"/>
      <c r="AI421" s="48"/>
      <c r="AJ421" s="48"/>
      <c r="AK421" s="48"/>
      <c r="AL421" s="48"/>
      <c r="AM421" s="48"/>
      <c r="AN421" s="48"/>
      <c r="AO421" s="48"/>
      <c r="AP421" s="48"/>
      <c r="AQ421" s="48"/>
      <c r="AR421" s="48"/>
      <c r="AS421" s="48"/>
      <c r="AT421" s="48"/>
      <c r="AU421" s="48"/>
      <c r="AV421" s="48"/>
      <c r="AW421" s="48"/>
      <c r="AX421" s="48"/>
      <c r="AY421" s="48"/>
      <c r="AZ421" s="48"/>
      <c r="BA421" s="48"/>
    </row>
    <row r="422" spans="1:53" x14ac:dyDescent="0.2">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c r="AH422" s="48"/>
      <c r="AI422" s="48"/>
      <c r="AJ422" s="48"/>
      <c r="AK422" s="48"/>
      <c r="AL422" s="48"/>
      <c r="AM422" s="48"/>
      <c r="AN422" s="48"/>
      <c r="AO422" s="48"/>
      <c r="AP422" s="48"/>
      <c r="AQ422" s="48"/>
      <c r="AR422" s="48"/>
      <c r="AS422" s="48"/>
      <c r="AT422" s="48"/>
      <c r="AU422" s="48"/>
      <c r="AV422" s="48"/>
      <c r="AW422" s="48"/>
      <c r="AX422" s="48"/>
      <c r="AY422" s="48"/>
      <c r="AZ422" s="48"/>
      <c r="BA422" s="48"/>
    </row>
    <row r="423" spans="1:53" x14ac:dyDescent="0.2">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c r="AH423" s="48"/>
      <c r="AI423" s="48"/>
      <c r="AJ423" s="48"/>
      <c r="AK423" s="48"/>
      <c r="AL423" s="48"/>
      <c r="AM423" s="48"/>
      <c r="AN423" s="48"/>
      <c r="AO423" s="48"/>
      <c r="AP423" s="48"/>
      <c r="AQ423" s="48"/>
      <c r="AR423" s="48"/>
      <c r="AS423" s="48"/>
      <c r="AT423" s="48"/>
      <c r="AU423" s="48"/>
      <c r="AV423" s="48"/>
      <c r="AW423" s="48"/>
      <c r="AX423" s="48"/>
      <c r="AY423" s="48"/>
      <c r="AZ423" s="48"/>
      <c r="BA423" s="48"/>
    </row>
    <row r="424" spans="1:53" x14ac:dyDescent="0.2">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48"/>
      <c r="AL424" s="48"/>
      <c r="AM424" s="48"/>
      <c r="AN424" s="48"/>
      <c r="AO424" s="48"/>
      <c r="AP424" s="48"/>
      <c r="AQ424" s="48"/>
      <c r="AR424" s="48"/>
      <c r="AS424" s="48"/>
      <c r="AT424" s="48"/>
      <c r="AU424" s="48"/>
      <c r="AV424" s="48"/>
      <c r="AW424" s="48"/>
      <c r="AX424" s="48"/>
      <c r="AY424" s="48"/>
      <c r="AZ424" s="48"/>
      <c r="BA424" s="48"/>
    </row>
    <row r="425" spans="1:53" x14ac:dyDescent="0.2">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48"/>
      <c r="AI425" s="48"/>
      <c r="AJ425" s="48"/>
      <c r="AK425" s="48"/>
      <c r="AL425" s="48"/>
      <c r="AM425" s="48"/>
      <c r="AN425" s="48"/>
      <c r="AO425" s="48"/>
      <c r="AP425" s="48"/>
      <c r="AQ425" s="48"/>
      <c r="AR425" s="48"/>
      <c r="AS425" s="48"/>
      <c r="AT425" s="48"/>
      <c r="AU425" s="48"/>
      <c r="AV425" s="48"/>
      <c r="AW425" s="48"/>
      <c r="AX425" s="48"/>
      <c r="AY425" s="48"/>
      <c r="AZ425" s="48"/>
      <c r="BA425" s="48"/>
    </row>
    <row r="426" spans="1:53" x14ac:dyDescent="0.2">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c r="AG426" s="48"/>
      <c r="AH426" s="48"/>
      <c r="AI426" s="48"/>
      <c r="AJ426" s="48"/>
      <c r="AK426" s="48"/>
      <c r="AL426" s="48"/>
      <c r="AM426" s="48"/>
      <c r="AN426" s="48"/>
      <c r="AO426" s="48"/>
      <c r="AP426" s="48"/>
      <c r="AQ426" s="48"/>
      <c r="AR426" s="48"/>
      <c r="AS426" s="48"/>
      <c r="AT426" s="48"/>
      <c r="AU426" s="48"/>
      <c r="AV426" s="48"/>
      <c r="AW426" s="48"/>
      <c r="AX426" s="48"/>
      <c r="AY426" s="48"/>
      <c r="AZ426" s="48"/>
      <c r="BA426" s="48"/>
    </row>
    <row r="427" spans="1:53" x14ac:dyDescent="0.2">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48"/>
      <c r="AI427" s="48"/>
      <c r="AJ427" s="48"/>
      <c r="AK427" s="48"/>
      <c r="AL427" s="48"/>
      <c r="AM427" s="48"/>
      <c r="AN427" s="48"/>
      <c r="AO427" s="48"/>
      <c r="AP427" s="48"/>
      <c r="AQ427" s="48"/>
      <c r="AR427" s="48"/>
      <c r="AS427" s="48"/>
      <c r="AT427" s="48"/>
      <c r="AU427" s="48"/>
      <c r="AV427" s="48"/>
      <c r="AW427" s="48"/>
      <c r="AX427" s="48"/>
      <c r="AY427" s="48"/>
      <c r="AZ427" s="48"/>
      <c r="BA427" s="48"/>
    </row>
    <row r="428" spans="1:53" x14ac:dyDescent="0.2">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48"/>
      <c r="AI428" s="48"/>
      <c r="AJ428" s="48"/>
      <c r="AK428" s="48"/>
      <c r="AL428" s="48"/>
      <c r="AM428" s="48"/>
      <c r="AN428" s="48"/>
      <c r="AO428" s="48"/>
      <c r="AP428" s="48"/>
      <c r="AQ428" s="48"/>
      <c r="AR428" s="48"/>
      <c r="AS428" s="48"/>
      <c r="AT428" s="48"/>
      <c r="AU428" s="48"/>
      <c r="AV428" s="48"/>
      <c r="AW428" s="48"/>
      <c r="AX428" s="48"/>
      <c r="AY428" s="48"/>
      <c r="AZ428" s="48"/>
      <c r="BA428" s="48"/>
    </row>
    <row r="429" spans="1:53" x14ac:dyDescent="0.2">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c r="AH429" s="48"/>
      <c r="AI429" s="48"/>
      <c r="AJ429" s="48"/>
      <c r="AK429" s="48"/>
      <c r="AL429" s="48"/>
      <c r="AM429" s="48"/>
      <c r="AN429" s="48"/>
      <c r="AO429" s="48"/>
      <c r="AP429" s="48"/>
      <c r="AQ429" s="48"/>
      <c r="AR429" s="48"/>
      <c r="AS429" s="48"/>
      <c r="AT429" s="48"/>
      <c r="AU429" s="48"/>
      <c r="AV429" s="48"/>
      <c r="AW429" s="48"/>
      <c r="AX429" s="48"/>
      <c r="AY429" s="48"/>
      <c r="AZ429" s="48"/>
      <c r="BA429" s="48"/>
    </row>
    <row r="430" spans="1:53" x14ac:dyDescent="0.2">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row>
    <row r="431" spans="1:53" x14ac:dyDescent="0.2">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c r="AH431" s="48"/>
      <c r="AI431" s="48"/>
      <c r="AJ431" s="48"/>
      <c r="AK431" s="48"/>
      <c r="AL431" s="48"/>
      <c r="AM431" s="48"/>
      <c r="AN431" s="48"/>
      <c r="AO431" s="48"/>
      <c r="AP431" s="48"/>
      <c r="AQ431" s="48"/>
      <c r="AR431" s="48"/>
      <c r="AS431" s="48"/>
      <c r="AT431" s="48"/>
      <c r="AU431" s="48"/>
      <c r="AV431" s="48"/>
      <c r="AW431" s="48"/>
      <c r="AX431" s="48"/>
      <c r="AY431" s="48"/>
      <c r="AZ431" s="48"/>
      <c r="BA431" s="48"/>
    </row>
    <row r="432" spans="1:53" x14ac:dyDescent="0.2">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48"/>
      <c r="AL432" s="48"/>
      <c r="AM432" s="48"/>
      <c r="AN432" s="48"/>
      <c r="AO432" s="48"/>
      <c r="AP432" s="48"/>
      <c r="AQ432" s="48"/>
      <c r="AR432" s="48"/>
      <c r="AS432" s="48"/>
      <c r="AT432" s="48"/>
      <c r="AU432" s="48"/>
      <c r="AV432" s="48"/>
      <c r="AW432" s="48"/>
      <c r="AX432" s="48"/>
      <c r="AY432" s="48"/>
      <c r="AZ432" s="48"/>
      <c r="BA432" s="48"/>
    </row>
    <row r="433" spans="1:53" x14ac:dyDescent="0.2">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c r="AH433" s="48"/>
      <c r="AI433" s="48"/>
      <c r="AJ433" s="48"/>
      <c r="AK433" s="48"/>
      <c r="AL433" s="48"/>
      <c r="AM433" s="48"/>
      <c r="AN433" s="48"/>
      <c r="AO433" s="48"/>
      <c r="AP433" s="48"/>
      <c r="AQ433" s="48"/>
      <c r="AR433" s="48"/>
      <c r="AS433" s="48"/>
      <c r="AT433" s="48"/>
      <c r="AU433" s="48"/>
      <c r="AV433" s="48"/>
      <c r="AW433" s="48"/>
      <c r="AX433" s="48"/>
      <c r="AY433" s="48"/>
      <c r="AZ433" s="48"/>
      <c r="BA433" s="48"/>
    </row>
    <row r="434" spans="1:53" x14ac:dyDescent="0.2">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c r="AH434" s="48"/>
      <c r="AI434" s="48"/>
      <c r="AJ434" s="48"/>
      <c r="AK434" s="48"/>
      <c r="AL434" s="48"/>
      <c r="AM434" s="48"/>
      <c r="AN434" s="48"/>
      <c r="AO434" s="48"/>
      <c r="AP434" s="48"/>
      <c r="AQ434" s="48"/>
      <c r="AR434" s="48"/>
      <c r="AS434" s="48"/>
      <c r="AT434" s="48"/>
      <c r="AU434" s="48"/>
      <c r="AV434" s="48"/>
      <c r="AW434" s="48"/>
      <c r="AX434" s="48"/>
      <c r="AY434" s="48"/>
      <c r="AZ434" s="48"/>
      <c r="BA434" s="48"/>
    </row>
    <row r="435" spans="1:53" x14ac:dyDescent="0.2">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c r="AU435" s="48"/>
      <c r="AV435" s="48"/>
      <c r="AW435" s="48"/>
      <c r="AX435" s="48"/>
      <c r="AY435" s="48"/>
      <c r="AZ435" s="48"/>
      <c r="BA435" s="48"/>
    </row>
    <row r="436" spans="1:53" x14ac:dyDescent="0.2">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c r="AG436" s="48"/>
      <c r="AH436" s="48"/>
      <c r="AI436" s="48"/>
      <c r="AJ436" s="48"/>
      <c r="AK436" s="48"/>
      <c r="AL436" s="48"/>
      <c r="AM436" s="48"/>
      <c r="AN436" s="48"/>
      <c r="AO436" s="48"/>
      <c r="AP436" s="48"/>
      <c r="AQ436" s="48"/>
      <c r="AR436" s="48"/>
      <c r="AS436" s="48"/>
      <c r="AT436" s="48"/>
      <c r="AU436" s="48"/>
      <c r="AV436" s="48"/>
      <c r="AW436" s="48"/>
      <c r="AX436" s="48"/>
      <c r="AY436" s="48"/>
      <c r="AZ436" s="48"/>
      <c r="BA436" s="48"/>
    </row>
    <row r="437" spans="1:53" x14ac:dyDescent="0.2">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c r="AG437" s="48"/>
      <c r="AH437" s="48"/>
      <c r="AI437" s="48"/>
      <c r="AJ437" s="48"/>
      <c r="AK437" s="48"/>
      <c r="AL437" s="48"/>
      <c r="AM437" s="48"/>
      <c r="AN437" s="48"/>
      <c r="AO437" s="48"/>
      <c r="AP437" s="48"/>
      <c r="AQ437" s="48"/>
      <c r="AR437" s="48"/>
      <c r="AS437" s="48"/>
      <c r="AT437" s="48"/>
      <c r="AU437" s="48"/>
      <c r="AV437" s="48"/>
      <c r="AW437" s="48"/>
      <c r="AX437" s="48"/>
      <c r="AY437" s="48"/>
      <c r="AZ437" s="48"/>
      <c r="BA437" s="48"/>
    </row>
    <row r="438" spans="1:53" x14ac:dyDescent="0.2">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c r="AH438" s="48"/>
      <c r="AI438" s="48"/>
      <c r="AJ438" s="48"/>
      <c r="AK438" s="48"/>
      <c r="AL438" s="48"/>
      <c r="AM438" s="48"/>
      <c r="AN438" s="48"/>
      <c r="AO438" s="48"/>
      <c r="AP438" s="48"/>
      <c r="AQ438" s="48"/>
      <c r="AR438" s="48"/>
      <c r="AS438" s="48"/>
      <c r="AT438" s="48"/>
      <c r="AU438" s="48"/>
      <c r="AV438" s="48"/>
      <c r="AW438" s="48"/>
      <c r="AX438" s="48"/>
      <c r="AY438" s="48"/>
      <c r="AZ438" s="48"/>
      <c r="BA438" s="48"/>
    </row>
    <row r="439" spans="1:53" x14ac:dyDescent="0.2">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c r="AH439" s="48"/>
      <c r="AI439" s="48"/>
      <c r="AJ439" s="48"/>
      <c r="AK439" s="48"/>
      <c r="AL439" s="48"/>
      <c r="AM439" s="48"/>
      <c r="AN439" s="48"/>
      <c r="AO439" s="48"/>
      <c r="AP439" s="48"/>
      <c r="AQ439" s="48"/>
      <c r="AR439" s="48"/>
      <c r="AS439" s="48"/>
      <c r="AT439" s="48"/>
      <c r="AU439" s="48"/>
      <c r="AV439" s="48"/>
      <c r="AW439" s="48"/>
      <c r="AX439" s="48"/>
      <c r="AY439" s="48"/>
      <c r="AZ439" s="48"/>
      <c r="BA439" s="48"/>
    </row>
    <row r="440" spans="1:53" x14ac:dyDescent="0.2">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c r="AH440" s="48"/>
      <c r="AI440" s="48"/>
      <c r="AJ440" s="48"/>
      <c r="AK440" s="48"/>
      <c r="AL440" s="48"/>
      <c r="AM440" s="48"/>
      <c r="AN440" s="48"/>
      <c r="AO440" s="48"/>
      <c r="AP440" s="48"/>
      <c r="AQ440" s="48"/>
      <c r="AR440" s="48"/>
      <c r="AS440" s="48"/>
      <c r="AT440" s="48"/>
      <c r="AU440" s="48"/>
      <c r="AV440" s="48"/>
      <c r="AW440" s="48"/>
      <c r="AX440" s="48"/>
      <c r="AY440" s="48"/>
      <c r="AZ440" s="48"/>
      <c r="BA440" s="48"/>
    </row>
    <row r="441" spans="1:53" x14ac:dyDescent="0.2">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48"/>
      <c r="AI441" s="48"/>
      <c r="AJ441" s="48"/>
      <c r="AK441" s="48"/>
      <c r="AL441" s="48"/>
      <c r="AM441" s="48"/>
      <c r="AN441" s="48"/>
      <c r="AO441" s="48"/>
      <c r="AP441" s="48"/>
      <c r="AQ441" s="48"/>
      <c r="AR441" s="48"/>
      <c r="AS441" s="48"/>
      <c r="AT441" s="48"/>
      <c r="AU441" s="48"/>
      <c r="AV441" s="48"/>
      <c r="AW441" s="48"/>
      <c r="AX441" s="48"/>
      <c r="AY441" s="48"/>
      <c r="AZ441" s="48"/>
      <c r="BA441" s="48"/>
    </row>
    <row r="442" spans="1:53" x14ac:dyDescent="0.2">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c r="AG442" s="48"/>
      <c r="AH442" s="48"/>
      <c r="AI442" s="48"/>
      <c r="AJ442" s="48"/>
      <c r="AK442" s="48"/>
      <c r="AL442" s="48"/>
      <c r="AM442" s="48"/>
      <c r="AN442" s="48"/>
      <c r="AO442" s="48"/>
      <c r="AP442" s="48"/>
      <c r="AQ442" s="48"/>
      <c r="AR442" s="48"/>
      <c r="AS442" s="48"/>
      <c r="AT442" s="48"/>
      <c r="AU442" s="48"/>
      <c r="AV442" s="48"/>
      <c r="AW442" s="48"/>
      <c r="AX442" s="48"/>
      <c r="AY442" s="48"/>
      <c r="AZ442" s="48"/>
      <c r="BA442" s="48"/>
    </row>
    <row r="443" spans="1:53" x14ac:dyDescent="0.2">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c r="AG443" s="48"/>
      <c r="AH443" s="48"/>
      <c r="AI443" s="48"/>
      <c r="AJ443" s="48"/>
      <c r="AK443" s="48"/>
      <c r="AL443" s="48"/>
      <c r="AM443" s="48"/>
      <c r="AN443" s="48"/>
      <c r="AO443" s="48"/>
      <c r="AP443" s="48"/>
      <c r="AQ443" s="48"/>
      <c r="AR443" s="48"/>
      <c r="AS443" s="48"/>
      <c r="AT443" s="48"/>
      <c r="AU443" s="48"/>
      <c r="AV443" s="48"/>
      <c r="AW443" s="48"/>
      <c r="AX443" s="48"/>
      <c r="AY443" s="48"/>
      <c r="AZ443" s="48"/>
      <c r="BA443" s="48"/>
    </row>
    <row r="444" spans="1:53" x14ac:dyDescent="0.2">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8"/>
      <c r="AL444" s="48"/>
      <c r="AM444" s="48"/>
      <c r="AN444" s="48"/>
      <c r="AO444" s="48"/>
      <c r="AP444" s="48"/>
      <c r="AQ444" s="48"/>
      <c r="AR444" s="48"/>
      <c r="AS444" s="48"/>
      <c r="AT444" s="48"/>
      <c r="AU444" s="48"/>
      <c r="AV444" s="48"/>
      <c r="AW444" s="48"/>
      <c r="AX444" s="48"/>
      <c r="AY444" s="48"/>
      <c r="AZ444" s="48"/>
      <c r="BA444" s="48"/>
    </row>
    <row r="445" spans="1:53" x14ac:dyDescent="0.2">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48"/>
      <c r="AI445" s="48"/>
      <c r="AJ445" s="48"/>
      <c r="AK445" s="48"/>
      <c r="AL445" s="48"/>
      <c r="AM445" s="48"/>
      <c r="AN445" s="48"/>
      <c r="AO445" s="48"/>
      <c r="AP445" s="48"/>
      <c r="AQ445" s="48"/>
      <c r="AR445" s="48"/>
      <c r="AS445" s="48"/>
      <c r="AT445" s="48"/>
      <c r="AU445" s="48"/>
      <c r="AV445" s="48"/>
      <c r="AW445" s="48"/>
      <c r="AX445" s="48"/>
      <c r="AY445" s="48"/>
      <c r="AZ445" s="48"/>
      <c r="BA445" s="48"/>
    </row>
    <row r="446" spans="1:53" x14ac:dyDescent="0.2">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c r="AH446" s="48"/>
      <c r="AI446" s="48"/>
      <c r="AJ446" s="48"/>
      <c r="AK446" s="48"/>
      <c r="AL446" s="48"/>
      <c r="AM446" s="48"/>
      <c r="AN446" s="48"/>
      <c r="AO446" s="48"/>
      <c r="AP446" s="48"/>
      <c r="AQ446" s="48"/>
      <c r="AR446" s="48"/>
      <c r="AS446" s="48"/>
      <c r="AT446" s="48"/>
      <c r="AU446" s="48"/>
      <c r="AV446" s="48"/>
      <c r="AW446" s="48"/>
      <c r="AX446" s="48"/>
      <c r="AY446" s="48"/>
      <c r="AZ446" s="48"/>
      <c r="BA446" s="48"/>
    </row>
    <row r="447" spans="1:53" x14ac:dyDescent="0.2">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c r="AH447" s="48"/>
      <c r="AI447" s="48"/>
      <c r="AJ447" s="48"/>
      <c r="AK447" s="48"/>
      <c r="AL447" s="48"/>
      <c r="AM447" s="48"/>
      <c r="AN447" s="48"/>
      <c r="AO447" s="48"/>
      <c r="AP447" s="48"/>
      <c r="AQ447" s="48"/>
      <c r="AR447" s="48"/>
      <c r="AS447" s="48"/>
      <c r="AT447" s="48"/>
      <c r="AU447" s="48"/>
      <c r="AV447" s="48"/>
      <c r="AW447" s="48"/>
      <c r="AX447" s="48"/>
      <c r="AY447" s="48"/>
      <c r="AZ447" s="48"/>
      <c r="BA447" s="48"/>
    </row>
    <row r="448" spans="1:53" x14ac:dyDescent="0.2">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48"/>
      <c r="AI448" s="48"/>
      <c r="AJ448" s="48"/>
      <c r="AK448" s="48"/>
      <c r="AL448" s="48"/>
      <c r="AM448" s="48"/>
      <c r="AN448" s="48"/>
      <c r="AO448" s="48"/>
      <c r="AP448" s="48"/>
      <c r="AQ448" s="48"/>
      <c r="AR448" s="48"/>
      <c r="AS448" s="48"/>
      <c r="AT448" s="48"/>
      <c r="AU448" s="48"/>
      <c r="AV448" s="48"/>
      <c r="AW448" s="48"/>
      <c r="AX448" s="48"/>
      <c r="AY448" s="48"/>
      <c r="AZ448" s="48"/>
      <c r="BA448" s="48"/>
    </row>
    <row r="449" spans="1:53" x14ac:dyDescent="0.2">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c r="AG449" s="48"/>
      <c r="AH449" s="48"/>
      <c r="AI449" s="48"/>
      <c r="AJ449" s="48"/>
      <c r="AK449" s="48"/>
      <c r="AL449" s="48"/>
      <c r="AM449" s="48"/>
      <c r="AN449" s="48"/>
      <c r="AO449" s="48"/>
      <c r="AP449" s="48"/>
      <c r="AQ449" s="48"/>
      <c r="AR449" s="48"/>
      <c r="AS449" s="48"/>
      <c r="AT449" s="48"/>
      <c r="AU449" s="48"/>
      <c r="AV449" s="48"/>
      <c r="AW449" s="48"/>
      <c r="AX449" s="48"/>
      <c r="AY449" s="48"/>
      <c r="AZ449" s="48"/>
      <c r="BA449" s="48"/>
    </row>
    <row r="450" spans="1:53" x14ac:dyDescent="0.2">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c r="AG450" s="48"/>
      <c r="AH450" s="48"/>
      <c r="AI450" s="48"/>
      <c r="AJ450" s="48"/>
      <c r="AK450" s="48"/>
      <c r="AL450" s="48"/>
      <c r="AM450" s="48"/>
      <c r="AN450" s="48"/>
      <c r="AO450" s="48"/>
      <c r="AP450" s="48"/>
      <c r="AQ450" s="48"/>
      <c r="AR450" s="48"/>
      <c r="AS450" s="48"/>
      <c r="AT450" s="48"/>
      <c r="AU450" s="48"/>
      <c r="AV450" s="48"/>
      <c r="AW450" s="48"/>
      <c r="AX450" s="48"/>
      <c r="AY450" s="48"/>
      <c r="AZ450" s="48"/>
      <c r="BA450" s="48"/>
    </row>
    <row r="451" spans="1:53" x14ac:dyDescent="0.2">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c r="AG451" s="48"/>
      <c r="AH451" s="48"/>
      <c r="AI451" s="48"/>
      <c r="AJ451" s="48"/>
      <c r="AK451" s="48"/>
      <c r="AL451" s="48"/>
      <c r="AM451" s="48"/>
      <c r="AN451" s="48"/>
      <c r="AO451" s="48"/>
      <c r="AP451" s="48"/>
      <c r="AQ451" s="48"/>
      <c r="AR451" s="48"/>
      <c r="AS451" s="48"/>
      <c r="AT451" s="48"/>
      <c r="AU451" s="48"/>
      <c r="AV451" s="48"/>
      <c r="AW451" s="48"/>
      <c r="AX451" s="48"/>
      <c r="AY451" s="48"/>
      <c r="AZ451" s="48"/>
      <c r="BA451" s="48"/>
    </row>
    <row r="452" spans="1:53" x14ac:dyDescent="0.2">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c r="AG452" s="48"/>
      <c r="AH452" s="48"/>
      <c r="AI452" s="48"/>
      <c r="AJ452" s="48"/>
      <c r="AK452" s="48"/>
      <c r="AL452" s="48"/>
      <c r="AM452" s="48"/>
      <c r="AN452" s="48"/>
      <c r="AO452" s="48"/>
      <c r="AP452" s="48"/>
      <c r="AQ452" s="48"/>
      <c r="AR452" s="48"/>
      <c r="AS452" s="48"/>
      <c r="AT452" s="48"/>
      <c r="AU452" s="48"/>
      <c r="AV452" s="48"/>
      <c r="AW452" s="48"/>
      <c r="AX452" s="48"/>
      <c r="AY452" s="48"/>
      <c r="AZ452" s="48"/>
      <c r="BA452" s="48"/>
    </row>
    <row r="453" spans="1:53" x14ac:dyDescent="0.2">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c r="AG453" s="48"/>
      <c r="AH453" s="48"/>
      <c r="AI453" s="48"/>
      <c r="AJ453" s="48"/>
      <c r="AK453" s="48"/>
      <c r="AL453" s="48"/>
      <c r="AM453" s="48"/>
      <c r="AN453" s="48"/>
      <c r="AO453" s="48"/>
      <c r="AP453" s="48"/>
      <c r="AQ453" s="48"/>
      <c r="AR453" s="48"/>
      <c r="AS453" s="48"/>
      <c r="AT453" s="48"/>
      <c r="AU453" s="48"/>
      <c r="AV453" s="48"/>
      <c r="AW453" s="48"/>
      <c r="AX453" s="48"/>
      <c r="AY453" s="48"/>
      <c r="AZ453" s="48"/>
      <c r="BA453" s="48"/>
    </row>
    <row r="454" spans="1:53" x14ac:dyDescent="0.2">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48"/>
      <c r="AL454" s="48"/>
      <c r="AM454" s="48"/>
      <c r="AN454" s="48"/>
      <c r="AO454" s="48"/>
      <c r="AP454" s="48"/>
      <c r="AQ454" s="48"/>
      <c r="AR454" s="48"/>
      <c r="AS454" s="48"/>
      <c r="AT454" s="48"/>
      <c r="AU454" s="48"/>
      <c r="AV454" s="48"/>
      <c r="AW454" s="48"/>
      <c r="AX454" s="48"/>
      <c r="AY454" s="48"/>
      <c r="AZ454" s="48"/>
      <c r="BA454" s="48"/>
    </row>
    <row r="455" spans="1:53" x14ac:dyDescent="0.2">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c r="AH455" s="48"/>
      <c r="AI455" s="48"/>
      <c r="AJ455" s="48"/>
      <c r="AK455" s="48"/>
      <c r="AL455" s="48"/>
      <c r="AM455" s="48"/>
      <c r="AN455" s="48"/>
      <c r="AO455" s="48"/>
      <c r="AP455" s="48"/>
      <c r="AQ455" s="48"/>
      <c r="AR455" s="48"/>
      <c r="AS455" s="48"/>
      <c r="AT455" s="48"/>
      <c r="AU455" s="48"/>
      <c r="AV455" s="48"/>
      <c r="AW455" s="48"/>
      <c r="AX455" s="48"/>
      <c r="AY455" s="48"/>
      <c r="AZ455" s="48"/>
      <c r="BA455" s="48"/>
    </row>
    <row r="456" spans="1:53" x14ac:dyDescent="0.2">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c r="AG456" s="48"/>
      <c r="AH456" s="48"/>
      <c r="AI456" s="48"/>
      <c r="AJ456" s="48"/>
      <c r="AK456" s="48"/>
      <c r="AL456" s="48"/>
      <c r="AM456" s="48"/>
      <c r="AN456" s="48"/>
      <c r="AO456" s="48"/>
      <c r="AP456" s="48"/>
      <c r="AQ456" s="48"/>
      <c r="AR456" s="48"/>
      <c r="AS456" s="48"/>
      <c r="AT456" s="48"/>
      <c r="AU456" s="48"/>
      <c r="AV456" s="48"/>
      <c r="AW456" s="48"/>
      <c r="AX456" s="48"/>
      <c r="AY456" s="48"/>
      <c r="AZ456" s="48"/>
      <c r="BA456" s="48"/>
    </row>
    <row r="457" spans="1:53" x14ac:dyDescent="0.2">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c r="AH457" s="48"/>
      <c r="AI457" s="48"/>
      <c r="AJ457" s="48"/>
      <c r="AK457" s="48"/>
      <c r="AL457" s="48"/>
      <c r="AM457" s="48"/>
      <c r="AN457" s="48"/>
      <c r="AO457" s="48"/>
      <c r="AP457" s="48"/>
      <c r="AQ457" s="48"/>
      <c r="AR457" s="48"/>
      <c r="AS457" s="48"/>
      <c r="AT457" s="48"/>
      <c r="AU457" s="48"/>
      <c r="AV457" s="48"/>
      <c r="AW457" s="48"/>
      <c r="AX457" s="48"/>
      <c r="AY457" s="48"/>
      <c r="AZ457" s="48"/>
      <c r="BA457" s="48"/>
    </row>
    <row r="458" spans="1:53" x14ac:dyDescent="0.2">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c r="AG458" s="48"/>
      <c r="AH458" s="48"/>
      <c r="AI458" s="48"/>
      <c r="AJ458" s="48"/>
      <c r="AK458" s="48"/>
      <c r="AL458" s="48"/>
      <c r="AM458" s="48"/>
      <c r="AN458" s="48"/>
      <c r="AO458" s="48"/>
      <c r="AP458" s="48"/>
      <c r="AQ458" s="48"/>
      <c r="AR458" s="48"/>
      <c r="AS458" s="48"/>
      <c r="AT458" s="48"/>
      <c r="AU458" s="48"/>
      <c r="AV458" s="48"/>
      <c r="AW458" s="48"/>
      <c r="AX458" s="48"/>
      <c r="AY458" s="48"/>
      <c r="AZ458" s="48"/>
      <c r="BA458" s="48"/>
    </row>
    <row r="459" spans="1:53" x14ac:dyDescent="0.2">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c r="AH459" s="48"/>
      <c r="AI459" s="48"/>
      <c r="AJ459" s="48"/>
      <c r="AK459" s="48"/>
      <c r="AL459" s="48"/>
      <c r="AM459" s="48"/>
      <c r="AN459" s="48"/>
      <c r="AO459" s="48"/>
      <c r="AP459" s="48"/>
      <c r="AQ459" s="48"/>
      <c r="AR459" s="48"/>
      <c r="AS459" s="48"/>
      <c r="AT459" s="48"/>
      <c r="AU459" s="48"/>
      <c r="AV459" s="48"/>
      <c r="AW459" s="48"/>
      <c r="AX459" s="48"/>
      <c r="AY459" s="48"/>
      <c r="AZ459" s="48"/>
      <c r="BA459" s="48"/>
    </row>
    <row r="460" spans="1:53" x14ac:dyDescent="0.2">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c r="AH460" s="48"/>
      <c r="AI460" s="48"/>
      <c r="AJ460" s="48"/>
      <c r="AK460" s="48"/>
      <c r="AL460" s="48"/>
      <c r="AM460" s="48"/>
      <c r="AN460" s="48"/>
      <c r="AO460" s="48"/>
      <c r="AP460" s="48"/>
      <c r="AQ460" s="48"/>
      <c r="AR460" s="48"/>
      <c r="AS460" s="48"/>
      <c r="AT460" s="48"/>
      <c r="AU460" s="48"/>
      <c r="AV460" s="48"/>
      <c r="AW460" s="48"/>
      <c r="AX460" s="48"/>
      <c r="AY460" s="48"/>
      <c r="AZ460" s="48"/>
      <c r="BA460" s="48"/>
    </row>
    <row r="461" spans="1:53" x14ac:dyDescent="0.2">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c r="AH461" s="48"/>
      <c r="AI461" s="48"/>
      <c r="AJ461" s="48"/>
      <c r="AK461" s="48"/>
      <c r="AL461" s="48"/>
      <c r="AM461" s="48"/>
      <c r="AN461" s="48"/>
      <c r="AO461" s="48"/>
      <c r="AP461" s="48"/>
      <c r="AQ461" s="48"/>
      <c r="AR461" s="48"/>
      <c r="AS461" s="48"/>
      <c r="AT461" s="48"/>
      <c r="AU461" s="48"/>
      <c r="AV461" s="48"/>
      <c r="AW461" s="48"/>
      <c r="AX461" s="48"/>
      <c r="AY461" s="48"/>
      <c r="AZ461" s="48"/>
      <c r="BA461" s="48"/>
    </row>
    <row r="462" spans="1:53" x14ac:dyDescent="0.2">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c r="AH462" s="48"/>
      <c r="AI462" s="48"/>
      <c r="AJ462" s="48"/>
      <c r="AK462" s="48"/>
      <c r="AL462" s="48"/>
      <c r="AM462" s="48"/>
      <c r="AN462" s="48"/>
      <c r="AO462" s="48"/>
      <c r="AP462" s="48"/>
      <c r="AQ462" s="48"/>
      <c r="AR462" s="48"/>
      <c r="AS462" s="48"/>
      <c r="AT462" s="48"/>
      <c r="AU462" s="48"/>
      <c r="AV462" s="48"/>
      <c r="AW462" s="48"/>
      <c r="AX462" s="48"/>
      <c r="AY462" s="48"/>
      <c r="AZ462" s="48"/>
      <c r="BA462" s="48"/>
    </row>
    <row r="463" spans="1:53" x14ac:dyDescent="0.2">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c r="AH463" s="48"/>
      <c r="AI463" s="48"/>
      <c r="AJ463" s="48"/>
      <c r="AK463" s="48"/>
      <c r="AL463" s="48"/>
      <c r="AM463" s="48"/>
      <c r="AN463" s="48"/>
      <c r="AO463" s="48"/>
      <c r="AP463" s="48"/>
      <c r="AQ463" s="48"/>
      <c r="AR463" s="48"/>
      <c r="AS463" s="48"/>
      <c r="AT463" s="48"/>
      <c r="AU463" s="48"/>
      <c r="AV463" s="48"/>
      <c r="AW463" s="48"/>
      <c r="AX463" s="48"/>
      <c r="AY463" s="48"/>
      <c r="AZ463" s="48"/>
      <c r="BA463" s="48"/>
    </row>
    <row r="464" spans="1:53" x14ac:dyDescent="0.2">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c r="AG464" s="48"/>
      <c r="AH464" s="48"/>
      <c r="AI464" s="48"/>
      <c r="AJ464" s="48"/>
      <c r="AK464" s="48"/>
      <c r="AL464" s="48"/>
      <c r="AM464" s="48"/>
      <c r="AN464" s="48"/>
      <c r="AO464" s="48"/>
      <c r="AP464" s="48"/>
      <c r="AQ464" s="48"/>
      <c r="AR464" s="48"/>
      <c r="AS464" s="48"/>
      <c r="AT464" s="48"/>
      <c r="AU464" s="48"/>
      <c r="AV464" s="48"/>
      <c r="AW464" s="48"/>
      <c r="AX464" s="48"/>
      <c r="AY464" s="48"/>
      <c r="AZ464" s="48"/>
      <c r="BA464" s="48"/>
    </row>
    <row r="465" spans="1:53" x14ac:dyDescent="0.2">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c r="AG465" s="48"/>
      <c r="AH465" s="48"/>
      <c r="AI465" s="48"/>
      <c r="AJ465" s="48"/>
      <c r="AK465" s="48"/>
      <c r="AL465" s="48"/>
      <c r="AM465" s="48"/>
      <c r="AN465" s="48"/>
      <c r="AO465" s="48"/>
      <c r="AP465" s="48"/>
      <c r="AQ465" s="48"/>
      <c r="AR465" s="48"/>
      <c r="AS465" s="48"/>
      <c r="AT465" s="48"/>
      <c r="AU465" s="48"/>
      <c r="AV465" s="48"/>
      <c r="AW465" s="48"/>
      <c r="AX465" s="48"/>
      <c r="AY465" s="48"/>
      <c r="AZ465" s="48"/>
      <c r="BA465" s="48"/>
    </row>
    <row r="466" spans="1:53" x14ac:dyDescent="0.2">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c r="AH466" s="48"/>
      <c r="AI466" s="48"/>
      <c r="AJ466" s="48"/>
      <c r="AK466" s="48"/>
      <c r="AL466" s="48"/>
      <c r="AM466" s="48"/>
      <c r="AN466" s="48"/>
      <c r="AO466" s="48"/>
      <c r="AP466" s="48"/>
      <c r="AQ466" s="48"/>
      <c r="AR466" s="48"/>
      <c r="AS466" s="48"/>
      <c r="AT466" s="48"/>
      <c r="AU466" s="48"/>
      <c r="AV466" s="48"/>
      <c r="AW466" s="48"/>
      <c r="AX466" s="48"/>
      <c r="AY466" s="48"/>
      <c r="AZ466" s="48"/>
      <c r="BA466" s="48"/>
    </row>
    <row r="467" spans="1:53" x14ac:dyDescent="0.2">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c r="AH467" s="48"/>
      <c r="AI467" s="48"/>
      <c r="AJ467" s="48"/>
      <c r="AK467" s="48"/>
      <c r="AL467" s="48"/>
      <c r="AM467" s="48"/>
      <c r="AN467" s="48"/>
      <c r="AO467" s="48"/>
      <c r="AP467" s="48"/>
      <c r="AQ467" s="48"/>
      <c r="AR467" s="48"/>
      <c r="AS467" s="48"/>
      <c r="AT467" s="48"/>
      <c r="AU467" s="48"/>
      <c r="AV467" s="48"/>
      <c r="AW467" s="48"/>
      <c r="AX467" s="48"/>
      <c r="AY467" s="48"/>
      <c r="AZ467" s="48"/>
      <c r="BA467" s="48"/>
    </row>
    <row r="468" spans="1:53" x14ac:dyDescent="0.2">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c r="AK468" s="48"/>
      <c r="AL468" s="48"/>
      <c r="AM468" s="48"/>
      <c r="AN468" s="48"/>
      <c r="AO468" s="48"/>
      <c r="AP468" s="48"/>
      <c r="AQ468" s="48"/>
      <c r="AR468" s="48"/>
      <c r="AS468" s="48"/>
      <c r="AT468" s="48"/>
      <c r="AU468" s="48"/>
      <c r="AV468" s="48"/>
      <c r="AW468" s="48"/>
      <c r="AX468" s="48"/>
      <c r="AY468" s="48"/>
      <c r="AZ468" s="48"/>
      <c r="BA468" s="48"/>
    </row>
    <row r="469" spans="1:53" x14ac:dyDescent="0.2">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c r="AH469" s="48"/>
      <c r="AI469" s="48"/>
      <c r="AJ469" s="48"/>
      <c r="AK469" s="48"/>
      <c r="AL469" s="48"/>
      <c r="AM469" s="48"/>
      <c r="AN469" s="48"/>
      <c r="AO469" s="48"/>
      <c r="AP469" s="48"/>
      <c r="AQ469" s="48"/>
      <c r="AR469" s="48"/>
      <c r="AS469" s="48"/>
      <c r="AT469" s="48"/>
      <c r="AU469" s="48"/>
      <c r="AV469" s="48"/>
      <c r="AW469" s="48"/>
      <c r="AX469" s="48"/>
      <c r="AY469" s="48"/>
      <c r="AZ469" s="48"/>
      <c r="BA469" s="48"/>
    </row>
    <row r="470" spans="1:53" x14ac:dyDescent="0.2">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c r="AH470" s="48"/>
      <c r="AI470" s="48"/>
      <c r="AJ470" s="48"/>
      <c r="AK470" s="48"/>
      <c r="AL470" s="48"/>
      <c r="AM470" s="48"/>
      <c r="AN470" s="48"/>
      <c r="AO470" s="48"/>
      <c r="AP470" s="48"/>
      <c r="AQ470" s="48"/>
      <c r="AR470" s="48"/>
      <c r="AS470" s="48"/>
      <c r="AT470" s="48"/>
      <c r="AU470" s="48"/>
      <c r="AV470" s="48"/>
      <c r="AW470" s="48"/>
      <c r="AX470" s="48"/>
      <c r="AY470" s="48"/>
      <c r="AZ470" s="48"/>
      <c r="BA470" s="48"/>
    </row>
    <row r="471" spans="1:53" x14ac:dyDescent="0.2">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c r="AH471" s="48"/>
      <c r="AI471" s="48"/>
      <c r="AJ471" s="48"/>
      <c r="AK471" s="48"/>
      <c r="AL471" s="48"/>
      <c r="AM471" s="48"/>
      <c r="AN471" s="48"/>
      <c r="AO471" s="48"/>
      <c r="AP471" s="48"/>
      <c r="AQ471" s="48"/>
      <c r="AR471" s="48"/>
      <c r="AS471" s="48"/>
      <c r="AT471" s="48"/>
      <c r="AU471" s="48"/>
      <c r="AV471" s="48"/>
      <c r="AW471" s="48"/>
      <c r="AX471" s="48"/>
      <c r="AY471" s="48"/>
      <c r="AZ471" s="48"/>
      <c r="BA471" s="48"/>
    </row>
    <row r="472" spans="1:53" x14ac:dyDescent="0.2">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48"/>
      <c r="AI472" s="48"/>
      <c r="AJ472" s="48"/>
      <c r="AK472" s="48"/>
      <c r="AL472" s="48"/>
      <c r="AM472" s="48"/>
      <c r="AN472" s="48"/>
      <c r="AO472" s="48"/>
      <c r="AP472" s="48"/>
      <c r="AQ472" s="48"/>
      <c r="AR472" s="48"/>
      <c r="AS472" s="48"/>
      <c r="AT472" s="48"/>
      <c r="AU472" s="48"/>
      <c r="AV472" s="48"/>
      <c r="AW472" s="48"/>
      <c r="AX472" s="48"/>
      <c r="AY472" s="48"/>
      <c r="AZ472" s="48"/>
      <c r="BA472" s="48"/>
    </row>
    <row r="473" spans="1:53" x14ac:dyDescent="0.2">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48"/>
      <c r="AL473" s="48"/>
      <c r="AM473" s="48"/>
      <c r="AN473" s="48"/>
      <c r="AO473" s="48"/>
      <c r="AP473" s="48"/>
      <c r="AQ473" s="48"/>
      <c r="AR473" s="48"/>
      <c r="AS473" s="48"/>
      <c r="AT473" s="48"/>
      <c r="AU473" s="48"/>
      <c r="AV473" s="48"/>
      <c r="AW473" s="48"/>
      <c r="AX473" s="48"/>
      <c r="AY473" s="48"/>
      <c r="AZ473" s="48"/>
      <c r="BA473" s="48"/>
    </row>
    <row r="474" spans="1:53" x14ac:dyDescent="0.2">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c r="AH474" s="48"/>
      <c r="AI474" s="48"/>
      <c r="AJ474" s="48"/>
      <c r="AK474" s="48"/>
      <c r="AL474" s="48"/>
      <c r="AM474" s="48"/>
      <c r="AN474" s="48"/>
      <c r="AO474" s="48"/>
      <c r="AP474" s="48"/>
      <c r="AQ474" s="48"/>
      <c r="AR474" s="48"/>
      <c r="AS474" s="48"/>
      <c r="AT474" s="48"/>
      <c r="AU474" s="48"/>
      <c r="AV474" s="48"/>
      <c r="AW474" s="48"/>
      <c r="AX474" s="48"/>
      <c r="AY474" s="48"/>
      <c r="AZ474" s="48"/>
      <c r="BA474" s="48"/>
    </row>
    <row r="475" spans="1:53" x14ac:dyDescent="0.2">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c r="AH475" s="48"/>
      <c r="AI475" s="48"/>
      <c r="AJ475" s="48"/>
      <c r="AK475" s="48"/>
      <c r="AL475" s="48"/>
      <c r="AM475" s="48"/>
      <c r="AN475" s="48"/>
      <c r="AO475" s="48"/>
      <c r="AP475" s="48"/>
      <c r="AQ475" s="48"/>
      <c r="AR475" s="48"/>
      <c r="AS475" s="48"/>
      <c r="AT475" s="48"/>
      <c r="AU475" s="48"/>
      <c r="AV475" s="48"/>
      <c r="AW475" s="48"/>
      <c r="AX475" s="48"/>
      <c r="AY475" s="48"/>
      <c r="AZ475" s="48"/>
      <c r="BA475" s="48"/>
    </row>
    <row r="476" spans="1:53" x14ac:dyDescent="0.2">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c r="AJ476" s="48"/>
      <c r="AK476" s="48"/>
      <c r="AL476" s="48"/>
      <c r="AM476" s="48"/>
      <c r="AN476" s="48"/>
      <c r="AO476" s="48"/>
      <c r="AP476" s="48"/>
      <c r="AQ476" s="48"/>
      <c r="AR476" s="48"/>
      <c r="AS476" s="48"/>
      <c r="AT476" s="48"/>
      <c r="AU476" s="48"/>
      <c r="AV476" s="48"/>
      <c r="AW476" s="48"/>
      <c r="AX476" s="48"/>
      <c r="AY476" s="48"/>
      <c r="AZ476" s="48"/>
      <c r="BA476" s="48"/>
    </row>
    <row r="477" spans="1:53" x14ac:dyDescent="0.2">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c r="AH477" s="48"/>
      <c r="AI477" s="48"/>
      <c r="AJ477" s="48"/>
      <c r="AK477" s="48"/>
      <c r="AL477" s="48"/>
      <c r="AM477" s="48"/>
      <c r="AN477" s="48"/>
      <c r="AO477" s="48"/>
      <c r="AP477" s="48"/>
      <c r="AQ477" s="48"/>
      <c r="AR477" s="48"/>
      <c r="AS477" s="48"/>
      <c r="AT477" s="48"/>
      <c r="AU477" s="48"/>
      <c r="AV477" s="48"/>
      <c r="AW477" s="48"/>
      <c r="AX477" s="48"/>
      <c r="AY477" s="48"/>
      <c r="AZ477" s="48"/>
      <c r="BA477" s="48"/>
    </row>
    <row r="478" spans="1:53" x14ac:dyDescent="0.2">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c r="AH478" s="48"/>
      <c r="AI478" s="48"/>
      <c r="AJ478" s="48"/>
      <c r="AK478" s="48"/>
      <c r="AL478" s="48"/>
      <c r="AM478" s="48"/>
      <c r="AN478" s="48"/>
      <c r="AO478" s="48"/>
      <c r="AP478" s="48"/>
      <c r="AQ478" s="48"/>
      <c r="AR478" s="48"/>
      <c r="AS478" s="48"/>
      <c r="AT478" s="48"/>
      <c r="AU478" s="48"/>
      <c r="AV478" s="48"/>
      <c r="AW478" s="48"/>
      <c r="AX478" s="48"/>
      <c r="AY478" s="48"/>
      <c r="AZ478" s="48"/>
      <c r="BA478" s="48"/>
    </row>
    <row r="479" spans="1:53" x14ac:dyDescent="0.2">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c r="AG479" s="48"/>
      <c r="AH479" s="48"/>
      <c r="AI479" s="48"/>
      <c r="AJ479" s="48"/>
      <c r="AK479" s="48"/>
      <c r="AL479" s="48"/>
      <c r="AM479" s="48"/>
      <c r="AN479" s="48"/>
      <c r="AO479" s="48"/>
      <c r="AP479" s="48"/>
      <c r="AQ479" s="48"/>
      <c r="AR479" s="48"/>
      <c r="AS479" s="48"/>
      <c r="AT479" s="48"/>
      <c r="AU479" s="48"/>
      <c r="AV479" s="48"/>
      <c r="AW479" s="48"/>
      <c r="AX479" s="48"/>
      <c r="AY479" s="48"/>
      <c r="AZ479" s="48"/>
      <c r="BA479" s="48"/>
    </row>
    <row r="480" spans="1:53" x14ac:dyDescent="0.2">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c r="AG480" s="48"/>
      <c r="AH480" s="48"/>
      <c r="AI480" s="48"/>
      <c r="AJ480" s="48"/>
      <c r="AK480" s="48"/>
      <c r="AL480" s="48"/>
      <c r="AM480" s="48"/>
      <c r="AN480" s="48"/>
      <c r="AO480" s="48"/>
      <c r="AP480" s="48"/>
      <c r="AQ480" s="48"/>
      <c r="AR480" s="48"/>
      <c r="AS480" s="48"/>
      <c r="AT480" s="48"/>
      <c r="AU480" s="48"/>
      <c r="AV480" s="48"/>
      <c r="AW480" s="48"/>
      <c r="AX480" s="48"/>
      <c r="AY480" s="48"/>
      <c r="AZ480" s="48"/>
      <c r="BA480" s="48"/>
    </row>
    <row r="481" spans="1:53" x14ac:dyDescent="0.2">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c r="AG481" s="48"/>
      <c r="AH481" s="48"/>
      <c r="AI481" s="48"/>
      <c r="AJ481" s="48"/>
      <c r="AK481" s="48"/>
      <c r="AL481" s="48"/>
      <c r="AM481" s="48"/>
      <c r="AN481" s="48"/>
      <c r="AO481" s="48"/>
      <c r="AP481" s="48"/>
      <c r="AQ481" s="48"/>
      <c r="AR481" s="48"/>
      <c r="AS481" s="48"/>
      <c r="AT481" s="48"/>
      <c r="AU481" s="48"/>
      <c r="AV481" s="48"/>
      <c r="AW481" s="48"/>
      <c r="AX481" s="48"/>
      <c r="AY481" s="48"/>
      <c r="AZ481" s="48"/>
      <c r="BA481" s="48"/>
    </row>
    <row r="482" spans="1:53" x14ac:dyDescent="0.2">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c r="AG482" s="48"/>
      <c r="AH482" s="48"/>
      <c r="AI482" s="48"/>
      <c r="AJ482" s="48"/>
      <c r="AK482" s="48"/>
      <c r="AL482" s="48"/>
      <c r="AM482" s="48"/>
      <c r="AN482" s="48"/>
      <c r="AO482" s="48"/>
      <c r="AP482" s="48"/>
      <c r="AQ482" s="48"/>
      <c r="AR482" s="48"/>
      <c r="AS482" s="48"/>
      <c r="AT482" s="48"/>
      <c r="AU482" s="48"/>
      <c r="AV482" s="48"/>
      <c r="AW482" s="48"/>
      <c r="AX482" s="48"/>
      <c r="AY482" s="48"/>
      <c r="AZ482" s="48"/>
      <c r="BA482" s="48"/>
    </row>
    <row r="483" spans="1:53" x14ac:dyDescent="0.2">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c r="AG483" s="48"/>
      <c r="AH483" s="48"/>
      <c r="AI483" s="48"/>
      <c r="AJ483" s="48"/>
      <c r="AK483" s="48"/>
      <c r="AL483" s="48"/>
      <c r="AM483" s="48"/>
      <c r="AN483" s="48"/>
      <c r="AO483" s="48"/>
      <c r="AP483" s="48"/>
      <c r="AQ483" s="48"/>
      <c r="AR483" s="48"/>
      <c r="AS483" s="48"/>
      <c r="AT483" s="48"/>
      <c r="AU483" s="48"/>
      <c r="AV483" s="48"/>
      <c r="AW483" s="48"/>
      <c r="AX483" s="48"/>
      <c r="AY483" s="48"/>
      <c r="AZ483" s="48"/>
      <c r="BA483" s="48"/>
    </row>
    <row r="484" spans="1:53" x14ac:dyDescent="0.2">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c r="AG484" s="48"/>
      <c r="AH484" s="48"/>
      <c r="AI484" s="48"/>
      <c r="AJ484" s="48"/>
      <c r="AK484" s="48"/>
      <c r="AL484" s="48"/>
      <c r="AM484" s="48"/>
      <c r="AN484" s="48"/>
      <c r="AO484" s="48"/>
      <c r="AP484" s="48"/>
      <c r="AQ484" s="48"/>
      <c r="AR484" s="48"/>
      <c r="AS484" s="48"/>
      <c r="AT484" s="48"/>
      <c r="AU484" s="48"/>
      <c r="AV484" s="48"/>
      <c r="AW484" s="48"/>
      <c r="AX484" s="48"/>
      <c r="AY484" s="48"/>
      <c r="AZ484" s="48"/>
      <c r="BA484" s="48"/>
    </row>
    <row r="485" spans="1:53" x14ac:dyDescent="0.2">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c r="AG485" s="48"/>
      <c r="AH485" s="48"/>
      <c r="AI485" s="48"/>
      <c r="AJ485" s="48"/>
      <c r="AK485" s="48"/>
      <c r="AL485" s="48"/>
      <c r="AM485" s="48"/>
      <c r="AN485" s="48"/>
      <c r="AO485" s="48"/>
      <c r="AP485" s="48"/>
      <c r="AQ485" s="48"/>
      <c r="AR485" s="48"/>
      <c r="AS485" s="48"/>
      <c r="AT485" s="48"/>
      <c r="AU485" s="48"/>
      <c r="AV485" s="48"/>
      <c r="AW485" s="48"/>
      <c r="AX485" s="48"/>
      <c r="AY485" s="48"/>
      <c r="AZ485" s="48"/>
      <c r="BA485" s="48"/>
    </row>
    <row r="486" spans="1:53" x14ac:dyDescent="0.2">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48"/>
      <c r="AJ486" s="48"/>
      <c r="AK486" s="48"/>
      <c r="AL486" s="48"/>
      <c r="AM486" s="48"/>
      <c r="AN486" s="48"/>
      <c r="AO486" s="48"/>
      <c r="AP486" s="48"/>
      <c r="AQ486" s="48"/>
      <c r="AR486" s="48"/>
      <c r="AS486" s="48"/>
      <c r="AT486" s="48"/>
      <c r="AU486" s="48"/>
      <c r="AV486" s="48"/>
      <c r="AW486" s="48"/>
      <c r="AX486" s="48"/>
      <c r="AY486" s="48"/>
      <c r="AZ486" s="48"/>
      <c r="BA486" s="48"/>
    </row>
    <row r="487" spans="1:53" x14ac:dyDescent="0.2">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c r="AG487" s="48"/>
      <c r="AH487" s="48"/>
      <c r="AI487" s="48"/>
      <c r="AJ487" s="48"/>
      <c r="AK487" s="48"/>
      <c r="AL487" s="48"/>
      <c r="AM487" s="48"/>
      <c r="AN487" s="48"/>
      <c r="AO487" s="48"/>
      <c r="AP487" s="48"/>
      <c r="AQ487" s="48"/>
      <c r="AR487" s="48"/>
      <c r="AS487" s="48"/>
      <c r="AT487" s="48"/>
      <c r="AU487" s="48"/>
      <c r="AV487" s="48"/>
      <c r="AW487" s="48"/>
      <c r="AX487" s="48"/>
      <c r="AY487" s="48"/>
      <c r="AZ487" s="48"/>
      <c r="BA487" s="48"/>
    </row>
    <row r="488" spans="1:53" x14ac:dyDescent="0.2">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c r="AG488" s="48"/>
      <c r="AH488" s="48"/>
      <c r="AI488" s="48"/>
      <c r="AJ488" s="48"/>
      <c r="AK488" s="48"/>
      <c r="AL488" s="48"/>
      <c r="AM488" s="48"/>
      <c r="AN488" s="48"/>
      <c r="AO488" s="48"/>
      <c r="AP488" s="48"/>
      <c r="AQ488" s="48"/>
      <c r="AR488" s="48"/>
      <c r="AS488" s="48"/>
      <c r="AT488" s="48"/>
      <c r="AU488" s="48"/>
      <c r="AV488" s="48"/>
      <c r="AW488" s="48"/>
      <c r="AX488" s="48"/>
      <c r="AY488" s="48"/>
      <c r="AZ488" s="48"/>
      <c r="BA488" s="48"/>
    </row>
    <row r="489" spans="1:53" x14ac:dyDescent="0.2">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c r="AH489" s="48"/>
      <c r="AI489" s="48"/>
      <c r="AJ489" s="48"/>
      <c r="AK489" s="48"/>
      <c r="AL489" s="48"/>
      <c r="AM489" s="48"/>
      <c r="AN489" s="48"/>
      <c r="AO489" s="48"/>
      <c r="AP489" s="48"/>
      <c r="AQ489" s="48"/>
      <c r="AR489" s="48"/>
      <c r="AS489" s="48"/>
      <c r="AT489" s="48"/>
      <c r="AU489" s="48"/>
      <c r="AV489" s="48"/>
      <c r="AW489" s="48"/>
      <c r="AX489" s="48"/>
      <c r="AY489" s="48"/>
      <c r="AZ489" s="48"/>
      <c r="BA489" s="48"/>
    </row>
    <row r="490" spans="1:53" x14ac:dyDescent="0.2">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c r="AG490" s="48"/>
      <c r="AH490" s="48"/>
      <c r="AI490" s="48"/>
      <c r="AJ490" s="48"/>
      <c r="AK490" s="48"/>
      <c r="AL490" s="48"/>
      <c r="AM490" s="48"/>
      <c r="AN490" s="48"/>
      <c r="AO490" s="48"/>
      <c r="AP490" s="48"/>
      <c r="AQ490" s="48"/>
      <c r="AR490" s="48"/>
      <c r="AS490" s="48"/>
      <c r="AT490" s="48"/>
      <c r="AU490" s="48"/>
      <c r="AV490" s="48"/>
      <c r="AW490" s="48"/>
      <c r="AX490" s="48"/>
      <c r="AY490" s="48"/>
      <c r="AZ490" s="48"/>
      <c r="BA490" s="48"/>
    </row>
    <row r="491" spans="1:53" x14ac:dyDescent="0.2">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c r="AG491" s="48"/>
      <c r="AH491" s="48"/>
      <c r="AI491" s="48"/>
      <c r="AJ491" s="48"/>
      <c r="AK491" s="48"/>
      <c r="AL491" s="48"/>
      <c r="AM491" s="48"/>
      <c r="AN491" s="48"/>
      <c r="AO491" s="48"/>
      <c r="AP491" s="48"/>
      <c r="AQ491" s="48"/>
      <c r="AR491" s="48"/>
      <c r="AS491" s="48"/>
      <c r="AT491" s="48"/>
      <c r="AU491" s="48"/>
      <c r="AV491" s="48"/>
      <c r="AW491" s="48"/>
      <c r="AX491" s="48"/>
      <c r="AY491" s="48"/>
      <c r="AZ491" s="48"/>
      <c r="BA491" s="48"/>
    </row>
    <row r="492" spans="1:53" x14ac:dyDescent="0.2">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c r="AK492" s="48"/>
      <c r="AL492" s="48"/>
      <c r="AM492" s="48"/>
      <c r="AN492" s="48"/>
      <c r="AO492" s="48"/>
      <c r="AP492" s="48"/>
      <c r="AQ492" s="48"/>
      <c r="AR492" s="48"/>
      <c r="AS492" s="48"/>
      <c r="AT492" s="48"/>
      <c r="AU492" s="48"/>
      <c r="AV492" s="48"/>
      <c r="AW492" s="48"/>
      <c r="AX492" s="48"/>
      <c r="AY492" s="48"/>
      <c r="AZ492" s="48"/>
      <c r="BA492" s="48"/>
    </row>
    <row r="493" spans="1:53" x14ac:dyDescent="0.2">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c r="AH493" s="48"/>
      <c r="AI493" s="48"/>
      <c r="AJ493" s="48"/>
      <c r="AK493" s="48"/>
      <c r="AL493" s="48"/>
      <c r="AM493" s="48"/>
      <c r="AN493" s="48"/>
      <c r="AO493" s="48"/>
      <c r="AP493" s="48"/>
      <c r="AQ493" s="48"/>
      <c r="AR493" s="48"/>
      <c r="AS493" s="48"/>
      <c r="AT493" s="48"/>
      <c r="AU493" s="48"/>
      <c r="AV493" s="48"/>
      <c r="AW493" s="48"/>
      <c r="AX493" s="48"/>
      <c r="AY493" s="48"/>
      <c r="AZ493" s="48"/>
      <c r="BA493" s="48"/>
    </row>
    <row r="494" spans="1:53" x14ac:dyDescent="0.2">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c r="AH494" s="48"/>
      <c r="AI494" s="48"/>
      <c r="AJ494" s="48"/>
      <c r="AK494" s="48"/>
      <c r="AL494" s="48"/>
      <c r="AM494" s="48"/>
      <c r="AN494" s="48"/>
      <c r="AO494" s="48"/>
      <c r="AP494" s="48"/>
      <c r="AQ494" s="48"/>
      <c r="AR494" s="48"/>
      <c r="AS494" s="48"/>
      <c r="AT494" s="48"/>
      <c r="AU494" s="48"/>
      <c r="AV494" s="48"/>
      <c r="AW494" s="48"/>
      <c r="AX494" s="48"/>
      <c r="AY494" s="48"/>
      <c r="AZ494" s="48"/>
      <c r="BA494" s="48"/>
    </row>
    <row r="495" spans="1:53" x14ac:dyDescent="0.2">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c r="AH495" s="48"/>
      <c r="AI495" s="48"/>
      <c r="AJ495" s="48"/>
      <c r="AK495" s="48"/>
      <c r="AL495" s="48"/>
      <c r="AM495" s="48"/>
      <c r="AN495" s="48"/>
      <c r="AO495" s="48"/>
      <c r="AP495" s="48"/>
      <c r="AQ495" s="48"/>
      <c r="AR495" s="48"/>
      <c r="AS495" s="48"/>
      <c r="AT495" s="48"/>
      <c r="AU495" s="48"/>
      <c r="AV495" s="48"/>
      <c r="AW495" s="48"/>
      <c r="AX495" s="48"/>
      <c r="AY495" s="48"/>
      <c r="AZ495" s="48"/>
      <c r="BA495" s="48"/>
    </row>
    <row r="496" spans="1:53" x14ac:dyDescent="0.2">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c r="AH496" s="48"/>
      <c r="AI496" s="48"/>
      <c r="AJ496" s="48"/>
      <c r="AK496" s="48"/>
      <c r="AL496" s="48"/>
      <c r="AM496" s="48"/>
      <c r="AN496" s="48"/>
      <c r="AO496" s="48"/>
      <c r="AP496" s="48"/>
      <c r="AQ496" s="48"/>
      <c r="AR496" s="48"/>
      <c r="AS496" s="48"/>
      <c r="AT496" s="48"/>
      <c r="AU496" s="48"/>
      <c r="AV496" s="48"/>
      <c r="AW496" s="48"/>
      <c r="AX496" s="48"/>
      <c r="AY496" s="48"/>
      <c r="AZ496" s="48"/>
      <c r="BA496" s="48"/>
    </row>
    <row r="497" spans="1:53" x14ac:dyDescent="0.2">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c r="AG497" s="48"/>
      <c r="AH497" s="48"/>
      <c r="AI497" s="48"/>
      <c r="AJ497" s="48"/>
      <c r="AK497" s="48"/>
      <c r="AL497" s="48"/>
      <c r="AM497" s="48"/>
      <c r="AN497" s="48"/>
      <c r="AO497" s="48"/>
      <c r="AP497" s="48"/>
      <c r="AQ497" s="48"/>
      <c r="AR497" s="48"/>
      <c r="AS497" s="48"/>
      <c r="AT497" s="48"/>
      <c r="AU497" s="48"/>
      <c r="AV497" s="48"/>
      <c r="AW497" s="48"/>
      <c r="AX497" s="48"/>
      <c r="AY497" s="48"/>
      <c r="AZ497" s="48"/>
      <c r="BA497" s="48"/>
    </row>
    <row r="498" spans="1:53" x14ac:dyDescent="0.2">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c r="AG498" s="48"/>
      <c r="AH498" s="48"/>
      <c r="AI498" s="48"/>
      <c r="AJ498" s="48"/>
      <c r="AK498" s="48"/>
      <c r="AL498" s="48"/>
      <c r="AM498" s="48"/>
      <c r="AN498" s="48"/>
      <c r="AO498" s="48"/>
      <c r="AP498" s="48"/>
      <c r="AQ498" s="48"/>
      <c r="AR498" s="48"/>
      <c r="AS498" s="48"/>
      <c r="AT498" s="48"/>
      <c r="AU498" s="48"/>
      <c r="AV498" s="48"/>
      <c r="AW498" s="48"/>
      <c r="AX498" s="48"/>
      <c r="AY498" s="48"/>
      <c r="AZ498" s="48"/>
      <c r="BA498" s="48"/>
    </row>
    <row r="499" spans="1:53" x14ac:dyDescent="0.2">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c r="AG499" s="48"/>
      <c r="AH499" s="48"/>
      <c r="AI499" s="48"/>
      <c r="AJ499" s="48"/>
      <c r="AK499" s="48"/>
      <c r="AL499" s="48"/>
      <c r="AM499" s="48"/>
      <c r="AN499" s="48"/>
      <c r="AO499" s="48"/>
      <c r="AP499" s="48"/>
      <c r="AQ499" s="48"/>
      <c r="AR499" s="48"/>
      <c r="AS499" s="48"/>
      <c r="AT499" s="48"/>
      <c r="AU499" s="48"/>
      <c r="AV499" s="48"/>
      <c r="AW499" s="48"/>
      <c r="AX499" s="48"/>
      <c r="AY499" s="48"/>
      <c r="AZ499" s="48"/>
      <c r="BA499" s="48"/>
    </row>
    <row r="500" spans="1:53" x14ac:dyDescent="0.2">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c r="AG500" s="48"/>
      <c r="AH500" s="48"/>
      <c r="AI500" s="48"/>
      <c r="AJ500" s="48"/>
      <c r="AK500" s="48"/>
      <c r="AL500" s="48"/>
      <c r="AM500" s="48"/>
      <c r="AN500" s="48"/>
      <c r="AO500" s="48"/>
      <c r="AP500" s="48"/>
      <c r="AQ500" s="48"/>
      <c r="AR500" s="48"/>
      <c r="AS500" s="48"/>
      <c r="AT500" s="48"/>
      <c r="AU500" s="48"/>
      <c r="AV500" s="48"/>
      <c r="AW500" s="48"/>
      <c r="AX500" s="48"/>
      <c r="AY500" s="48"/>
      <c r="AZ500" s="48"/>
      <c r="BA500" s="48"/>
    </row>
    <row r="501" spans="1:53" x14ac:dyDescent="0.2">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c r="AG501" s="48"/>
      <c r="AH501" s="48"/>
      <c r="AI501" s="48"/>
      <c r="AJ501" s="48"/>
      <c r="AK501" s="48"/>
      <c r="AL501" s="48"/>
      <c r="AM501" s="48"/>
      <c r="AN501" s="48"/>
      <c r="AO501" s="48"/>
      <c r="AP501" s="48"/>
      <c r="AQ501" s="48"/>
      <c r="AR501" s="48"/>
      <c r="AS501" s="48"/>
      <c r="AT501" s="48"/>
      <c r="AU501" s="48"/>
      <c r="AV501" s="48"/>
      <c r="AW501" s="48"/>
      <c r="AX501" s="48"/>
      <c r="AY501" s="48"/>
      <c r="AZ501" s="48"/>
      <c r="BA501" s="48"/>
    </row>
    <row r="502" spans="1:53" x14ac:dyDescent="0.2">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c r="AG502" s="48"/>
      <c r="AH502" s="48"/>
      <c r="AI502" s="48"/>
      <c r="AJ502" s="48"/>
      <c r="AK502" s="48"/>
      <c r="AL502" s="48"/>
      <c r="AM502" s="48"/>
      <c r="AN502" s="48"/>
      <c r="AO502" s="48"/>
      <c r="AP502" s="48"/>
      <c r="AQ502" s="48"/>
      <c r="AR502" s="48"/>
      <c r="AS502" s="48"/>
      <c r="AT502" s="48"/>
      <c r="AU502" s="48"/>
      <c r="AV502" s="48"/>
      <c r="AW502" s="48"/>
      <c r="AX502" s="48"/>
      <c r="AY502" s="48"/>
      <c r="AZ502" s="48"/>
      <c r="BA502" s="48"/>
    </row>
    <row r="503" spans="1:53" x14ac:dyDescent="0.2">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c r="AG503" s="48"/>
      <c r="AH503" s="48"/>
      <c r="AI503" s="48"/>
      <c r="AJ503" s="48"/>
      <c r="AK503" s="48"/>
      <c r="AL503" s="48"/>
      <c r="AM503" s="48"/>
      <c r="AN503" s="48"/>
      <c r="AO503" s="48"/>
      <c r="AP503" s="48"/>
      <c r="AQ503" s="48"/>
      <c r="AR503" s="48"/>
      <c r="AS503" s="48"/>
      <c r="AT503" s="48"/>
      <c r="AU503" s="48"/>
      <c r="AV503" s="48"/>
      <c r="AW503" s="48"/>
      <c r="AX503" s="48"/>
      <c r="AY503" s="48"/>
      <c r="AZ503" s="48"/>
      <c r="BA503" s="48"/>
    </row>
    <row r="504" spans="1:53" x14ac:dyDescent="0.2">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c r="AG504" s="48"/>
      <c r="AH504" s="48"/>
      <c r="AI504" s="48"/>
      <c r="AJ504" s="48"/>
      <c r="AK504" s="48"/>
      <c r="AL504" s="48"/>
      <c r="AM504" s="48"/>
      <c r="AN504" s="48"/>
      <c r="AO504" s="48"/>
      <c r="AP504" s="48"/>
      <c r="AQ504" s="48"/>
      <c r="AR504" s="48"/>
      <c r="AS504" s="48"/>
      <c r="AT504" s="48"/>
      <c r="AU504" s="48"/>
      <c r="AV504" s="48"/>
      <c r="AW504" s="48"/>
      <c r="AX504" s="48"/>
      <c r="AY504" s="48"/>
      <c r="AZ504" s="48"/>
      <c r="BA504" s="48"/>
    </row>
    <row r="505" spans="1:53" x14ac:dyDescent="0.2">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c r="AG505" s="48"/>
      <c r="AH505" s="48"/>
      <c r="AI505" s="48"/>
      <c r="AJ505" s="48"/>
      <c r="AK505" s="48"/>
      <c r="AL505" s="48"/>
      <c r="AM505" s="48"/>
      <c r="AN505" s="48"/>
      <c r="AO505" s="48"/>
      <c r="AP505" s="48"/>
      <c r="AQ505" s="48"/>
      <c r="AR505" s="48"/>
      <c r="AS505" s="48"/>
      <c r="AT505" s="48"/>
      <c r="AU505" s="48"/>
      <c r="AV505" s="48"/>
      <c r="AW505" s="48"/>
      <c r="AX505" s="48"/>
      <c r="AY505" s="48"/>
      <c r="AZ505" s="48"/>
      <c r="BA505" s="48"/>
    </row>
    <row r="506" spans="1:53" x14ac:dyDescent="0.2">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c r="AG506" s="48"/>
      <c r="AH506" s="48"/>
      <c r="AI506" s="48"/>
      <c r="AJ506" s="48"/>
      <c r="AK506" s="48"/>
      <c r="AL506" s="48"/>
      <c r="AM506" s="48"/>
      <c r="AN506" s="48"/>
      <c r="AO506" s="48"/>
      <c r="AP506" s="48"/>
      <c r="AQ506" s="48"/>
      <c r="AR506" s="48"/>
      <c r="AS506" s="48"/>
      <c r="AT506" s="48"/>
      <c r="AU506" s="48"/>
      <c r="AV506" s="48"/>
      <c r="AW506" s="48"/>
      <c r="AX506" s="48"/>
      <c r="AY506" s="48"/>
      <c r="AZ506" s="48"/>
      <c r="BA506" s="48"/>
    </row>
    <row r="507" spans="1:53" x14ac:dyDescent="0.2">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c r="AG507" s="48"/>
      <c r="AH507" s="48"/>
      <c r="AI507" s="48"/>
      <c r="AJ507" s="48"/>
      <c r="AK507" s="48"/>
      <c r="AL507" s="48"/>
      <c r="AM507" s="48"/>
      <c r="AN507" s="48"/>
      <c r="AO507" s="48"/>
      <c r="AP507" s="48"/>
      <c r="AQ507" s="48"/>
      <c r="AR507" s="48"/>
      <c r="AS507" s="48"/>
      <c r="AT507" s="48"/>
      <c r="AU507" s="48"/>
      <c r="AV507" s="48"/>
      <c r="AW507" s="48"/>
      <c r="AX507" s="48"/>
      <c r="AY507" s="48"/>
      <c r="AZ507" s="48"/>
      <c r="BA507" s="48"/>
    </row>
    <row r="508" spans="1:53" x14ac:dyDescent="0.2">
      <c r="F508" s="48"/>
      <c r="G508" s="48"/>
      <c r="H508" s="48"/>
      <c r="I508" s="48"/>
      <c r="J508" s="48"/>
      <c r="K508" s="48"/>
      <c r="L508" s="48"/>
      <c r="M508" s="48"/>
      <c r="N508" s="48"/>
      <c r="O508" s="48"/>
      <c r="P508" s="48"/>
      <c r="Q508" s="48"/>
      <c r="R508" s="48"/>
      <c r="S508" s="48"/>
      <c r="T508" s="48"/>
      <c r="U508" s="48"/>
      <c r="V508" s="48"/>
      <c r="W508" s="48"/>
    </row>
  </sheetData>
  <mergeCells count="16">
    <mergeCell ref="A1:C1"/>
    <mergeCell ref="A2:B2"/>
    <mergeCell ref="A3:B3"/>
    <mergeCell ref="A6:A7"/>
    <mergeCell ref="B6:C6"/>
    <mergeCell ref="K6:K7"/>
    <mergeCell ref="A5:K5"/>
    <mergeCell ref="A69:D69"/>
    <mergeCell ref="A28:F28"/>
    <mergeCell ref="G6:J6"/>
    <mergeCell ref="D6:F6"/>
    <mergeCell ref="A30:E30"/>
    <mergeCell ref="A31:A32"/>
    <mergeCell ref="B31:E31"/>
    <mergeCell ref="A65:D65"/>
    <mergeCell ref="A63:E63"/>
  </mergeCells>
  <pageMargins left="0.25" right="0.25" top="0.75" bottom="0.75" header="0.3" footer="0.3"/>
  <pageSetup paperSize="3"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732FAF92C6BD43913D1B8554C5CA89" ma:contentTypeVersion="25" ma:contentTypeDescription="Create a new document." ma:contentTypeScope="" ma:versionID="7c95efbaf37e2b1f0ec6429013731747">
  <xsd:schema xmlns:xsd="http://www.w3.org/2001/XMLSchema" xmlns:xs="http://www.w3.org/2001/XMLSchema" xmlns:p="http://schemas.microsoft.com/office/2006/metadata/properties" xmlns:ns1="http://schemas.microsoft.com/sharepoint/v3" xmlns:ns2="f40aa4e5-11f0-47b3-bb66-a9479c39c64d" xmlns:ns3="44259822-5f70-4047-b4aa-84c0187a967b" targetNamespace="http://schemas.microsoft.com/office/2006/metadata/properties" ma:root="true" ma:fieldsID="94f16073e4120a35d4a4142f703d1fbc" ns1:_="" ns2:_="" ns3:_="">
    <xsd:import namespace="http://schemas.microsoft.com/sharepoint/v3"/>
    <xsd:import namespace="f40aa4e5-11f0-47b3-bb66-a9479c39c64d"/>
    <xsd:import namespace="44259822-5f70-4047-b4aa-84c0187a96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AutoKeyPoints" minOccurs="0"/>
                <xsd:element ref="ns2:MediaServiceKeyPoints" minOccurs="0"/>
                <xsd:element ref="ns2:Processed"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0aa4e5-11f0-47b3-bb66-a9479c39c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Processed" ma:index="22" nillable="true" ma:displayName="Processed" ma:default="0" ma:internalName="Processed">
      <xsd:simpleType>
        <xsd:restriction base="dms:Boolea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259822-5f70-4047-b4aa-84c0187a96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edb4c5c-10fb-4199-a75f-758e74f6f530}" ma:internalName="TaxCatchAll" ma:showField="CatchAllData" ma:web="44259822-5f70-4047-b4aa-84c0187a96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Processed xmlns="f40aa4e5-11f0-47b3-bb66-a9479c39c64d">false</Processed>
    <_ip_UnifiedCompliancePolicyProperties xmlns="http://schemas.microsoft.com/sharepoint/v3" xsi:nil="true"/>
    <lcf76f155ced4ddcb4097134ff3c332f xmlns="f40aa4e5-11f0-47b3-bb66-a9479c39c64d">
      <Terms xmlns="http://schemas.microsoft.com/office/infopath/2007/PartnerControls"/>
    </lcf76f155ced4ddcb4097134ff3c332f>
    <TaxCatchAll xmlns="44259822-5f70-4047-b4aa-84c0187a967b" xsi:nil="true"/>
  </documentManagement>
</p:properties>
</file>

<file path=customXml/itemProps1.xml><?xml version="1.0" encoding="utf-8"?>
<ds:datastoreItem xmlns:ds="http://schemas.openxmlformats.org/officeDocument/2006/customXml" ds:itemID="{3B0DC538-2517-4F4B-BEF9-A0B8C661096D}"/>
</file>

<file path=customXml/itemProps2.xml><?xml version="1.0" encoding="utf-8"?>
<ds:datastoreItem xmlns:ds="http://schemas.openxmlformats.org/officeDocument/2006/customXml" ds:itemID="{482908EE-61E2-4718-B4CD-CD9F2C85B75E}">
  <ds:schemaRefs>
    <ds:schemaRef ds:uri="http://schemas.microsoft.com/sharepoint/v3/contenttype/forms"/>
  </ds:schemaRefs>
</ds:datastoreItem>
</file>

<file path=customXml/itemProps3.xml><?xml version="1.0" encoding="utf-8"?>
<ds:datastoreItem xmlns:ds="http://schemas.openxmlformats.org/officeDocument/2006/customXml" ds:itemID="{8C31E25B-4624-40D0-87C9-9E97A794F0E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8f60d0e-772c-46fc-9a8a-069d9cba11f4"/>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Summary</vt:lpstr>
      <vt:lpstr>Summary Table</vt:lpstr>
      <vt:lpstr>NPV</vt:lpstr>
      <vt:lpstr>Costs</vt:lpstr>
      <vt:lpstr>Maintenance</vt:lpstr>
      <vt:lpstr>Safety</vt:lpstr>
      <vt:lpstr>Travel Time</vt:lpstr>
      <vt:lpstr>Environmental Protection</vt:lpstr>
      <vt:lpstr>Costs!Print_Area</vt:lpstr>
      <vt:lpstr>'Environmental Protection'!Print_Area</vt:lpstr>
      <vt:lpstr>Maintenance!Print_Area</vt:lpstr>
      <vt:lpstr>NPV!Print_Area</vt:lpstr>
      <vt:lpstr>Summary!Print_Area</vt:lpstr>
      <vt:lpstr>'Summary Table'!Print_Area</vt:lpstr>
      <vt:lpstr>'Travel Time'!Print_Area</vt:lpstr>
    </vt:vector>
  </TitlesOfParts>
  <Manager/>
  <Company>Kimley-Horn and Associates,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aaron.nathan</dc:creator>
  <cp:keywords/>
  <dc:description/>
  <cp:lastModifiedBy>Gary Flynn</cp:lastModifiedBy>
  <cp:revision/>
  <dcterms:created xsi:type="dcterms:W3CDTF">2011-10-18T15:31:40Z</dcterms:created>
  <dcterms:modified xsi:type="dcterms:W3CDTF">2022-09-07T22:29:15Z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0x010100F5732FAF92C6BD43913D1B8554C5CA89</vt:lpwstr>
  </property>
  <property fmtid="{D5CDD505-2E9C-101B-9397-08002B2CF9AE}" pid="3" name="Dam_Crash_Cost" linkTarget="Prop_Dam_Crash_Cost">
    <vt:lpwstr>#REF!</vt:lpwstr>
  </property>
  <property fmtid="{D5CDD505-2E9C-101B-9397-08002B2CF9AE}" pid="4" name="MediaServiceImageTags">
    <vt:lpwstr/>
  </property>
</Properties>
</file>