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oaconsulting-my.sharepoint.com/personal/hsievers_olsson_com/Documents/ODOT CI-2382F TO1. I35 over SH BIP Grant and BCA/BCA/"/>
    </mc:Choice>
  </mc:AlternateContent>
  <xr:revisionPtr revIDLastSave="3946" documentId="8_{99674971-1A77-4BBA-9374-EB7F5A720A2A}" xr6:coauthVersionLast="47" xr6:coauthVersionMax="47" xr10:uidLastSave="{41843E28-B20D-4057-A72D-D9E7D8478356}"/>
  <bookViews>
    <workbookView xWindow="-120" yWindow="-120" windowWidth="29040" windowHeight="15840" tabRatio="933" firstSheet="13" activeTab="13" xr2:uid="{00000000-000D-0000-FFFF-FFFF00000000}"/>
  </bookViews>
  <sheets>
    <sheet name="READ ME" sheetId="1" r:id="rId1"/>
    <sheet name="Traffic Assumptions" sheetId="2" r:id="rId2"/>
    <sheet name="Safety Assumptions" sheetId="15" r:id="rId3"/>
    <sheet name="Bike &amp; Ped Use Assumptions" sheetId="18" r:id="rId4"/>
    <sheet name="Emergency Response Assumptions" sheetId="22" r:id="rId5"/>
    <sheet name="Travel Time Savings" sheetId="3" r:id="rId6"/>
    <sheet name="Vehicle Operating Cost Savings" sheetId="4" r:id="rId7"/>
    <sheet name="Emissions Savings" sheetId="6" r:id="rId8"/>
    <sheet name="Safety Benefits" sheetId="5" r:id="rId9"/>
    <sheet name="Ped Impvt Benefits" sheetId="19" r:id="rId10"/>
    <sheet name="Cycling Impvt Benefits" sheetId="17" r:id="rId11"/>
    <sheet name="Health Benefits" sheetId="20" r:id="rId12"/>
    <sheet name="Emergency Services Benefits" sheetId="21" r:id="rId13"/>
    <sheet name="O&amp;M" sheetId="8" r:id="rId14"/>
    <sheet name="Residual Value" sheetId="7" r:id="rId15"/>
    <sheet name="Capital Costs" sheetId="9" r:id="rId16"/>
    <sheet name="BCA Summary" sheetId="10"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 i="8" l="1"/>
  <c r="D22" i="9"/>
  <c r="D25" i="9" s="1"/>
  <c r="L16" i="9"/>
  <c r="D15" i="9"/>
  <c r="E15" i="9"/>
  <c r="D24" i="9"/>
  <c r="D14" i="9"/>
  <c r="E14" i="9"/>
  <c r="E12" i="3"/>
  <c r="D12" i="3"/>
  <c r="N21" i="2"/>
  <c r="N22" i="2"/>
  <c r="O24" i="2"/>
  <c r="O21" i="2"/>
  <c r="O22" i="2"/>
  <c r="T24" i="2"/>
  <c r="U24" i="2"/>
  <c r="T21" i="2"/>
  <c r="T22" i="2"/>
  <c r="U21" i="2"/>
  <c r="U22" i="2"/>
  <c r="U23" i="2" s="1"/>
  <c r="O4" i="9"/>
  <c r="O5" i="9"/>
  <c r="O6" i="9"/>
  <c r="O7" i="9"/>
  <c r="O8" i="9"/>
  <c r="O9" i="9"/>
  <c r="D13" i="9"/>
  <c r="D12" i="9"/>
  <c r="L12" i="3"/>
  <c r="M12" i="3" s="1"/>
  <c r="N12" i="3" s="1"/>
  <c r="M41" i="3"/>
  <c r="Q16" i="3"/>
  <c r="R16" i="3" s="1"/>
  <c r="Q17" i="3"/>
  <c r="R17" i="3"/>
  <c r="Q18" i="3"/>
  <c r="R18" i="3" s="1"/>
  <c r="Q23" i="3"/>
  <c r="R23" i="3"/>
  <c r="Q24" i="3"/>
  <c r="R24" i="3" s="1"/>
  <c r="Q26" i="3"/>
  <c r="R26" i="3" s="1"/>
  <c r="Q32" i="3"/>
  <c r="R32" i="3" s="1"/>
  <c r="Q33" i="3"/>
  <c r="R33" i="3"/>
  <c r="Q34" i="3"/>
  <c r="R34" i="3" s="1"/>
  <c r="Q39" i="3"/>
  <c r="R39" i="3"/>
  <c r="Q40" i="3"/>
  <c r="R40" i="3" s="1"/>
  <c r="M13" i="3"/>
  <c r="N13" i="3" s="1"/>
  <c r="M19" i="3"/>
  <c r="N19" i="3" s="1"/>
  <c r="M20" i="3"/>
  <c r="N20" i="3"/>
  <c r="M21" i="3"/>
  <c r="N21" i="3" s="1"/>
  <c r="M26" i="3"/>
  <c r="N26" i="3"/>
  <c r="M27" i="3"/>
  <c r="N27" i="3" s="1"/>
  <c r="M29" i="3"/>
  <c r="N29" i="3" s="1"/>
  <c r="M35" i="3"/>
  <c r="N35" i="3" s="1"/>
  <c r="M36" i="3"/>
  <c r="N36" i="3"/>
  <c r="M37" i="3"/>
  <c r="N37" i="3" s="1"/>
  <c r="Q12" i="3"/>
  <c r="R12" i="3" s="1"/>
  <c r="P13" i="3"/>
  <c r="Q13" i="3" s="1"/>
  <c r="R13" i="3" s="1"/>
  <c r="P14" i="3"/>
  <c r="Q14" i="3" s="1"/>
  <c r="R14" i="3" s="1"/>
  <c r="P15" i="3"/>
  <c r="Q15" i="3" s="1"/>
  <c r="R15" i="3" s="1"/>
  <c r="P16" i="3"/>
  <c r="P17" i="3"/>
  <c r="P18" i="3"/>
  <c r="P19" i="3"/>
  <c r="Q19" i="3" s="1"/>
  <c r="R19" i="3" s="1"/>
  <c r="P20" i="3"/>
  <c r="Q20" i="3" s="1"/>
  <c r="R20" i="3" s="1"/>
  <c r="P21" i="3"/>
  <c r="Q21" i="3" s="1"/>
  <c r="R21" i="3" s="1"/>
  <c r="P22" i="3"/>
  <c r="Q22" i="3" s="1"/>
  <c r="R22" i="3" s="1"/>
  <c r="P23" i="3"/>
  <c r="P24" i="3"/>
  <c r="P25" i="3"/>
  <c r="Q25" i="3" s="1"/>
  <c r="R25" i="3" s="1"/>
  <c r="P26" i="3"/>
  <c r="P27" i="3"/>
  <c r="Q27" i="3" s="1"/>
  <c r="R27" i="3" s="1"/>
  <c r="P28" i="3"/>
  <c r="Q28" i="3" s="1"/>
  <c r="R28" i="3" s="1"/>
  <c r="P29" i="3"/>
  <c r="Q29" i="3" s="1"/>
  <c r="R29" i="3" s="1"/>
  <c r="P30" i="3"/>
  <c r="Q30" i="3" s="1"/>
  <c r="R30" i="3" s="1"/>
  <c r="P31" i="3"/>
  <c r="Q31" i="3" s="1"/>
  <c r="R31" i="3" s="1"/>
  <c r="P32" i="3"/>
  <c r="P33" i="3"/>
  <c r="P34" i="3"/>
  <c r="P35" i="3"/>
  <c r="Q35" i="3" s="1"/>
  <c r="R35" i="3" s="1"/>
  <c r="P36" i="3"/>
  <c r="Q36" i="3" s="1"/>
  <c r="R36" i="3" s="1"/>
  <c r="P37" i="3"/>
  <c r="Q37" i="3" s="1"/>
  <c r="R37" i="3" s="1"/>
  <c r="P38" i="3"/>
  <c r="Q38" i="3" s="1"/>
  <c r="R38" i="3" s="1"/>
  <c r="P39" i="3"/>
  <c r="P40" i="3"/>
  <c r="P41" i="3"/>
  <c r="Q41" i="3" s="1"/>
  <c r="R41" i="3" s="1"/>
  <c r="L13" i="3"/>
  <c r="L14" i="3"/>
  <c r="M14" i="3" s="1"/>
  <c r="N14" i="3" s="1"/>
  <c r="L15" i="3"/>
  <c r="M15" i="3" s="1"/>
  <c r="N15" i="3" s="1"/>
  <c r="L16" i="3"/>
  <c r="M16" i="3" s="1"/>
  <c r="N16" i="3" s="1"/>
  <c r="L17" i="3"/>
  <c r="M17" i="3" s="1"/>
  <c r="N17" i="3" s="1"/>
  <c r="L18" i="3"/>
  <c r="M18" i="3" s="1"/>
  <c r="N18" i="3" s="1"/>
  <c r="L19" i="3"/>
  <c r="L20" i="3"/>
  <c r="L21" i="3"/>
  <c r="L22" i="3"/>
  <c r="M22" i="3" s="1"/>
  <c r="N22" i="3" s="1"/>
  <c r="L23" i="3"/>
  <c r="M23" i="3" s="1"/>
  <c r="N23" i="3" s="1"/>
  <c r="L24" i="3"/>
  <c r="M24" i="3" s="1"/>
  <c r="N24" i="3" s="1"/>
  <c r="L25" i="3"/>
  <c r="M25" i="3" s="1"/>
  <c r="N25" i="3" s="1"/>
  <c r="L26" i="3"/>
  <c r="L27" i="3"/>
  <c r="L28" i="3"/>
  <c r="M28" i="3" s="1"/>
  <c r="N28" i="3" s="1"/>
  <c r="L29" i="3"/>
  <c r="L30" i="3"/>
  <c r="M30" i="3" s="1"/>
  <c r="N30" i="3" s="1"/>
  <c r="L31" i="3"/>
  <c r="M31" i="3" s="1"/>
  <c r="N31" i="3" s="1"/>
  <c r="L32" i="3"/>
  <c r="M32" i="3" s="1"/>
  <c r="N32" i="3" s="1"/>
  <c r="L33" i="3"/>
  <c r="M33" i="3" s="1"/>
  <c r="N33" i="3" s="1"/>
  <c r="L34" i="3"/>
  <c r="M34" i="3" s="1"/>
  <c r="N34" i="3" s="1"/>
  <c r="L35" i="3"/>
  <c r="L36" i="3"/>
  <c r="L37" i="3"/>
  <c r="L38" i="3"/>
  <c r="M38" i="3" s="1"/>
  <c r="N38" i="3" s="1"/>
  <c r="L39" i="3"/>
  <c r="M39" i="3" s="1"/>
  <c r="N39" i="3" s="1"/>
  <c r="L40" i="3"/>
  <c r="M40" i="3" s="1"/>
  <c r="N40" i="3" s="1"/>
  <c r="L41" i="3"/>
  <c r="P12" i="3"/>
  <c r="O32" i="3"/>
  <c r="O33" i="3"/>
  <c r="O34" i="3"/>
  <c r="O35" i="3"/>
  <c r="O36" i="3"/>
  <c r="O37" i="3"/>
  <c r="O38" i="3"/>
  <c r="O39" i="3"/>
  <c r="O40" i="3"/>
  <c r="O41" i="3"/>
  <c r="O31" i="3"/>
  <c r="K32" i="3"/>
  <c r="K33" i="3"/>
  <c r="K34" i="3"/>
  <c r="K35" i="3"/>
  <c r="K36" i="3"/>
  <c r="K37" i="3"/>
  <c r="K38" i="3"/>
  <c r="K39" i="3"/>
  <c r="K40" i="3"/>
  <c r="K41" i="3"/>
  <c r="K31" i="3"/>
  <c r="O13" i="3"/>
  <c r="O14" i="3"/>
  <c r="O15" i="3"/>
  <c r="O16" i="3"/>
  <c r="O17" i="3"/>
  <c r="O18" i="3"/>
  <c r="O19" i="3"/>
  <c r="O20" i="3"/>
  <c r="O21" i="3"/>
  <c r="O22" i="3"/>
  <c r="O23" i="3"/>
  <c r="O24" i="3"/>
  <c r="O25" i="3"/>
  <c r="O26" i="3"/>
  <c r="O27" i="3"/>
  <c r="O28" i="3"/>
  <c r="O29" i="3"/>
  <c r="O12" i="3"/>
  <c r="O11" i="3"/>
  <c r="K12" i="3"/>
  <c r="K13" i="3"/>
  <c r="K14" i="3"/>
  <c r="K15" i="3"/>
  <c r="K16" i="3"/>
  <c r="K17" i="3"/>
  <c r="K18" i="3"/>
  <c r="K19" i="3"/>
  <c r="K20" i="3"/>
  <c r="K21" i="3"/>
  <c r="K22" i="3"/>
  <c r="K23" i="3"/>
  <c r="K24" i="3"/>
  <c r="K25" i="3"/>
  <c r="K26" i="3"/>
  <c r="K27" i="3"/>
  <c r="K28" i="3"/>
  <c r="K29" i="3"/>
  <c r="K11" i="3"/>
  <c r="O30" i="3"/>
  <c r="K30" i="3"/>
  <c r="O10" i="3"/>
  <c r="K10" i="3"/>
  <c r="L17" i="9" l="1"/>
  <c r="M17" i="9" s="1"/>
  <c r="M16" i="9"/>
  <c r="E17" i="9" s="1"/>
  <c r="N41" i="3"/>
  <c r="F62" i="6"/>
  <c r="E16" i="9" l="1"/>
  <c r="G40" i="2"/>
  <c r="F40" i="2" s="1"/>
  <c r="G39" i="2"/>
  <c r="F39" i="2" s="1"/>
  <c r="G36" i="2"/>
  <c r="F36" i="2" s="1"/>
  <c r="G35" i="2"/>
  <c r="F35" i="2" s="1"/>
  <c r="G32" i="2"/>
  <c r="F32" i="2" s="1"/>
  <c r="G31" i="2"/>
  <c r="F31" i="2" s="1"/>
  <c r="G28" i="2"/>
  <c r="F28" i="2" s="1"/>
  <c r="G27" i="2"/>
  <c r="F27" i="2" s="1"/>
  <c r="G24" i="2"/>
  <c r="F24" i="2" s="1"/>
  <c r="G23" i="2"/>
  <c r="F23" i="2" s="1"/>
  <c r="G20" i="2"/>
  <c r="G19" i="2"/>
  <c r="H39" i="2"/>
  <c r="F19" i="2" l="1"/>
  <c r="F20" i="2"/>
  <c r="H35" i="2"/>
  <c r="H31" i="2"/>
  <c r="H27" i="2"/>
  <c r="H23" i="2"/>
  <c r="H19" i="2"/>
  <c r="C8" i="21"/>
  <c r="C12" i="21" s="1"/>
  <c r="R13" i="5"/>
  <c r="K42" i="10"/>
  <c r="K40" i="10"/>
  <c r="L40" i="10"/>
  <c r="M40" i="10"/>
  <c r="K41" i="10"/>
  <c r="M41" i="10"/>
  <c r="F20" i="7"/>
  <c r="F18" i="7"/>
  <c r="T41" i="7" s="1"/>
  <c r="L41" i="10" s="1"/>
  <c r="L42" i="10" s="1"/>
  <c r="G12" i="5"/>
  <c r="E12" i="5"/>
  <c r="D12" i="5"/>
  <c r="H12" i="5"/>
  <c r="C12" i="5"/>
  <c r="C13" i="21"/>
  <c r="O23" i="2" l="1"/>
  <c r="C30" i="4" s="1"/>
  <c r="N23" i="2"/>
  <c r="T23" i="2"/>
  <c r="C14" i="21"/>
  <c r="G12" i="21" s="1"/>
  <c r="H12" i="21" s="1"/>
  <c r="Q15" i="5"/>
  <c r="Q14" i="5"/>
  <c r="R14" i="5" s="1"/>
  <c r="Q13" i="5"/>
  <c r="C9" i="21"/>
  <c r="C5" i="19"/>
  <c r="C5" i="20" s="1"/>
  <c r="C30" i="17"/>
  <c r="C5" i="17"/>
  <c r="D5" i="20" s="1"/>
  <c r="C30" i="19"/>
  <c r="N46" i="9"/>
  <c r="O46" i="9"/>
  <c r="P46" i="9"/>
  <c r="N47" i="9"/>
  <c r="O47" i="9"/>
  <c r="P47" i="9"/>
  <c r="O18" i="8"/>
  <c r="O17" i="8"/>
  <c r="N4" i="9"/>
  <c r="P4" i="9"/>
  <c r="N5" i="9"/>
  <c r="P5" i="9"/>
  <c r="N6" i="9"/>
  <c r="P6" i="9"/>
  <c r="N7" i="9"/>
  <c r="P7" i="9"/>
  <c r="N8" i="9"/>
  <c r="P8" i="9"/>
  <c r="N9" i="9"/>
  <c r="P9" i="9"/>
  <c r="N10" i="9"/>
  <c r="O10" i="9" s="1"/>
  <c r="P10" i="9"/>
  <c r="N11" i="9"/>
  <c r="O11" i="9"/>
  <c r="N12" i="9"/>
  <c r="O12" i="9" s="1"/>
  <c r="P12" i="9" s="1"/>
  <c r="N13" i="9"/>
  <c r="O13" i="9" s="1"/>
  <c r="N14" i="9"/>
  <c r="O14" i="9" s="1"/>
  <c r="N15" i="9"/>
  <c r="O15" i="9" s="1"/>
  <c r="G13" i="21" l="1"/>
  <c r="H13" i="21" s="1"/>
  <c r="G23" i="21"/>
  <c r="H23" i="21" s="1"/>
  <c r="G34" i="21"/>
  <c r="H34" i="21" s="1"/>
  <c r="G21" i="21"/>
  <c r="H21" i="21" s="1"/>
  <c r="G32" i="21"/>
  <c r="H32" i="21" s="1"/>
  <c r="G20" i="21"/>
  <c r="H20" i="21" s="1"/>
  <c r="G18" i="21"/>
  <c r="H18" i="21" s="1"/>
  <c r="G37" i="21"/>
  <c r="H37" i="21" s="1"/>
  <c r="G24" i="21"/>
  <c r="H24" i="21" s="1"/>
  <c r="G35" i="21"/>
  <c r="H35" i="21" s="1"/>
  <c r="G22" i="21"/>
  <c r="H22" i="21" s="1"/>
  <c r="G31" i="21"/>
  <c r="H31" i="21" s="1"/>
  <c r="G19" i="21"/>
  <c r="H19" i="21" s="1"/>
  <c r="G30" i="21"/>
  <c r="H30" i="21" s="1"/>
  <c r="G41" i="21"/>
  <c r="H41" i="21" s="1"/>
  <c r="J41" i="10" s="1"/>
  <c r="G29" i="21"/>
  <c r="H29" i="21" s="1"/>
  <c r="G17" i="21"/>
  <c r="H17" i="21" s="1"/>
  <c r="G25" i="21"/>
  <c r="H25" i="21" s="1"/>
  <c r="G36" i="21"/>
  <c r="H36" i="21" s="1"/>
  <c r="G33" i="21"/>
  <c r="H33" i="21" s="1"/>
  <c r="G28" i="21"/>
  <c r="H28" i="21" s="1"/>
  <c r="G39" i="21"/>
  <c r="H39" i="21" s="1"/>
  <c r="G15" i="21"/>
  <c r="H15" i="21" s="1"/>
  <c r="G40" i="21"/>
  <c r="H40" i="21" s="1"/>
  <c r="J40" i="10" s="1"/>
  <c r="G16" i="21"/>
  <c r="H16" i="21" s="1"/>
  <c r="G27" i="21"/>
  <c r="H27" i="21" s="1"/>
  <c r="G38" i="21"/>
  <c r="H38" i="21" s="1"/>
  <c r="G26" i="21"/>
  <c r="H26" i="21" s="1"/>
  <c r="G14" i="21"/>
  <c r="H14" i="21" s="1"/>
  <c r="N24" i="2"/>
  <c r="C30" i="3" s="1"/>
  <c r="F30" i="4"/>
  <c r="E30" i="6" s="1"/>
  <c r="S30" i="6"/>
  <c r="I30" i="6"/>
  <c r="N30" i="6"/>
  <c r="D30" i="6"/>
  <c r="C29" i="4"/>
  <c r="C31" i="4"/>
  <c r="G30" i="3"/>
  <c r="C40" i="5"/>
  <c r="E13" i="5"/>
  <c r="R15" i="5"/>
  <c r="I40" i="5"/>
  <c r="E41" i="5"/>
  <c r="D41" i="5"/>
  <c r="E40" i="5"/>
  <c r="C41" i="5"/>
  <c r="D40" i="5"/>
  <c r="F40" i="5" s="1"/>
  <c r="G40" i="5" s="1"/>
  <c r="J40" i="5"/>
  <c r="C30" i="20"/>
  <c r="D30" i="19"/>
  <c r="E30" i="19" s="1"/>
  <c r="D30" i="20"/>
  <c r="D30" i="17"/>
  <c r="E30" i="17" s="1"/>
  <c r="C31" i="17"/>
  <c r="C6" i="17"/>
  <c r="C31" i="19"/>
  <c r="C6" i="19"/>
  <c r="E27" i="8"/>
  <c r="O21" i="8"/>
  <c r="O20" i="8"/>
  <c r="O24" i="8"/>
  <c r="I26" i="8" s="1"/>
  <c r="O23" i="8"/>
  <c r="C29" i="3" l="1"/>
  <c r="C28" i="3" s="1"/>
  <c r="C27" i="3" s="1"/>
  <c r="C26" i="3" s="1"/>
  <c r="C25" i="3" s="1"/>
  <c r="C24" i="3" s="1"/>
  <c r="C23" i="3" s="1"/>
  <c r="C22" i="3" s="1"/>
  <c r="C21" i="3" s="1"/>
  <c r="C20" i="3" s="1"/>
  <c r="C19" i="3" s="1"/>
  <c r="C18" i="3" s="1"/>
  <c r="C17" i="3" s="1"/>
  <c r="C16" i="3" s="1"/>
  <c r="C15" i="3" s="1"/>
  <c r="C14" i="3" s="1"/>
  <c r="C13" i="3" s="1"/>
  <c r="C12" i="3" s="1"/>
  <c r="C31" i="3"/>
  <c r="C32" i="3" s="1"/>
  <c r="T30" i="6"/>
  <c r="U30" i="6" s="1"/>
  <c r="O30" i="6"/>
  <c r="F31" i="4"/>
  <c r="F32" i="4" s="1"/>
  <c r="F33" i="4" s="1"/>
  <c r="F34" i="4" s="1"/>
  <c r="F35" i="4" s="1"/>
  <c r="F36" i="4" s="1"/>
  <c r="F37" i="4" s="1"/>
  <c r="F38" i="4" s="1"/>
  <c r="F39" i="4" s="1"/>
  <c r="F40" i="4" s="1"/>
  <c r="F41" i="4" s="1"/>
  <c r="J30" i="6"/>
  <c r="F29" i="4"/>
  <c r="F28" i="4" s="1"/>
  <c r="F27" i="4" s="1"/>
  <c r="F26" i="4" s="1"/>
  <c r="F25" i="4" s="1"/>
  <c r="F24" i="4" s="1"/>
  <c r="F23" i="4" s="1"/>
  <c r="F22" i="4" s="1"/>
  <c r="F21" i="4" s="1"/>
  <c r="F20" i="4" s="1"/>
  <c r="F19" i="4" s="1"/>
  <c r="F18" i="4" s="1"/>
  <c r="F17" i="4" s="1"/>
  <c r="F16" i="4" s="1"/>
  <c r="F15" i="4" s="1"/>
  <c r="F14" i="4" s="1"/>
  <c r="F13" i="4" s="1"/>
  <c r="F12" i="4" s="1"/>
  <c r="F11" i="4" s="1"/>
  <c r="F10" i="4" s="1"/>
  <c r="F9" i="4" s="1"/>
  <c r="F8" i="4" s="1"/>
  <c r="F7" i="4" s="1"/>
  <c r="F6" i="4" s="1"/>
  <c r="F30" i="6"/>
  <c r="G30" i="6" s="1"/>
  <c r="G29" i="3"/>
  <c r="G28" i="3" s="1"/>
  <c r="G27" i="3" s="1"/>
  <c r="G26" i="3" s="1"/>
  <c r="G25" i="3" s="1"/>
  <c r="G24" i="3" s="1"/>
  <c r="G23" i="3" s="1"/>
  <c r="G22" i="3" s="1"/>
  <c r="G21" i="3" s="1"/>
  <c r="G20" i="3" s="1"/>
  <c r="G19" i="3" s="1"/>
  <c r="G18" i="3" s="1"/>
  <c r="G17" i="3" s="1"/>
  <c r="G16" i="3" s="1"/>
  <c r="G15" i="3" s="1"/>
  <c r="G14" i="3" s="1"/>
  <c r="G13" i="3" s="1"/>
  <c r="G12" i="3" s="1"/>
  <c r="G31" i="3"/>
  <c r="G32" i="3" s="1"/>
  <c r="G33" i="3" s="1"/>
  <c r="G34" i="3" s="1"/>
  <c r="G35" i="3" s="1"/>
  <c r="G36" i="3" s="1"/>
  <c r="G37" i="3" s="1"/>
  <c r="G38" i="3" s="1"/>
  <c r="G39" i="3" s="1"/>
  <c r="G40" i="3" s="1"/>
  <c r="G41" i="3" s="1"/>
  <c r="S31" i="6"/>
  <c r="I31" i="6"/>
  <c r="N31" i="6"/>
  <c r="D31" i="6"/>
  <c r="C28" i="4"/>
  <c r="I29" i="6"/>
  <c r="D29" i="6"/>
  <c r="N29" i="6"/>
  <c r="S29" i="6"/>
  <c r="E30" i="20"/>
  <c r="F30" i="20" s="1"/>
  <c r="H13" i="8"/>
  <c r="J13" i="8" s="1"/>
  <c r="H14" i="8"/>
  <c r="J14" i="8" s="1"/>
  <c r="H15" i="8"/>
  <c r="J15" i="8" s="1"/>
  <c r="H16" i="8"/>
  <c r="J16" i="8" s="1"/>
  <c r="H17" i="8"/>
  <c r="J17" i="8" s="1"/>
  <c r="H18" i="8"/>
  <c r="J18" i="8" s="1"/>
  <c r="H19" i="8"/>
  <c r="J19" i="8" s="1"/>
  <c r="H20" i="8"/>
  <c r="J20" i="8" s="1"/>
  <c r="H21" i="8"/>
  <c r="J21" i="8" s="1"/>
  <c r="H22" i="8"/>
  <c r="J22" i="8" s="1"/>
  <c r="H23" i="8"/>
  <c r="J23" i="8" s="1"/>
  <c r="H24" i="8"/>
  <c r="J24" i="8" s="1"/>
  <c r="H25" i="8"/>
  <c r="J25" i="8" s="1"/>
  <c r="H26" i="8"/>
  <c r="J26" i="8" s="1"/>
  <c r="H27" i="8"/>
  <c r="J27" i="8" s="1"/>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K40" i="8" s="1"/>
  <c r="H41" i="8"/>
  <c r="J41" i="8" s="1"/>
  <c r="K41" i="8" s="1"/>
  <c r="H12" i="8"/>
  <c r="J12" i="8" s="1"/>
  <c r="C13" i="8"/>
  <c r="C14" i="8"/>
  <c r="C15" i="8"/>
  <c r="C16" i="8"/>
  <c r="C17" i="8"/>
  <c r="C18" i="8"/>
  <c r="C19" i="8"/>
  <c r="C20" i="8"/>
  <c r="C21" i="8"/>
  <c r="F21" i="8" s="1"/>
  <c r="C22" i="8"/>
  <c r="C23" i="8"/>
  <c r="C24" i="8"/>
  <c r="C25" i="8"/>
  <c r="C26" i="8"/>
  <c r="C27" i="8"/>
  <c r="C28" i="8"/>
  <c r="C29" i="8"/>
  <c r="C30" i="8"/>
  <c r="C31" i="8"/>
  <c r="C32" i="8"/>
  <c r="C33" i="8"/>
  <c r="C34" i="8"/>
  <c r="C35" i="8"/>
  <c r="C36" i="8"/>
  <c r="C37" i="8"/>
  <c r="C38" i="8"/>
  <c r="C39" i="8"/>
  <c r="C40" i="8"/>
  <c r="F40" i="8" s="1"/>
  <c r="G40" i="8" s="1"/>
  <c r="C41" i="8"/>
  <c r="F41" i="8" s="1"/>
  <c r="G41" i="8" s="1"/>
  <c r="C12" i="8"/>
  <c r="D32" i="8"/>
  <c r="D22" i="8"/>
  <c r="D12" i="8"/>
  <c r="F41" i="5"/>
  <c r="G41" i="5" s="1"/>
  <c r="F12" i="5"/>
  <c r="J41" i="5"/>
  <c r="I41" i="5"/>
  <c r="H41" i="5"/>
  <c r="H40" i="5"/>
  <c r="K40" i="5" s="1"/>
  <c r="L40" i="5" s="1"/>
  <c r="M40" i="5" s="1"/>
  <c r="F40" i="10" s="1"/>
  <c r="D6" i="20"/>
  <c r="C7" i="17"/>
  <c r="D31" i="20"/>
  <c r="D31" i="17"/>
  <c r="E31" i="17" s="1"/>
  <c r="C32" i="17"/>
  <c r="C7" i="19"/>
  <c r="C6" i="20"/>
  <c r="C32" i="19"/>
  <c r="C31" i="20"/>
  <c r="D31" i="19"/>
  <c r="E31" i="19" s="1"/>
  <c r="T42" i="7"/>
  <c r="F12" i="3" l="1"/>
  <c r="C11" i="3"/>
  <c r="C10" i="3" s="1"/>
  <c r="C9" i="3" s="1"/>
  <c r="C8" i="3" s="1"/>
  <c r="C7" i="3" s="1"/>
  <c r="C6" i="3" s="1"/>
  <c r="J29" i="6"/>
  <c r="O29" i="6"/>
  <c r="T31" i="6"/>
  <c r="U31" i="6" s="1"/>
  <c r="J31" i="6"/>
  <c r="E31" i="6"/>
  <c r="F31" i="6" s="1"/>
  <c r="G31" i="6" s="1"/>
  <c r="O31" i="6"/>
  <c r="T29" i="6"/>
  <c r="U29" i="6" s="1"/>
  <c r="E29" i="6"/>
  <c r="F29" i="6" s="1"/>
  <c r="G29" i="6" s="1"/>
  <c r="G12" i="4"/>
  <c r="H12" i="4" s="1"/>
  <c r="E28" i="6"/>
  <c r="C27" i="4"/>
  <c r="T28" i="6"/>
  <c r="N28" i="6"/>
  <c r="I28" i="6"/>
  <c r="D28" i="6"/>
  <c r="J28" i="6"/>
  <c r="S28" i="6"/>
  <c r="O28" i="6"/>
  <c r="H12" i="3"/>
  <c r="G11" i="3"/>
  <c r="G10" i="3" s="1"/>
  <c r="G9" i="3" s="1"/>
  <c r="G8" i="3" s="1"/>
  <c r="G7" i="3" s="1"/>
  <c r="G6" i="3" s="1"/>
  <c r="F12" i="8"/>
  <c r="G12" i="8" s="1"/>
  <c r="L41" i="8"/>
  <c r="L40" i="8"/>
  <c r="K41" i="5"/>
  <c r="L41" i="5" s="1"/>
  <c r="M41" i="5" s="1"/>
  <c r="F41" i="10" s="1"/>
  <c r="E31" i="20"/>
  <c r="F31" i="20" s="1"/>
  <c r="D32" i="20"/>
  <c r="D32" i="17"/>
  <c r="E32" i="17" s="1"/>
  <c r="C33" i="17"/>
  <c r="D7" i="20"/>
  <c r="C8" i="17"/>
  <c r="C33" i="19"/>
  <c r="C32" i="20"/>
  <c r="D32" i="19"/>
  <c r="E32" i="19" s="1"/>
  <c r="C8" i="19"/>
  <c r="C7" i="20"/>
  <c r="U28" i="6" l="1"/>
  <c r="F28" i="6"/>
  <c r="G28" i="6" s="1"/>
  <c r="E27" i="6"/>
  <c r="C26" i="4"/>
  <c r="D27" i="6"/>
  <c r="I27" i="6"/>
  <c r="N27" i="6"/>
  <c r="J27" i="6"/>
  <c r="S27" i="6"/>
  <c r="O27" i="6"/>
  <c r="T27" i="6"/>
  <c r="E32" i="20"/>
  <c r="F32" i="20" s="1"/>
  <c r="D8" i="20"/>
  <c r="C9" i="17"/>
  <c r="D33" i="20"/>
  <c r="D33" i="17"/>
  <c r="E33" i="17" s="1"/>
  <c r="C34" i="17"/>
  <c r="C9" i="19"/>
  <c r="C8" i="20"/>
  <c r="C34" i="19"/>
  <c r="C33" i="20"/>
  <c r="D33" i="19"/>
  <c r="E33" i="19" s="1"/>
  <c r="K15" i="8"/>
  <c r="K27" i="8"/>
  <c r="K39" i="8"/>
  <c r="K25" i="8"/>
  <c r="K38" i="8"/>
  <c r="K16" i="8"/>
  <c r="K28" i="8"/>
  <c r="K13" i="8"/>
  <c r="K17" i="8"/>
  <c r="K29" i="8"/>
  <c r="K20" i="8"/>
  <c r="K33" i="8"/>
  <c r="K18" i="8"/>
  <c r="K30" i="8"/>
  <c r="K14" i="8"/>
  <c r="K19" i="8"/>
  <c r="K31" i="8"/>
  <c r="K32" i="8"/>
  <c r="K21" i="8"/>
  <c r="K26" i="8"/>
  <c r="K22" i="8"/>
  <c r="K34" i="8"/>
  <c r="K35" i="8"/>
  <c r="K23" i="8"/>
  <c r="K37" i="8"/>
  <c r="K12" i="8"/>
  <c r="L12" i="8" s="1"/>
  <c r="K24" i="8"/>
  <c r="K36" i="8"/>
  <c r="F27" i="6" l="1"/>
  <c r="G27" i="6" s="1"/>
  <c r="U27" i="6"/>
  <c r="E26" i="6"/>
  <c r="C25" i="4"/>
  <c r="I26" i="6"/>
  <c r="D26" i="6"/>
  <c r="N26" i="6"/>
  <c r="S26" i="6"/>
  <c r="J26" i="6"/>
  <c r="O26" i="6"/>
  <c r="T26" i="6"/>
  <c r="E33" i="20"/>
  <c r="F33" i="20" s="1"/>
  <c r="D34" i="20"/>
  <c r="D34" i="17"/>
  <c r="E34" i="17" s="1"/>
  <c r="C35" i="17"/>
  <c r="D9" i="20"/>
  <c r="C10" i="17"/>
  <c r="C35" i="19"/>
  <c r="C34" i="20"/>
  <c r="D34" i="19"/>
  <c r="E34" i="19" s="1"/>
  <c r="C10" i="19"/>
  <c r="C9" i="20"/>
  <c r="F24" i="8"/>
  <c r="G24" i="8" s="1"/>
  <c r="F37" i="8"/>
  <c r="G37" i="8" s="1"/>
  <c r="F33" i="8"/>
  <c r="G33" i="8" s="1"/>
  <c r="F32" i="8"/>
  <c r="G32" i="8" s="1"/>
  <c r="F30" i="8"/>
  <c r="G30" i="8" s="1"/>
  <c r="F18" i="8"/>
  <c r="G18" i="8" s="1"/>
  <c r="F25" i="8"/>
  <c r="G25" i="8" s="1"/>
  <c r="F23" i="8"/>
  <c r="G23" i="8" s="1"/>
  <c r="F29" i="8"/>
  <c r="G29" i="8" s="1"/>
  <c r="F17" i="8"/>
  <c r="G17" i="8" s="1"/>
  <c r="F36" i="8"/>
  <c r="G36" i="8" s="1"/>
  <c r="F35" i="8"/>
  <c r="G35" i="8" s="1"/>
  <c r="L35" i="8" s="1"/>
  <c r="F22" i="8"/>
  <c r="G22" i="8" s="1"/>
  <c r="G21" i="8"/>
  <c r="F31" i="8"/>
  <c r="G31" i="8" s="1"/>
  <c r="F28" i="8"/>
  <c r="G28" i="8" s="1"/>
  <c r="F16" i="8"/>
  <c r="G16" i="8" s="1"/>
  <c r="F34" i="8"/>
  <c r="G34" i="8" s="1"/>
  <c r="F19" i="8"/>
  <c r="G19" i="8" s="1"/>
  <c r="F39" i="8"/>
  <c r="G39" i="8" s="1"/>
  <c r="F27" i="8"/>
  <c r="G27" i="8" s="1"/>
  <c r="F15" i="8"/>
  <c r="G15" i="8" s="1"/>
  <c r="F13" i="8"/>
  <c r="G13" i="8" s="1"/>
  <c r="F20" i="8"/>
  <c r="G20" i="8" s="1"/>
  <c r="F38" i="8"/>
  <c r="G38" i="8" s="1"/>
  <c r="F26" i="8"/>
  <c r="G26" i="8" s="1"/>
  <c r="F14" i="8"/>
  <c r="G14" i="8" s="1"/>
  <c r="L34" i="8"/>
  <c r="L17" i="8"/>
  <c r="L30" i="8"/>
  <c r="L23" i="8"/>
  <c r="L18" i="8"/>
  <c r="L11" i="8"/>
  <c r="L20" i="8"/>
  <c r="L26" i="8"/>
  <c r="L13" i="8"/>
  <c r="L29" i="8"/>
  <c r="L10" i="8"/>
  <c r="L22" i="8"/>
  <c r="L28" i="8"/>
  <c r="L36" i="8"/>
  <c r="L31" i="8"/>
  <c r="L16" i="8"/>
  <c r="L21" i="8"/>
  <c r="L32" i="8"/>
  <c r="L24" i="8"/>
  <c r="L19" i="8"/>
  <c r="L38" i="8"/>
  <c r="L14" i="8"/>
  <c r="L25" i="8"/>
  <c r="L37" i="8"/>
  <c r="L39" i="8"/>
  <c r="L27" i="8"/>
  <c r="L33" i="8"/>
  <c r="L15" i="8"/>
  <c r="F26" i="6" l="1"/>
  <c r="G26" i="6" s="1"/>
  <c r="U26" i="6"/>
  <c r="E25" i="6"/>
  <c r="C24" i="4"/>
  <c r="I25" i="6"/>
  <c r="D25" i="6"/>
  <c r="N25" i="6"/>
  <c r="J25" i="6"/>
  <c r="S25" i="6"/>
  <c r="O25" i="6"/>
  <c r="T25" i="6"/>
  <c r="E34" i="20"/>
  <c r="F34" i="20" s="1"/>
  <c r="D10" i="20"/>
  <c r="C11" i="17"/>
  <c r="D35" i="20"/>
  <c r="D35" i="17"/>
  <c r="E35" i="17" s="1"/>
  <c r="C36" i="17"/>
  <c r="C11" i="19"/>
  <c r="C10" i="20"/>
  <c r="C36" i="19"/>
  <c r="C35" i="20"/>
  <c r="D35" i="19"/>
  <c r="E35" i="19" s="1"/>
  <c r="L42" i="8"/>
  <c r="F25" i="6" l="1"/>
  <c r="G25" i="6" s="1"/>
  <c r="U25" i="6"/>
  <c r="E24" i="6"/>
  <c r="C23" i="4"/>
  <c r="I24" i="6"/>
  <c r="D24" i="6"/>
  <c r="N24" i="6"/>
  <c r="J24" i="6"/>
  <c r="S24" i="6"/>
  <c r="O24" i="6"/>
  <c r="T24" i="6"/>
  <c r="E35" i="20"/>
  <c r="F35" i="20" s="1"/>
  <c r="D36" i="20"/>
  <c r="D36" i="17"/>
  <c r="E36" i="17" s="1"/>
  <c r="C37" i="17"/>
  <c r="D11" i="20"/>
  <c r="C12" i="17"/>
  <c r="C37" i="19"/>
  <c r="C36" i="20"/>
  <c r="D36" i="19"/>
  <c r="E36" i="19" s="1"/>
  <c r="C12" i="19"/>
  <c r="C11" i="20"/>
  <c r="I12" i="3"/>
  <c r="J12" i="3" s="1"/>
  <c r="S12" i="3" s="1"/>
  <c r="F24" i="6" l="1"/>
  <c r="G24" i="6" s="1"/>
  <c r="U24" i="6"/>
  <c r="E23" i="6"/>
  <c r="C22" i="4"/>
  <c r="D23" i="6"/>
  <c r="I23" i="6"/>
  <c r="N23" i="6"/>
  <c r="O23" i="6"/>
  <c r="J23" i="6"/>
  <c r="S23" i="6"/>
  <c r="T23" i="6"/>
  <c r="E36" i="20"/>
  <c r="F36" i="20" s="1"/>
  <c r="D12" i="17"/>
  <c r="E12" i="17" s="1"/>
  <c r="D12" i="20"/>
  <c r="C13" i="17"/>
  <c r="D37" i="20"/>
  <c r="D37" i="17"/>
  <c r="E37" i="17" s="1"/>
  <c r="C38" i="17"/>
  <c r="C13" i="19"/>
  <c r="D12" i="19"/>
  <c r="E12" i="19" s="1"/>
  <c r="C12" i="20"/>
  <c r="C38" i="19"/>
  <c r="C37" i="20"/>
  <c r="D37" i="19"/>
  <c r="E37" i="19" s="1"/>
  <c r="F23" i="6" l="1"/>
  <c r="G23" i="6" s="1"/>
  <c r="U23" i="6"/>
  <c r="E22" i="6"/>
  <c r="C21" i="4"/>
  <c r="I22" i="6"/>
  <c r="D22" i="6"/>
  <c r="N22" i="6"/>
  <c r="T22" i="6"/>
  <c r="J22" i="6"/>
  <c r="S22" i="6"/>
  <c r="O22" i="6"/>
  <c r="E12" i="20"/>
  <c r="F12" i="20" s="1"/>
  <c r="E37" i="20"/>
  <c r="F37" i="20" s="1"/>
  <c r="D38" i="20"/>
  <c r="D38" i="17"/>
  <c r="E38" i="17" s="1"/>
  <c r="C39" i="17"/>
  <c r="D13" i="20"/>
  <c r="D13" i="17"/>
  <c r="E13" i="17" s="1"/>
  <c r="C14" i="17"/>
  <c r="C39" i="19"/>
  <c r="C38" i="20"/>
  <c r="D38" i="19"/>
  <c r="E38" i="19" s="1"/>
  <c r="C14" i="19"/>
  <c r="C13" i="20"/>
  <c r="D13" i="19"/>
  <c r="E13" i="19" s="1"/>
  <c r="G13" i="4"/>
  <c r="H13" i="4" s="1"/>
  <c r="H13" i="3"/>
  <c r="U22" i="6" l="1"/>
  <c r="F22" i="6"/>
  <c r="G22" i="6" s="1"/>
  <c r="E21" i="6"/>
  <c r="C20" i="4"/>
  <c r="I21" i="6"/>
  <c r="D21" i="6"/>
  <c r="N21" i="6"/>
  <c r="J21" i="6"/>
  <c r="S21" i="6"/>
  <c r="O21" i="6"/>
  <c r="T21" i="6"/>
  <c r="E13" i="20"/>
  <c r="F13" i="20" s="1"/>
  <c r="E38" i="20"/>
  <c r="F38" i="20" s="1"/>
  <c r="D14" i="20"/>
  <c r="D14" i="17"/>
  <c r="E14" i="17" s="1"/>
  <c r="C15" i="17"/>
  <c r="D39" i="20"/>
  <c r="D39" i="17"/>
  <c r="E39" i="17" s="1"/>
  <c r="C40" i="17"/>
  <c r="C15" i="19"/>
  <c r="C14" i="20"/>
  <c r="D14" i="19"/>
  <c r="E14" i="19" s="1"/>
  <c r="C40" i="19"/>
  <c r="C39" i="20"/>
  <c r="D39" i="19"/>
  <c r="E39" i="19" s="1"/>
  <c r="G14" i="4"/>
  <c r="H14" i="4" s="1"/>
  <c r="H14" i="3"/>
  <c r="F21" i="6" l="1"/>
  <c r="G21" i="6" s="1"/>
  <c r="U21" i="6"/>
  <c r="E20" i="6"/>
  <c r="C19" i="4"/>
  <c r="D20" i="6"/>
  <c r="I20" i="6"/>
  <c r="N20" i="6"/>
  <c r="J20" i="6"/>
  <c r="S20" i="6"/>
  <c r="O20" i="6"/>
  <c r="T20" i="6"/>
  <c r="E39" i="20"/>
  <c r="F39" i="20" s="1"/>
  <c r="E14" i="20"/>
  <c r="F14" i="20" s="1"/>
  <c r="D40" i="20"/>
  <c r="D40" i="17"/>
  <c r="E40" i="17" s="1"/>
  <c r="H40" i="10" s="1"/>
  <c r="C41" i="17"/>
  <c r="D15" i="20"/>
  <c r="D15" i="17"/>
  <c r="E15" i="17" s="1"/>
  <c r="C16" i="17"/>
  <c r="C41" i="19"/>
  <c r="C40" i="20"/>
  <c r="D40" i="19"/>
  <c r="E40" i="19" s="1"/>
  <c r="G40" i="10" s="1"/>
  <c r="C16" i="19"/>
  <c r="C15" i="20"/>
  <c r="D15" i="19"/>
  <c r="E15" i="19" s="1"/>
  <c r="J10" i="10"/>
  <c r="J14" i="10"/>
  <c r="J26" i="10"/>
  <c r="J38" i="10"/>
  <c r="J32" i="10"/>
  <c r="J23" i="10"/>
  <c r="J24" i="10"/>
  <c r="J15" i="10"/>
  <c r="J27" i="10"/>
  <c r="J28" i="10"/>
  <c r="J33" i="10"/>
  <c r="J22" i="10"/>
  <c r="J35" i="10"/>
  <c r="J16" i="10"/>
  <c r="J39" i="10"/>
  <c r="J17" i="10"/>
  <c r="J29" i="10"/>
  <c r="J19" i="10"/>
  <c r="J20" i="10"/>
  <c r="J18" i="10"/>
  <c r="J30" i="10"/>
  <c r="J31" i="10"/>
  <c r="J21" i="10"/>
  <c r="J34" i="10"/>
  <c r="J37" i="10"/>
  <c r="J11" i="10"/>
  <c r="J13" i="10"/>
  <c r="J36" i="10"/>
  <c r="J25" i="10"/>
  <c r="I13" i="3"/>
  <c r="J13" i="3" s="1"/>
  <c r="G15" i="4"/>
  <c r="H15" i="4" s="1"/>
  <c r="H15" i="3"/>
  <c r="F20" i="6" l="1"/>
  <c r="G20" i="6" s="1"/>
  <c r="U20" i="6"/>
  <c r="E19" i="6"/>
  <c r="C18" i="4"/>
  <c r="D19" i="6"/>
  <c r="I19" i="6"/>
  <c r="N19" i="6"/>
  <c r="J19" i="6"/>
  <c r="S19" i="6"/>
  <c r="O19" i="6"/>
  <c r="T19" i="6"/>
  <c r="J12" i="10"/>
  <c r="J42" i="10" s="1"/>
  <c r="H42" i="21"/>
  <c r="E15" i="20"/>
  <c r="F15" i="20" s="1"/>
  <c r="E40" i="20"/>
  <c r="F40" i="20" s="1"/>
  <c r="I40" i="10" s="1"/>
  <c r="D16" i="20"/>
  <c r="D16" i="17"/>
  <c r="E16" i="17" s="1"/>
  <c r="C17" i="17"/>
  <c r="D41" i="20"/>
  <c r="D41" i="17"/>
  <c r="E41" i="17" s="1"/>
  <c r="H41" i="10" s="1"/>
  <c r="C17" i="19"/>
  <c r="C16" i="20"/>
  <c r="D16" i="19"/>
  <c r="E16" i="19" s="1"/>
  <c r="C41" i="20"/>
  <c r="D41" i="19"/>
  <c r="E41" i="19" s="1"/>
  <c r="G41" i="10" s="1"/>
  <c r="D10" i="10"/>
  <c r="I14" i="3"/>
  <c r="J14" i="3" s="1"/>
  <c r="G16" i="4"/>
  <c r="H16" i="4" s="1"/>
  <c r="H16" i="3"/>
  <c r="I10" i="10"/>
  <c r="I12" i="10"/>
  <c r="I13" i="10"/>
  <c r="I14" i="10"/>
  <c r="I15" i="10"/>
  <c r="I30" i="10"/>
  <c r="I31" i="10"/>
  <c r="I32" i="10"/>
  <c r="I33" i="10"/>
  <c r="I34" i="10"/>
  <c r="I35" i="10"/>
  <c r="I36" i="10"/>
  <c r="I37" i="10"/>
  <c r="I38" i="10"/>
  <c r="I39" i="10"/>
  <c r="C13" i="5"/>
  <c r="C14" i="5"/>
  <c r="C15" i="5"/>
  <c r="C16" i="5"/>
  <c r="C17" i="5"/>
  <c r="C18" i="5"/>
  <c r="C19" i="5"/>
  <c r="C20" i="5"/>
  <c r="C21" i="5"/>
  <c r="C22" i="5"/>
  <c r="C23" i="5"/>
  <c r="C24" i="5"/>
  <c r="C25" i="5"/>
  <c r="C26" i="5"/>
  <c r="C27" i="5"/>
  <c r="C28" i="5"/>
  <c r="C29" i="5"/>
  <c r="C30" i="5"/>
  <c r="C31" i="5"/>
  <c r="C32" i="5"/>
  <c r="C33" i="5"/>
  <c r="C34" i="5"/>
  <c r="C35" i="5"/>
  <c r="C36" i="5"/>
  <c r="C37" i="5"/>
  <c r="C38" i="5"/>
  <c r="C39" i="5"/>
  <c r="F19" i="6" l="1"/>
  <c r="G19" i="6" s="1"/>
  <c r="U19" i="6"/>
  <c r="E18" i="6"/>
  <c r="C17" i="4"/>
  <c r="I18" i="6"/>
  <c r="N18" i="6"/>
  <c r="J18" i="6"/>
  <c r="S18" i="6"/>
  <c r="O18" i="6"/>
  <c r="T18" i="6"/>
  <c r="D18" i="6"/>
  <c r="F18" i="6" s="1"/>
  <c r="G18" i="6" s="1"/>
  <c r="E41" i="20"/>
  <c r="F41" i="20" s="1"/>
  <c r="I41" i="10" s="1"/>
  <c r="E16" i="20"/>
  <c r="F16" i="20" s="1"/>
  <c r="I16" i="10" s="1"/>
  <c r="D17" i="20"/>
  <c r="D17" i="17"/>
  <c r="E17" i="17" s="1"/>
  <c r="C18" i="17"/>
  <c r="C18" i="19"/>
  <c r="C17" i="20"/>
  <c r="D17" i="19"/>
  <c r="E17" i="19" s="1"/>
  <c r="I11" i="10"/>
  <c r="J22" i="5"/>
  <c r="I15" i="3"/>
  <c r="J15" i="3" s="1"/>
  <c r="G17" i="4"/>
  <c r="H17" i="4" s="1"/>
  <c r="H17" i="3"/>
  <c r="E19" i="5"/>
  <c r="E31" i="5"/>
  <c r="D29" i="5"/>
  <c r="E18" i="5"/>
  <c r="E17" i="5"/>
  <c r="D34" i="5"/>
  <c r="D16" i="5"/>
  <c r="E16" i="5"/>
  <c r="E39" i="5"/>
  <c r="E27" i="5"/>
  <c r="E15" i="5"/>
  <c r="D39" i="5"/>
  <c r="D33" i="5"/>
  <c r="D27" i="5"/>
  <c r="D21" i="5"/>
  <c r="D15" i="5"/>
  <c r="D23" i="5"/>
  <c r="E29" i="5"/>
  <c r="D28" i="5"/>
  <c r="D22" i="5"/>
  <c r="E28" i="5"/>
  <c r="E38" i="5"/>
  <c r="E26" i="5"/>
  <c r="E14" i="5"/>
  <c r="E30" i="5"/>
  <c r="E25" i="5"/>
  <c r="D26" i="5"/>
  <c r="E35" i="5"/>
  <c r="D37" i="5"/>
  <c r="D25" i="5"/>
  <c r="E22" i="5"/>
  <c r="E37" i="5"/>
  <c r="D38" i="5"/>
  <c r="D32" i="5"/>
  <c r="D14" i="5"/>
  <c r="E23" i="5"/>
  <c r="D31" i="5"/>
  <c r="D19" i="5"/>
  <c r="E33" i="5"/>
  <c r="E21" i="5"/>
  <c r="D36" i="5"/>
  <c r="D30" i="5"/>
  <c r="D24" i="5"/>
  <c r="D18" i="5"/>
  <c r="D35" i="5"/>
  <c r="D17" i="5"/>
  <c r="D20" i="5"/>
  <c r="E36" i="5"/>
  <c r="E24" i="5"/>
  <c r="D13" i="5"/>
  <c r="E34" i="5"/>
  <c r="E32" i="5"/>
  <c r="E20" i="5"/>
  <c r="H15" i="5"/>
  <c r="H39" i="5"/>
  <c r="H35" i="5"/>
  <c r="J19" i="5"/>
  <c r="J28" i="5"/>
  <c r="H23" i="5"/>
  <c r="J18" i="5"/>
  <c r="H34" i="5"/>
  <c r="H22" i="5"/>
  <c r="J17" i="5"/>
  <c r="J29" i="5"/>
  <c r="H27" i="5"/>
  <c r="J21" i="5"/>
  <c r="J20" i="5"/>
  <c r="J16" i="5"/>
  <c r="H33" i="5"/>
  <c r="H21" i="5"/>
  <c r="J33" i="5"/>
  <c r="J30" i="5"/>
  <c r="H28" i="5"/>
  <c r="J32" i="5"/>
  <c r="H29" i="5"/>
  <c r="H17" i="5"/>
  <c r="J31" i="5"/>
  <c r="H16" i="5"/>
  <c r="J27" i="5"/>
  <c r="J15" i="5"/>
  <c r="H38" i="5"/>
  <c r="H32" i="5"/>
  <c r="H26" i="5"/>
  <c r="H20" i="5"/>
  <c r="H14" i="5"/>
  <c r="J37" i="5"/>
  <c r="J25" i="5"/>
  <c r="J13" i="5"/>
  <c r="H37" i="5"/>
  <c r="H31" i="5"/>
  <c r="H25" i="5"/>
  <c r="H19" i="5"/>
  <c r="H13" i="5"/>
  <c r="J36" i="5"/>
  <c r="J24" i="5"/>
  <c r="J12" i="5"/>
  <c r="J35" i="5"/>
  <c r="J23" i="5"/>
  <c r="H36" i="5"/>
  <c r="H30" i="5"/>
  <c r="H24" i="5"/>
  <c r="H18" i="5"/>
  <c r="J39" i="5"/>
  <c r="J38" i="5"/>
  <c r="J26" i="5"/>
  <c r="J14" i="5"/>
  <c r="J34" i="5"/>
  <c r="U18" i="6" l="1"/>
  <c r="E17" i="6"/>
  <c r="C16" i="4"/>
  <c r="N17" i="6"/>
  <c r="J17" i="6"/>
  <c r="S17" i="6"/>
  <c r="O17" i="6"/>
  <c r="T17" i="6"/>
  <c r="I17" i="6"/>
  <c r="D17" i="6"/>
  <c r="F17" i="6" s="1"/>
  <c r="G17" i="6" s="1"/>
  <c r="F38" i="5"/>
  <c r="G38" i="5" s="1"/>
  <c r="F19" i="5"/>
  <c r="G19" i="5" s="1"/>
  <c r="F14" i="5"/>
  <c r="G14" i="5" s="1"/>
  <c r="E17" i="20"/>
  <c r="F17" i="20" s="1"/>
  <c r="I17" i="10" s="1"/>
  <c r="D18" i="20"/>
  <c r="D18" i="17"/>
  <c r="E18" i="17" s="1"/>
  <c r="C19" i="17"/>
  <c r="C19" i="19"/>
  <c r="C18" i="20"/>
  <c r="D18" i="19"/>
  <c r="E18" i="19" s="1"/>
  <c r="G10" i="10"/>
  <c r="I15" i="5"/>
  <c r="K15" i="5" s="1"/>
  <c r="L15" i="5" s="1"/>
  <c r="M15" i="5" s="1"/>
  <c r="I38" i="5"/>
  <c r="K38" i="5" s="1"/>
  <c r="I31" i="5"/>
  <c r="K31" i="5" s="1"/>
  <c r="I32" i="5"/>
  <c r="K32" i="5" s="1"/>
  <c r="L32" i="5" s="1"/>
  <c r="M32" i="5" s="1"/>
  <c r="F31" i="5"/>
  <c r="G31" i="5" s="1"/>
  <c r="I34" i="5"/>
  <c r="K34" i="5" s="1"/>
  <c r="L34" i="5" s="1"/>
  <c r="M34" i="5" s="1"/>
  <c r="I27" i="5"/>
  <c r="K27" i="5" s="1"/>
  <c r="L27" i="5" s="1"/>
  <c r="M27" i="5" s="1"/>
  <c r="I24" i="5"/>
  <c r="K24" i="5" s="1"/>
  <c r="L24" i="5" s="1"/>
  <c r="M24" i="5" s="1"/>
  <c r="I17" i="5"/>
  <c r="K17" i="5" s="1"/>
  <c r="I23" i="5"/>
  <c r="K23" i="5" s="1"/>
  <c r="L23" i="5" s="1"/>
  <c r="M23" i="5" s="1"/>
  <c r="I14" i="5"/>
  <c r="K14" i="5" s="1"/>
  <c r="I39" i="5"/>
  <c r="K39" i="5" s="1"/>
  <c r="L39" i="5" s="1"/>
  <c r="M39" i="5" s="1"/>
  <c r="I36" i="5"/>
  <c r="K36" i="5" s="1"/>
  <c r="L36" i="5" s="1"/>
  <c r="M36" i="5" s="1"/>
  <c r="I22" i="5"/>
  <c r="K22" i="5" s="1"/>
  <c r="L22" i="5" s="1"/>
  <c r="M22" i="5" s="1"/>
  <c r="I16" i="5"/>
  <c r="K16" i="5" s="1"/>
  <c r="L16" i="5" s="1"/>
  <c r="M16" i="5" s="1"/>
  <c r="I30" i="5"/>
  <c r="K30" i="5" s="1"/>
  <c r="L30" i="5" s="1"/>
  <c r="M30" i="5" s="1"/>
  <c r="I35" i="5"/>
  <c r="K35" i="5" s="1"/>
  <c r="L35" i="5" s="1"/>
  <c r="M35" i="5" s="1"/>
  <c r="I13" i="5"/>
  <c r="K13" i="5" s="1"/>
  <c r="L13" i="5" s="1"/>
  <c r="M13" i="5" s="1"/>
  <c r="I26" i="5"/>
  <c r="K26" i="5" s="1"/>
  <c r="L26" i="5" s="1"/>
  <c r="M26" i="5" s="1"/>
  <c r="F17" i="5"/>
  <c r="G17" i="5" s="1"/>
  <c r="I28" i="5"/>
  <c r="K28" i="5" s="1"/>
  <c r="L28" i="5" s="1"/>
  <c r="M28" i="5" s="1"/>
  <c r="F18" i="5"/>
  <c r="G18" i="5" s="1"/>
  <c r="I29" i="5"/>
  <c r="K29" i="5" s="1"/>
  <c r="L29" i="5" s="1"/>
  <c r="M29" i="5" s="1"/>
  <c r="I19" i="5"/>
  <c r="K19" i="5" s="1"/>
  <c r="I21" i="5"/>
  <c r="K21" i="5" s="1"/>
  <c r="L21" i="5" s="1"/>
  <c r="M21" i="5" s="1"/>
  <c r="I37" i="5"/>
  <c r="K37" i="5" s="1"/>
  <c r="L37" i="5" s="1"/>
  <c r="M37" i="5" s="1"/>
  <c r="I12" i="5"/>
  <c r="K12" i="5" s="1"/>
  <c r="L12" i="5" s="1"/>
  <c r="I18" i="5"/>
  <c r="K18" i="5" s="1"/>
  <c r="I25" i="5"/>
  <c r="K25" i="5" s="1"/>
  <c r="L25" i="5" s="1"/>
  <c r="M25" i="5" s="1"/>
  <c r="I20" i="5"/>
  <c r="K20" i="5" s="1"/>
  <c r="L20" i="5" s="1"/>
  <c r="M20" i="5" s="1"/>
  <c r="I33" i="5"/>
  <c r="K33" i="5" s="1"/>
  <c r="L33" i="5" s="1"/>
  <c r="M33" i="5" s="1"/>
  <c r="D11" i="10"/>
  <c r="I16" i="3"/>
  <c r="J16" i="3" s="1"/>
  <c r="G18" i="4"/>
  <c r="H18" i="4" s="1"/>
  <c r="H18" i="3"/>
  <c r="F20" i="5"/>
  <c r="G20" i="5" s="1"/>
  <c r="F34" i="5"/>
  <c r="G34" i="5" s="1"/>
  <c r="F28" i="5"/>
  <c r="G28" i="5" s="1"/>
  <c r="F32" i="5"/>
  <c r="G32" i="5" s="1"/>
  <c r="F30" i="5"/>
  <c r="G30" i="5" s="1"/>
  <c r="F26" i="5"/>
  <c r="G26" i="5" s="1"/>
  <c r="F23" i="5"/>
  <c r="G23" i="5" s="1"/>
  <c r="F35" i="5"/>
  <c r="G35" i="5" s="1"/>
  <c r="F16" i="5"/>
  <c r="G16" i="5" s="1"/>
  <c r="F33" i="5"/>
  <c r="G33" i="5" s="1"/>
  <c r="F36" i="5"/>
  <c r="G36" i="5" s="1"/>
  <c r="F25" i="5"/>
  <c r="G25" i="5" s="1"/>
  <c r="F15" i="5"/>
  <c r="G15" i="5" s="1"/>
  <c r="F37" i="5"/>
  <c r="G37" i="5" s="1"/>
  <c r="F22" i="5"/>
  <c r="G22" i="5" s="1"/>
  <c r="F21" i="5"/>
  <c r="G21" i="5" s="1"/>
  <c r="F29" i="5"/>
  <c r="G29" i="5" s="1"/>
  <c r="F27" i="5"/>
  <c r="G27" i="5" s="1"/>
  <c r="F13" i="5"/>
  <c r="G13" i="5" s="1"/>
  <c r="F24" i="5"/>
  <c r="G24" i="5" s="1"/>
  <c r="F39" i="5"/>
  <c r="G39" i="5" s="1"/>
  <c r="U17" i="6" l="1"/>
  <c r="E16" i="6"/>
  <c r="C15" i="4"/>
  <c r="N16" i="6"/>
  <c r="S16" i="6"/>
  <c r="J16" i="6"/>
  <c r="O16" i="6"/>
  <c r="T16" i="6"/>
  <c r="D16" i="6"/>
  <c r="F16" i="6" s="1"/>
  <c r="G16" i="6" s="1"/>
  <c r="I16" i="6"/>
  <c r="M12" i="5"/>
  <c r="M42" i="5" s="1"/>
  <c r="E18" i="20"/>
  <c r="F18" i="20" s="1"/>
  <c r="D19" i="20"/>
  <c r="D19" i="17"/>
  <c r="E19" i="17" s="1"/>
  <c r="C20" i="17"/>
  <c r="I18" i="10"/>
  <c r="C20" i="19"/>
  <c r="C19" i="20"/>
  <c r="D19" i="19"/>
  <c r="E19" i="19" s="1"/>
  <c r="L19" i="5"/>
  <c r="M19" i="5" s="1"/>
  <c r="L14" i="5"/>
  <c r="M14" i="5" s="1"/>
  <c r="L17" i="5"/>
  <c r="M17" i="5" s="1"/>
  <c r="L38" i="5"/>
  <c r="M38" i="5" s="1"/>
  <c r="L31" i="5"/>
  <c r="M31" i="5" s="1"/>
  <c r="L18" i="5"/>
  <c r="M18" i="5" s="1"/>
  <c r="I17" i="3"/>
  <c r="J17" i="3" s="1"/>
  <c r="G19" i="4"/>
  <c r="H19" i="4" s="1"/>
  <c r="H19" i="3"/>
  <c r="U16" i="6" l="1"/>
  <c r="E15" i="6"/>
  <c r="C14" i="4"/>
  <c r="O15" i="6"/>
  <c r="J15" i="6"/>
  <c r="S15" i="6"/>
  <c r="T15" i="6"/>
  <c r="D15" i="6"/>
  <c r="F15" i="6" s="1"/>
  <c r="G15" i="6" s="1"/>
  <c r="I15" i="6"/>
  <c r="N15" i="6"/>
  <c r="E19" i="20"/>
  <c r="F19" i="20" s="1"/>
  <c r="I19" i="10" s="1"/>
  <c r="D20" i="20"/>
  <c r="D20" i="17"/>
  <c r="E20" i="17" s="1"/>
  <c r="C21" i="17"/>
  <c r="C21" i="19"/>
  <c r="C20" i="20"/>
  <c r="D20" i="19"/>
  <c r="E20" i="19" s="1"/>
  <c r="I18" i="3"/>
  <c r="J18" i="3" s="1"/>
  <c r="G20" i="4"/>
  <c r="H20" i="4" s="1"/>
  <c r="H20" i="3"/>
  <c r="U15" i="6" l="1"/>
  <c r="E14" i="6"/>
  <c r="C13" i="4"/>
  <c r="C12" i="4" s="1"/>
  <c r="D12" i="4" s="1"/>
  <c r="J14" i="6"/>
  <c r="S14" i="6"/>
  <c r="T14" i="6"/>
  <c r="O14" i="6"/>
  <c r="D14" i="6"/>
  <c r="F14" i="6" s="1"/>
  <c r="G14" i="6" s="1"/>
  <c r="I14" i="6"/>
  <c r="N14" i="6"/>
  <c r="E20" i="20"/>
  <c r="F20" i="20" s="1"/>
  <c r="I20" i="10" s="1"/>
  <c r="D21" i="20"/>
  <c r="D21" i="17"/>
  <c r="E21" i="17" s="1"/>
  <c r="C22" i="17"/>
  <c r="C22" i="19"/>
  <c r="C21" i="20"/>
  <c r="D21" i="19"/>
  <c r="E21" i="19" s="1"/>
  <c r="I19" i="3"/>
  <c r="J19" i="3" s="1"/>
  <c r="C10" i="10"/>
  <c r="G21" i="4"/>
  <c r="H21" i="4" s="1"/>
  <c r="H21" i="3"/>
  <c r="U14" i="6" l="1"/>
  <c r="E13" i="6"/>
  <c r="O13" i="6"/>
  <c r="T13" i="6"/>
  <c r="D13" i="6"/>
  <c r="F13" i="6" s="1"/>
  <c r="G13" i="6" s="1"/>
  <c r="I13" i="6"/>
  <c r="N13" i="6"/>
  <c r="J13" i="6"/>
  <c r="S13" i="6"/>
  <c r="U13" i="6" s="1"/>
  <c r="E21" i="20"/>
  <c r="F21" i="20" s="1"/>
  <c r="I21" i="10" s="1"/>
  <c r="D22" i="20"/>
  <c r="D22" i="17"/>
  <c r="E22" i="17" s="1"/>
  <c r="C23" i="17"/>
  <c r="C23" i="19"/>
  <c r="C22" i="20"/>
  <c r="D22" i="19"/>
  <c r="E22" i="19" s="1"/>
  <c r="I20" i="3"/>
  <c r="J20" i="3" s="1"/>
  <c r="G22" i="4"/>
  <c r="H22" i="4" s="1"/>
  <c r="H22" i="3"/>
  <c r="C33" i="3"/>
  <c r="G32" i="10"/>
  <c r="G33" i="10"/>
  <c r="G34" i="10"/>
  <c r="G35" i="10"/>
  <c r="G36" i="10"/>
  <c r="G37" i="10"/>
  <c r="G38" i="10"/>
  <c r="G39" i="10"/>
  <c r="G17" i="10"/>
  <c r="G18" i="10"/>
  <c r="G30" i="10"/>
  <c r="G19" i="10"/>
  <c r="G31" i="10"/>
  <c r="G20" i="10"/>
  <c r="G21" i="10"/>
  <c r="G22" i="10"/>
  <c r="G11" i="10"/>
  <c r="G12" i="10"/>
  <c r="G13" i="10"/>
  <c r="G14" i="10"/>
  <c r="G15" i="10"/>
  <c r="G16" i="10"/>
  <c r="C34" i="3" l="1"/>
  <c r="C35" i="3" s="1"/>
  <c r="C36" i="3" s="1"/>
  <c r="C37" i="3" s="1"/>
  <c r="C38" i="3" s="1"/>
  <c r="C39" i="3" s="1"/>
  <c r="C40" i="3" s="1"/>
  <c r="C41" i="3" s="1"/>
  <c r="D41" i="3" s="1"/>
  <c r="E41" i="3" s="1"/>
  <c r="F41" i="3" s="1"/>
  <c r="E12" i="4"/>
  <c r="I12" i="4" s="1"/>
  <c r="I12" i="6"/>
  <c r="T12" i="6"/>
  <c r="S12" i="6"/>
  <c r="U12" i="6" s="1"/>
  <c r="V12" i="6" s="1"/>
  <c r="J12" i="6"/>
  <c r="D12" i="6"/>
  <c r="O12" i="6"/>
  <c r="E12" i="6"/>
  <c r="N12" i="6"/>
  <c r="C11" i="4"/>
  <c r="C10" i="4" s="1"/>
  <c r="C9" i="4" s="1"/>
  <c r="C8" i="4" s="1"/>
  <c r="C7" i="4" s="1"/>
  <c r="C6" i="4" s="1"/>
  <c r="E22" i="20"/>
  <c r="F22" i="20" s="1"/>
  <c r="I22" i="10" s="1"/>
  <c r="D23" i="20"/>
  <c r="D23" i="17"/>
  <c r="E23" i="17" s="1"/>
  <c r="C24" i="17"/>
  <c r="C24" i="19"/>
  <c r="C23" i="20"/>
  <c r="D23" i="19"/>
  <c r="E23" i="19" s="1"/>
  <c r="I21" i="3"/>
  <c r="J21" i="3" s="1"/>
  <c r="G23" i="4"/>
  <c r="H23" i="4" s="1"/>
  <c r="H23" i="3"/>
  <c r="D40" i="3" l="1"/>
  <c r="E40" i="3" s="1"/>
  <c r="F40" i="3" s="1"/>
  <c r="P12" i="6"/>
  <c r="Q12" i="6" s="1"/>
  <c r="F12" i="6"/>
  <c r="G12" i="6" s="1"/>
  <c r="K12" i="6"/>
  <c r="L12" i="6" s="1"/>
  <c r="E23" i="20"/>
  <c r="F23" i="20" s="1"/>
  <c r="I23" i="10" s="1"/>
  <c r="D24" i="20"/>
  <c r="D24" i="17"/>
  <c r="E24" i="17" s="1"/>
  <c r="C25" i="17"/>
  <c r="G23" i="10"/>
  <c r="C25" i="19"/>
  <c r="C24" i="20"/>
  <c r="D24" i="19"/>
  <c r="E24" i="19" s="1"/>
  <c r="I22" i="3"/>
  <c r="J22" i="3" s="1"/>
  <c r="G24" i="4"/>
  <c r="H24" i="4" s="1"/>
  <c r="H24" i="3"/>
  <c r="W12" i="6" l="1"/>
  <c r="E24" i="20"/>
  <c r="F24" i="20" s="1"/>
  <c r="I24" i="10" s="1"/>
  <c r="D25" i="20"/>
  <c r="D25" i="17"/>
  <c r="E25" i="17" s="1"/>
  <c r="C26" i="17"/>
  <c r="G24" i="10"/>
  <c r="C26" i="19"/>
  <c r="C25" i="20"/>
  <c r="D25" i="19"/>
  <c r="E25" i="19" s="1"/>
  <c r="I23" i="3"/>
  <c r="J23" i="3" s="1"/>
  <c r="G25" i="4"/>
  <c r="H25" i="4" s="1"/>
  <c r="H25" i="3"/>
  <c r="E25" i="20" l="1"/>
  <c r="F25" i="20" s="1"/>
  <c r="I25" i="10" s="1"/>
  <c r="D26" i="20"/>
  <c r="D26" i="17"/>
  <c r="E26" i="17" s="1"/>
  <c r="C27" i="17"/>
  <c r="G25" i="10"/>
  <c r="C27" i="19"/>
  <c r="C26" i="20"/>
  <c r="D26" i="19"/>
  <c r="E26" i="19" s="1"/>
  <c r="I24" i="3"/>
  <c r="J24" i="3" s="1"/>
  <c r="G26" i="4"/>
  <c r="H26" i="4" s="1"/>
  <c r="H26" i="3"/>
  <c r="H10" i="10"/>
  <c r="E26" i="20" l="1"/>
  <c r="F26" i="20" s="1"/>
  <c r="D27" i="20"/>
  <c r="D27" i="17"/>
  <c r="E27" i="17" s="1"/>
  <c r="C28" i="17"/>
  <c r="I26" i="10"/>
  <c r="G26" i="10"/>
  <c r="C28" i="19"/>
  <c r="C27" i="20"/>
  <c r="D27" i="19"/>
  <c r="E27" i="19" s="1"/>
  <c r="H11" i="10"/>
  <c r="I25" i="3"/>
  <c r="J25" i="3" s="1"/>
  <c r="G27" i="4"/>
  <c r="H27" i="4" s="1"/>
  <c r="H27" i="3"/>
  <c r="H15" i="10"/>
  <c r="H31" i="10"/>
  <c r="H18" i="10"/>
  <c r="H17" i="10"/>
  <c r="H30" i="10"/>
  <c r="H16" i="10"/>
  <c r="H39" i="10"/>
  <c r="H27" i="10"/>
  <c r="H38" i="10"/>
  <c r="H26" i="10"/>
  <c r="H14" i="10"/>
  <c r="H37" i="10"/>
  <c r="H25" i="10"/>
  <c r="H13" i="10"/>
  <c r="H36" i="10"/>
  <c r="H35" i="10"/>
  <c r="H22" i="10"/>
  <c r="H33" i="10"/>
  <c r="H19" i="10"/>
  <c r="H24" i="10"/>
  <c r="H23" i="10"/>
  <c r="H34" i="10"/>
  <c r="H21" i="10"/>
  <c r="H32" i="10"/>
  <c r="H20" i="10"/>
  <c r="E27" i="20" l="1"/>
  <c r="F27" i="20" s="1"/>
  <c r="I27" i="10" s="1"/>
  <c r="D28" i="20"/>
  <c r="D28" i="17"/>
  <c r="E28" i="17" s="1"/>
  <c r="H28" i="10" s="1"/>
  <c r="C29" i="17"/>
  <c r="G27" i="10"/>
  <c r="C29" i="19"/>
  <c r="C28" i="20"/>
  <c r="D28" i="19"/>
  <c r="E28" i="19" s="1"/>
  <c r="H12" i="10"/>
  <c r="I26" i="3"/>
  <c r="J26" i="3" s="1"/>
  <c r="G28" i="4"/>
  <c r="H28" i="4" s="1"/>
  <c r="H28" i="3"/>
  <c r="R36" i="6"/>
  <c r="R37" i="6" s="1"/>
  <c r="R38" i="6" s="1"/>
  <c r="R39" i="6" s="1"/>
  <c r="R40" i="6" s="1"/>
  <c r="F58" i="6"/>
  <c r="F57" i="6"/>
  <c r="R41" i="6" l="1"/>
  <c r="E28" i="20"/>
  <c r="F28" i="20" s="1"/>
  <c r="I28" i="10" s="1"/>
  <c r="D29" i="20"/>
  <c r="D29" i="17"/>
  <c r="E29" i="17" s="1"/>
  <c r="G28" i="10"/>
  <c r="C29" i="20"/>
  <c r="D29" i="19"/>
  <c r="E29" i="19" s="1"/>
  <c r="I27" i="3"/>
  <c r="J27" i="3" s="1"/>
  <c r="G29" i="4"/>
  <c r="H29" i="4" s="1"/>
  <c r="H29" i="3"/>
  <c r="F19" i="7"/>
  <c r="F17" i="7"/>
  <c r="P11" i="9"/>
  <c r="P13" i="9"/>
  <c r="P14" i="9"/>
  <c r="P15" i="9"/>
  <c r="O16" i="9"/>
  <c r="P16" i="9" s="1"/>
  <c r="O17" i="9"/>
  <c r="P17" i="9" s="1"/>
  <c r="N18" i="9"/>
  <c r="O18" i="9" s="1"/>
  <c r="P18" i="9" s="1"/>
  <c r="N19" i="9"/>
  <c r="O19" i="9" s="1"/>
  <c r="P19" i="9" s="1"/>
  <c r="N20" i="9"/>
  <c r="O20" i="9" s="1"/>
  <c r="P20" i="9" s="1"/>
  <c r="N21" i="9"/>
  <c r="O21" i="9" s="1"/>
  <c r="P21" i="9" s="1"/>
  <c r="N22" i="9"/>
  <c r="O22" i="9" s="1"/>
  <c r="P22" i="9" s="1"/>
  <c r="N23" i="9"/>
  <c r="O23" i="9" s="1"/>
  <c r="P23" i="9" s="1"/>
  <c r="N24" i="9"/>
  <c r="O24" i="9" s="1"/>
  <c r="P24" i="9" s="1"/>
  <c r="N25" i="9"/>
  <c r="O25" i="9" s="1"/>
  <c r="P25" i="9" s="1"/>
  <c r="N26" i="9"/>
  <c r="O26" i="9" s="1"/>
  <c r="P26" i="9" s="1"/>
  <c r="N27" i="9"/>
  <c r="O27" i="9" s="1"/>
  <c r="P27" i="9" s="1"/>
  <c r="N28" i="9"/>
  <c r="O28" i="9" s="1"/>
  <c r="P28" i="9" s="1"/>
  <c r="N29" i="9"/>
  <c r="O29" i="9" s="1"/>
  <c r="P29" i="9" s="1"/>
  <c r="N30" i="9"/>
  <c r="O30" i="9" s="1"/>
  <c r="P30" i="9" s="1"/>
  <c r="N31" i="9"/>
  <c r="O31" i="9" s="1"/>
  <c r="P31" i="9" s="1"/>
  <c r="N32" i="9"/>
  <c r="O32" i="9" s="1"/>
  <c r="P32" i="9" s="1"/>
  <c r="N33" i="9"/>
  <c r="O33" i="9" s="1"/>
  <c r="P33" i="9" s="1"/>
  <c r="N34" i="9"/>
  <c r="O34" i="9" s="1"/>
  <c r="P34" i="9" s="1"/>
  <c r="N35" i="9"/>
  <c r="O35" i="9" s="1"/>
  <c r="P35" i="9" s="1"/>
  <c r="N36" i="9"/>
  <c r="O36" i="9" s="1"/>
  <c r="P36" i="9" s="1"/>
  <c r="N37" i="9"/>
  <c r="O37" i="9" s="1"/>
  <c r="P37" i="9" s="1"/>
  <c r="N38" i="9"/>
  <c r="O38" i="9" s="1"/>
  <c r="P38" i="9" s="1"/>
  <c r="N39" i="9"/>
  <c r="O39" i="9" s="1"/>
  <c r="P39" i="9" s="1"/>
  <c r="N40" i="9"/>
  <c r="O40" i="9" s="1"/>
  <c r="P40" i="9" s="1"/>
  <c r="N41" i="9"/>
  <c r="O41" i="9" s="1"/>
  <c r="P41" i="9" s="1"/>
  <c r="N42" i="9"/>
  <c r="O42" i="9" s="1"/>
  <c r="P42" i="9" s="1"/>
  <c r="N43" i="9"/>
  <c r="O43" i="9" s="1"/>
  <c r="P43" i="9" s="1"/>
  <c r="N44" i="9"/>
  <c r="O44" i="9" s="1"/>
  <c r="P44" i="9" s="1"/>
  <c r="N45" i="9"/>
  <c r="O45" i="9" s="1"/>
  <c r="P45" i="9" s="1"/>
  <c r="P48" i="9" l="1"/>
  <c r="E29" i="20"/>
  <c r="F29" i="20" s="1"/>
  <c r="H29" i="10"/>
  <c r="H42" i="10" s="1"/>
  <c r="E42" i="17"/>
  <c r="G29" i="10"/>
  <c r="G42" i="10" s="1"/>
  <c r="E42" i="19"/>
  <c r="I28" i="3"/>
  <c r="J28" i="3" s="1"/>
  <c r="G30" i="4"/>
  <c r="H30" i="4" s="1"/>
  <c r="H30" i="3"/>
  <c r="I29" i="10" l="1"/>
  <c r="I42" i="10" s="1"/>
  <c r="F42" i="20"/>
  <c r="I29" i="3"/>
  <c r="J29" i="3" s="1"/>
  <c r="G31" i="4"/>
  <c r="H31" i="4" s="1"/>
  <c r="H31" i="3"/>
  <c r="I30" i="3" l="1"/>
  <c r="J30" i="3" s="1"/>
  <c r="G32" i="4"/>
  <c r="H32" i="4" s="1"/>
  <c r="H32" i="3"/>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I31" i="3" l="1"/>
  <c r="J31" i="3" s="1"/>
  <c r="G33" i="4"/>
  <c r="H33" i="4" s="1"/>
  <c r="H33" i="3"/>
  <c r="I32" i="3" l="1"/>
  <c r="J32" i="3" s="1"/>
  <c r="G34" i="4"/>
  <c r="H34" i="4" s="1"/>
  <c r="H34" i="3"/>
  <c r="K10" i="10"/>
  <c r="K23" i="10"/>
  <c r="K29" i="10"/>
  <c r="K17" i="10"/>
  <c r="K35" i="10"/>
  <c r="K36" i="10"/>
  <c r="K25" i="10"/>
  <c r="K12" i="10"/>
  <c r="K30" i="10"/>
  <c r="K31" i="10"/>
  <c r="K18" i="10"/>
  <c r="K32" i="10"/>
  <c r="K37" i="10"/>
  <c r="K24" i="10"/>
  <c r="K26" i="10"/>
  <c r="K13" i="10"/>
  <c r="K27" i="10"/>
  <c r="K14" i="10"/>
  <c r="K28" i="10"/>
  <c r="K15" i="10"/>
  <c r="K34" i="10"/>
  <c r="K39" i="10"/>
  <c r="K20" i="10"/>
  <c r="K19" i="10"/>
  <c r="K22" i="10"/>
  <c r="K16" i="10"/>
  <c r="K21" i="10"/>
  <c r="K33" i="10"/>
  <c r="K38" i="10"/>
  <c r="I33" i="3" l="1"/>
  <c r="J33" i="3" s="1"/>
  <c r="G35" i="4"/>
  <c r="H35" i="4" s="1"/>
  <c r="H35" i="3"/>
  <c r="K11" i="10"/>
  <c r="F61" i="6"/>
  <c r="I34" i="3" l="1"/>
  <c r="J34" i="3" s="1"/>
  <c r="G36" i="4"/>
  <c r="H36" i="4" s="1"/>
  <c r="H36" i="3"/>
  <c r="M31" i="10"/>
  <c r="M32" i="10"/>
  <c r="M33" i="10"/>
  <c r="M34" i="10"/>
  <c r="M35" i="10"/>
  <c r="M36" i="10"/>
  <c r="M37" i="10"/>
  <c r="M38" i="10"/>
  <c r="M39" i="10"/>
  <c r="I35" i="3" l="1"/>
  <c r="J35" i="3" s="1"/>
  <c r="G37" i="4"/>
  <c r="H37" i="4" s="1"/>
  <c r="H37" i="3"/>
  <c r="F25" i="10"/>
  <c r="I36" i="3" l="1"/>
  <c r="J36" i="3" s="1"/>
  <c r="G38" i="4"/>
  <c r="H38" i="4" s="1"/>
  <c r="H38" i="3"/>
  <c r="F26"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42" i="10" l="1"/>
  <c r="M45" i="10" s="1"/>
  <c r="I37" i="3"/>
  <c r="J37" i="3" s="1"/>
  <c r="F27" i="10"/>
  <c r="G39" i="4" l="1"/>
  <c r="H39" i="4" s="1"/>
  <c r="H39" i="3"/>
  <c r="I39" i="3" s="1"/>
  <c r="J39" i="3" s="1"/>
  <c r="I38" i="3"/>
  <c r="J38" i="3" s="1"/>
  <c r="F28" i="10"/>
  <c r="D25" i="3"/>
  <c r="E25" i="3" s="1"/>
  <c r="G40" i="4" l="1"/>
  <c r="H40" i="4" s="1"/>
  <c r="G41" i="4"/>
  <c r="H41" i="4" s="1"/>
  <c r="H40" i="3"/>
  <c r="I40" i="3" s="1"/>
  <c r="J40" i="3" s="1"/>
  <c r="H41" i="3"/>
  <c r="I41" i="3" s="1"/>
  <c r="J41" i="3" s="1"/>
  <c r="F25" i="3"/>
  <c r="S25" i="3" s="1"/>
  <c r="F29" i="10"/>
  <c r="D26" i="3"/>
  <c r="S41" i="3" l="1"/>
  <c r="C41" i="10" s="1"/>
  <c r="S40" i="3"/>
  <c r="C40" i="10" s="1"/>
  <c r="C25" i="10"/>
  <c r="E26" i="3"/>
  <c r="F26" i="3" s="1"/>
  <c r="S26" i="3" s="1"/>
  <c r="F30" i="10"/>
  <c r="D27" i="3"/>
  <c r="C26" i="10" l="1"/>
  <c r="E27" i="3"/>
  <c r="F27" i="3" s="1"/>
  <c r="S27" i="3" s="1"/>
  <c r="F31" i="10"/>
  <c r="D28" i="3"/>
  <c r="C27" i="10" l="1"/>
  <c r="E28" i="3"/>
  <c r="F28" i="3" s="1"/>
  <c r="S28" i="3" s="1"/>
  <c r="F32" i="10"/>
  <c r="D29" i="3"/>
  <c r="C28" i="10" l="1"/>
  <c r="E29" i="3"/>
  <c r="F29" i="3" s="1"/>
  <c r="S29" i="3" s="1"/>
  <c r="F10" i="10"/>
  <c r="F33" i="10"/>
  <c r="D30" i="3"/>
  <c r="C29" i="10" l="1"/>
  <c r="E30" i="3"/>
  <c r="F30" i="3" s="1"/>
  <c r="S30" i="3" s="1"/>
  <c r="F34" i="10"/>
  <c r="D31" i="3"/>
  <c r="C30" i="10" l="1"/>
  <c r="E31" i="3"/>
  <c r="F31" i="3" s="1"/>
  <c r="S31" i="3" s="1"/>
  <c r="F35" i="10"/>
  <c r="D32" i="3"/>
  <c r="C31" i="10" l="1"/>
  <c r="E32" i="3"/>
  <c r="F32" i="3" s="1"/>
  <c r="S32" i="3" s="1"/>
  <c r="F11" i="10"/>
  <c r="F36" i="10"/>
  <c r="D33" i="3"/>
  <c r="C32" i="10" l="1"/>
  <c r="E33" i="3"/>
  <c r="F33" i="3" s="1"/>
  <c r="S33" i="3" s="1"/>
  <c r="F37" i="10"/>
  <c r="F13" i="10"/>
  <c r="F12" i="10"/>
  <c r="D34" i="3"/>
  <c r="C33" i="10" l="1"/>
  <c r="E34" i="3"/>
  <c r="F34" i="3" s="1"/>
  <c r="S34" i="3" s="1"/>
  <c r="F14" i="10"/>
  <c r="F38" i="10"/>
  <c r="D35" i="3"/>
  <c r="C34" i="10" l="1"/>
  <c r="E35" i="3"/>
  <c r="F35" i="3" s="1"/>
  <c r="S35" i="3" s="1"/>
  <c r="E10" i="10"/>
  <c r="F39" i="10"/>
  <c r="F15" i="10"/>
  <c r="D36" i="3"/>
  <c r="C35" i="10" l="1"/>
  <c r="C11" i="10"/>
  <c r="E36" i="3"/>
  <c r="F36" i="3" s="1"/>
  <c r="S36" i="3" s="1"/>
  <c r="F16" i="10"/>
  <c r="D13" i="3"/>
  <c r="D37" i="3"/>
  <c r="C12" i="10" l="1"/>
  <c r="C36" i="10"/>
  <c r="E13" i="3"/>
  <c r="F13" i="3" s="1"/>
  <c r="S13" i="3" s="1"/>
  <c r="E37" i="3"/>
  <c r="F37" i="3" s="1"/>
  <c r="S37" i="3" s="1"/>
  <c r="D14" i="3"/>
  <c r="D38" i="3"/>
  <c r="C37" i="10" l="1"/>
  <c r="C13" i="10"/>
  <c r="E14" i="3"/>
  <c r="F14" i="3" s="1"/>
  <c r="S14" i="3" s="1"/>
  <c r="E38" i="3"/>
  <c r="F38" i="3" s="1"/>
  <c r="S38" i="3" s="1"/>
  <c r="F18" i="10"/>
  <c r="F17" i="10"/>
  <c r="D15" i="3"/>
  <c r="D39" i="3"/>
  <c r="C14" i="10" l="1"/>
  <c r="C38" i="10"/>
  <c r="E39" i="3"/>
  <c r="F39" i="3" s="1"/>
  <c r="S39" i="3" s="1"/>
  <c r="E15" i="3"/>
  <c r="F15" i="3" s="1"/>
  <c r="S15" i="3" s="1"/>
  <c r="F19" i="10"/>
  <c r="D16" i="3"/>
  <c r="C15" i="10" l="1"/>
  <c r="C39" i="10"/>
  <c r="E16" i="3"/>
  <c r="F16" i="3" s="1"/>
  <c r="S16" i="3" s="1"/>
  <c r="F20" i="10"/>
  <c r="D17" i="3"/>
  <c r="C16" i="10" l="1"/>
  <c r="E17" i="3"/>
  <c r="F17" i="3" s="1"/>
  <c r="S17" i="3" s="1"/>
  <c r="F21" i="10"/>
  <c r="D18" i="3"/>
  <c r="C17" i="10" l="1"/>
  <c r="E18" i="3"/>
  <c r="F18" i="3" s="1"/>
  <c r="S18" i="3" s="1"/>
  <c r="F22" i="10"/>
  <c r="D19" i="3"/>
  <c r="C18" i="10" l="1"/>
  <c r="E19" i="3"/>
  <c r="F19" i="3" s="1"/>
  <c r="S19" i="3" s="1"/>
  <c r="F23" i="10"/>
  <c r="D20" i="3"/>
  <c r="C19" i="10" l="1"/>
  <c r="E20" i="3"/>
  <c r="F20" i="3" s="1"/>
  <c r="S20" i="3" s="1"/>
  <c r="D21" i="3"/>
  <c r="C20" i="10" l="1"/>
  <c r="E21" i="3"/>
  <c r="F21" i="3" s="1"/>
  <c r="S21" i="3" s="1"/>
  <c r="F24" i="10"/>
  <c r="F42" i="10" s="1"/>
  <c r="D22" i="3"/>
  <c r="C21" i="10" l="1"/>
  <c r="E22" i="3"/>
  <c r="F22" i="3" s="1"/>
  <c r="S22" i="3" s="1"/>
  <c r="D23" i="3"/>
  <c r="D24" i="3"/>
  <c r="C22" i="10" l="1"/>
  <c r="E24" i="3"/>
  <c r="F24" i="3" s="1"/>
  <c r="S24" i="3" s="1"/>
  <c r="E23" i="3"/>
  <c r="F23" i="3" s="1"/>
  <c r="S23" i="3" s="1"/>
  <c r="S42" i="3" l="1"/>
  <c r="C23" i="10"/>
  <c r="E11" i="10" l="1"/>
  <c r="C24" i="10"/>
  <c r="C42" i="10" s="1"/>
  <c r="C32" i="4" l="1"/>
  <c r="E32" i="6" s="1"/>
  <c r="D30" i="4"/>
  <c r="E30" i="4" s="1"/>
  <c r="I30" i="4" s="1"/>
  <c r="D30" i="10" s="1"/>
  <c r="C33" i="4" l="1"/>
  <c r="E33" i="6" s="1"/>
  <c r="N32" i="6"/>
  <c r="S32" i="6"/>
  <c r="J32" i="6"/>
  <c r="O32" i="6"/>
  <c r="T32" i="6"/>
  <c r="I32" i="6"/>
  <c r="D32" i="6"/>
  <c r="K30" i="6"/>
  <c r="L30" i="6" s="1"/>
  <c r="D31" i="4"/>
  <c r="E31" i="4" s="1"/>
  <c r="I31" i="4" s="1"/>
  <c r="D31" i="10" s="1"/>
  <c r="K31" i="6"/>
  <c r="L31" i="6" s="1"/>
  <c r="V30" i="6"/>
  <c r="P30" i="6"/>
  <c r="Q30" i="6" s="1"/>
  <c r="F32" i="6" l="1"/>
  <c r="G32" i="6" s="1"/>
  <c r="U32" i="6"/>
  <c r="C34" i="4"/>
  <c r="E34" i="6" s="1"/>
  <c r="N33" i="6"/>
  <c r="J33" i="6"/>
  <c r="S33" i="6"/>
  <c r="O33" i="6"/>
  <c r="T33" i="6"/>
  <c r="D33" i="6"/>
  <c r="I33" i="6"/>
  <c r="P31" i="6"/>
  <c r="Q31" i="6" s="1"/>
  <c r="V31" i="6"/>
  <c r="W30" i="6"/>
  <c r="D32" i="4"/>
  <c r="E32" i="4" s="1"/>
  <c r="I32" i="4" s="1"/>
  <c r="F33" i="6" l="1"/>
  <c r="G33" i="6" s="1"/>
  <c r="U33" i="6"/>
  <c r="C35" i="4"/>
  <c r="E35" i="6" s="1"/>
  <c r="I34" i="6"/>
  <c r="D34" i="6"/>
  <c r="N34" i="6"/>
  <c r="J34" i="6"/>
  <c r="S34" i="6"/>
  <c r="O34" i="6"/>
  <c r="T34" i="6"/>
  <c r="K32" i="6"/>
  <c r="L32" i="6" s="1"/>
  <c r="W31" i="6"/>
  <c r="E31" i="10" s="1"/>
  <c r="P32" i="6"/>
  <c r="Q32" i="6" s="1"/>
  <c r="D32" i="10"/>
  <c r="V32" i="6"/>
  <c r="E30" i="10"/>
  <c r="D33" i="4"/>
  <c r="E33" i="4" s="1"/>
  <c r="I33" i="4" s="1"/>
  <c r="D33" i="10" s="1"/>
  <c r="F34" i="6" l="1"/>
  <c r="G34" i="6" s="1"/>
  <c r="C36" i="4"/>
  <c r="E36" i="6" s="1"/>
  <c r="I35" i="6"/>
  <c r="D35" i="6"/>
  <c r="N35" i="6"/>
  <c r="J35" i="6"/>
  <c r="S35" i="6"/>
  <c r="O35" i="6"/>
  <c r="T35" i="6"/>
  <c r="U34" i="6"/>
  <c r="V34" i="6" s="1"/>
  <c r="W32" i="6"/>
  <c r="E32" i="10" s="1"/>
  <c r="D34" i="4"/>
  <c r="E34" i="4" s="1"/>
  <c r="I34" i="4" s="1"/>
  <c r="D34" i="10" s="1"/>
  <c r="P34" i="6"/>
  <c r="Q34" i="6" s="1"/>
  <c r="K33" i="6"/>
  <c r="L33" i="6" s="1"/>
  <c r="P33" i="6"/>
  <c r="Q33" i="6" s="1"/>
  <c r="V33" i="6"/>
  <c r="U35" i="6" l="1"/>
  <c r="C37" i="4"/>
  <c r="E37" i="6" s="1"/>
  <c r="D36" i="6"/>
  <c r="I36" i="6"/>
  <c r="N36" i="6"/>
  <c r="J36" i="6"/>
  <c r="S36" i="6"/>
  <c r="O36" i="6"/>
  <c r="T36" i="6"/>
  <c r="F35" i="6"/>
  <c r="G35" i="6" s="1"/>
  <c r="K34" i="6"/>
  <c r="L34" i="6" s="1"/>
  <c r="W33" i="6"/>
  <c r="D35" i="4"/>
  <c r="E35" i="4" s="1"/>
  <c r="I35" i="4" s="1"/>
  <c r="D35" i="10" s="1"/>
  <c r="F36" i="6" l="1"/>
  <c r="G36" i="6" s="1"/>
  <c r="U36" i="6"/>
  <c r="C38" i="4"/>
  <c r="E38" i="6" s="1"/>
  <c r="D37" i="6"/>
  <c r="I37" i="6"/>
  <c r="N37" i="6"/>
  <c r="J37" i="6"/>
  <c r="S37" i="6"/>
  <c r="O37" i="6"/>
  <c r="T37" i="6"/>
  <c r="K35" i="6"/>
  <c r="L35" i="6" s="1"/>
  <c r="W34" i="6"/>
  <c r="E34" i="10" s="1"/>
  <c r="P35" i="6"/>
  <c r="Q35" i="6" s="1"/>
  <c r="D36" i="4"/>
  <c r="E36" i="4" s="1"/>
  <c r="I36" i="4" s="1"/>
  <c r="D36" i="10" s="1"/>
  <c r="E33" i="10"/>
  <c r="V35" i="6"/>
  <c r="C39" i="4" l="1"/>
  <c r="E39" i="6" s="1"/>
  <c r="I38" i="6"/>
  <c r="D38" i="6"/>
  <c r="N38" i="6"/>
  <c r="J38" i="6"/>
  <c r="S38" i="6"/>
  <c r="O38" i="6"/>
  <c r="T38" i="6"/>
  <c r="U37" i="6"/>
  <c r="F37" i="6"/>
  <c r="G37" i="6" s="1"/>
  <c r="K36" i="6"/>
  <c r="L36" i="6" s="1"/>
  <c r="W35" i="6"/>
  <c r="E35" i="10" s="1"/>
  <c r="V36" i="6"/>
  <c r="P36" i="6"/>
  <c r="Q36" i="6" s="1"/>
  <c r="D37" i="4"/>
  <c r="E37" i="4" s="1"/>
  <c r="I37" i="4" s="1"/>
  <c r="D37" i="10" s="1"/>
  <c r="U38" i="6" l="1"/>
  <c r="V38" i="6" s="1"/>
  <c r="F38" i="6"/>
  <c r="G38" i="6" s="1"/>
  <c r="C40" i="4"/>
  <c r="E40" i="6" s="1"/>
  <c r="I39" i="6"/>
  <c r="D39" i="6"/>
  <c r="N39" i="6"/>
  <c r="O39" i="6"/>
  <c r="J39" i="6"/>
  <c r="S39" i="6"/>
  <c r="T39" i="6"/>
  <c r="V37" i="6"/>
  <c r="W36" i="6"/>
  <c r="E36" i="10" s="1"/>
  <c r="K37" i="6"/>
  <c r="L37" i="6" s="1"/>
  <c r="P37" i="6"/>
  <c r="Q37" i="6" s="1"/>
  <c r="D38" i="4"/>
  <c r="E38" i="4" s="1"/>
  <c r="I38" i="4" s="1"/>
  <c r="D38" i="10" s="1"/>
  <c r="U39" i="6" l="1"/>
  <c r="F39" i="6"/>
  <c r="G39" i="6" s="1"/>
  <c r="C41" i="4"/>
  <c r="E41" i="6" s="1"/>
  <c r="I40" i="6"/>
  <c r="J40" i="6"/>
  <c r="D40" i="6"/>
  <c r="N40" i="6"/>
  <c r="S40" i="6"/>
  <c r="O40" i="6"/>
  <c r="T40" i="6"/>
  <c r="F40" i="6"/>
  <c r="G40" i="6" s="1"/>
  <c r="K38" i="6"/>
  <c r="L38" i="6" s="1"/>
  <c r="W37" i="6"/>
  <c r="E37" i="10" s="1"/>
  <c r="D39" i="4"/>
  <c r="E39" i="4" s="1"/>
  <c r="I39" i="4" s="1"/>
  <c r="D39" i="10" s="1"/>
  <c r="P39" i="6"/>
  <c r="Q39" i="6" s="1"/>
  <c r="P38" i="6"/>
  <c r="Q38" i="6" s="1"/>
  <c r="U40" i="6" l="1"/>
  <c r="V40" i="6" s="1"/>
  <c r="P40" i="6"/>
  <c r="Q40" i="6" s="1"/>
  <c r="K40" i="6"/>
  <c r="L40" i="6" s="1"/>
  <c r="I41" i="6"/>
  <c r="D41" i="6"/>
  <c r="N41" i="6"/>
  <c r="J41" i="6"/>
  <c r="S41" i="6"/>
  <c r="O41" i="6"/>
  <c r="T41" i="6"/>
  <c r="V39" i="6"/>
  <c r="K39" i="6"/>
  <c r="L39" i="6" s="1"/>
  <c r="D40" i="4"/>
  <c r="E40" i="4" s="1"/>
  <c r="I40" i="4" s="1"/>
  <c r="D40" i="10" s="1"/>
  <c r="D41" i="4"/>
  <c r="E41" i="4" s="1"/>
  <c r="I41" i="4" s="1"/>
  <c r="W38" i="6"/>
  <c r="E38" i="10" s="1"/>
  <c r="W40" i="6" l="1"/>
  <c r="E40" i="10" s="1"/>
  <c r="U41" i="6"/>
  <c r="V41" i="6" s="1"/>
  <c r="F41" i="6"/>
  <c r="G41" i="6" s="1"/>
  <c r="P41" i="6"/>
  <c r="Q41" i="6" s="1"/>
  <c r="K41" i="6"/>
  <c r="L41" i="6" s="1"/>
  <c r="W39" i="6"/>
  <c r="E39" i="10" s="1"/>
  <c r="D41" i="10"/>
  <c r="W41" i="6" l="1"/>
  <c r="E41" i="10" s="1"/>
  <c r="D13" i="4" l="1"/>
  <c r="E13" i="4" s="1"/>
  <c r="I13" i="4" s="1"/>
  <c r="D13" i="10" s="1"/>
  <c r="K13" i="6"/>
  <c r="L13" i="6" s="1"/>
  <c r="P13" i="6"/>
  <c r="Q13" i="6" s="1"/>
  <c r="D12" i="10"/>
  <c r="V13" i="6" l="1"/>
  <c r="E12" i="10"/>
  <c r="D14" i="4"/>
  <c r="E14" i="4" s="1"/>
  <c r="I14" i="4" s="1"/>
  <c r="P14" i="6"/>
  <c r="Q14" i="6" s="1"/>
  <c r="W13" i="6" l="1"/>
  <c r="E13" i="10" s="1"/>
  <c r="V14" i="6"/>
  <c r="D14" i="10"/>
  <c r="D15" i="4"/>
  <c r="E15" i="4" s="1"/>
  <c r="I15" i="4" s="1"/>
  <c r="D15" i="10" s="1"/>
  <c r="P15" i="6"/>
  <c r="Q15" i="6" s="1"/>
  <c r="K14" i="6"/>
  <c r="L14" i="6" s="1"/>
  <c r="W14" i="6" l="1"/>
  <c r="E14" i="10" s="1"/>
  <c r="V15" i="6"/>
  <c r="K15" i="6"/>
  <c r="L15" i="6" s="1"/>
  <c r="D16" i="4"/>
  <c r="E16" i="4" s="1"/>
  <c r="I16" i="4" s="1"/>
  <c r="D16" i="10" s="1"/>
  <c r="P16" i="6"/>
  <c r="Q16" i="6" s="1"/>
  <c r="W15" i="6" l="1"/>
  <c r="E15" i="10" s="1"/>
  <c r="K16" i="6"/>
  <c r="L16" i="6" s="1"/>
  <c r="V16" i="6"/>
  <c r="D17" i="4"/>
  <c r="E17" i="4" s="1"/>
  <c r="I17" i="4" s="1"/>
  <c r="D17" i="10" s="1"/>
  <c r="P17" i="6"/>
  <c r="Q17" i="6" s="1"/>
  <c r="W16" i="6" l="1"/>
  <c r="E16" i="10" s="1"/>
  <c r="K17" i="6"/>
  <c r="L17" i="6" s="1"/>
  <c r="V17" i="6"/>
  <c r="D18" i="4"/>
  <c r="E18" i="4" s="1"/>
  <c r="I18" i="4" s="1"/>
  <c r="P18" i="6"/>
  <c r="Q18" i="6" s="1"/>
  <c r="W17" i="6" l="1"/>
  <c r="E17" i="10" s="1"/>
  <c r="K18" i="6"/>
  <c r="L18" i="6" s="1"/>
  <c r="V18" i="6"/>
  <c r="P19" i="6"/>
  <c r="Q19" i="6" s="1"/>
  <c r="D19" i="4"/>
  <c r="E19" i="4" s="1"/>
  <c r="I19" i="4" s="1"/>
  <c r="D19" i="10" s="1"/>
  <c r="D18" i="10"/>
  <c r="W18" i="6" l="1"/>
  <c r="E18" i="10" s="1"/>
  <c r="V19" i="6"/>
  <c r="D20" i="4"/>
  <c r="E20" i="4" s="1"/>
  <c r="I20" i="4" s="1"/>
  <c r="D20" i="10" s="1"/>
  <c r="K19" i="6"/>
  <c r="L19" i="6" s="1"/>
  <c r="V20" i="6" l="1"/>
  <c r="P20" i="6"/>
  <c r="Q20" i="6" s="1"/>
  <c r="D21" i="4"/>
  <c r="E21" i="4" s="1"/>
  <c r="I21" i="4" s="1"/>
  <c r="D21" i="10" s="1"/>
  <c r="K20" i="6"/>
  <c r="L20" i="6" s="1"/>
  <c r="W19" i="6"/>
  <c r="E19" i="10" s="1"/>
  <c r="W20" i="6" l="1"/>
  <c r="E20" i="10" s="1"/>
  <c r="D22" i="4"/>
  <c r="E22" i="4" s="1"/>
  <c r="I22" i="4" s="1"/>
  <c r="D22" i="10" s="1"/>
  <c r="P21" i="6"/>
  <c r="Q21" i="6" s="1"/>
  <c r="K21" i="6"/>
  <c r="L21" i="6" s="1"/>
  <c r="V21" i="6"/>
  <c r="P22" i="6" l="1"/>
  <c r="Q22" i="6" s="1"/>
  <c r="W21" i="6"/>
  <c r="E21" i="10" s="1"/>
  <c r="K22" i="6"/>
  <c r="L22" i="6" s="1"/>
  <c r="P23" i="6"/>
  <c r="Q23" i="6" s="1"/>
  <c r="D23" i="4"/>
  <c r="E23" i="4" s="1"/>
  <c r="I23" i="4" s="1"/>
  <c r="D23" i="10" s="1"/>
  <c r="V22" i="6"/>
  <c r="K23" i="6" l="1"/>
  <c r="L23" i="6" s="1"/>
  <c r="V23" i="6"/>
  <c r="W22" i="6"/>
  <c r="E22" i="10" s="1"/>
  <c r="P24" i="6"/>
  <c r="Q24" i="6" s="1"/>
  <c r="D24" i="4"/>
  <c r="E24" i="4" s="1"/>
  <c r="I24" i="4" s="1"/>
  <c r="D24" i="10" s="1"/>
  <c r="W23" i="6" l="1"/>
  <c r="E23" i="10" s="1"/>
  <c r="K24" i="6"/>
  <c r="L24" i="6" s="1"/>
  <c r="V24" i="6"/>
  <c r="D25" i="4"/>
  <c r="E25" i="4" s="1"/>
  <c r="I25" i="4" s="1"/>
  <c r="D25" i="10" s="1"/>
  <c r="V25" i="6" l="1"/>
  <c r="K25" i="6"/>
  <c r="L25" i="6" s="1"/>
  <c r="D26" i="4"/>
  <c r="E26" i="4" s="1"/>
  <c r="I26" i="4" s="1"/>
  <c r="D26" i="10" s="1"/>
  <c r="V26" i="6"/>
  <c r="P25" i="6"/>
  <c r="Q25" i="6" s="1"/>
  <c r="W24" i="6"/>
  <c r="E24" i="10" s="1"/>
  <c r="W25" i="6" l="1"/>
  <c r="E25" i="10" s="1"/>
  <c r="P26" i="6"/>
  <c r="Q26" i="6" s="1"/>
  <c r="K26" i="6"/>
  <c r="L26" i="6" s="1"/>
  <c r="D27" i="4"/>
  <c r="E27" i="4" s="1"/>
  <c r="I27" i="4" s="1"/>
  <c r="D27" i="10" s="1"/>
  <c r="V27" i="6" l="1"/>
  <c r="W26" i="6"/>
  <c r="E26" i="10" s="1"/>
  <c r="K27" i="6"/>
  <c r="L27" i="6" s="1"/>
  <c r="D28" i="4"/>
  <c r="E28" i="4" s="1"/>
  <c r="I28" i="4" s="1"/>
  <c r="D28" i="10" s="1"/>
  <c r="P27" i="6"/>
  <c r="Q27" i="6" s="1"/>
  <c r="K28" i="6" l="1"/>
  <c r="L28" i="6" s="1"/>
  <c r="W27" i="6"/>
  <c r="E27" i="10" s="1"/>
  <c r="D29" i="4"/>
  <c r="E29" i="4" s="1"/>
  <c r="I29" i="4" s="1"/>
  <c r="P28" i="6"/>
  <c r="Q28" i="6" s="1"/>
  <c r="V28" i="6"/>
  <c r="V29" i="6" l="1"/>
  <c r="K29" i="6"/>
  <c r="L29" i="6" s="1"/>
  <c r="D29" i="10"/>
  <c r="D42" i="10" s="1"/>
  <c r="I42" i="4"/>
  <c r="P29" i="6"/>
  <c r="Q29" i="6" s="1"/>
  <c r="W28" i="6"/>
  <c r="E28" i="10" s="1"/>
  <c r="W29" i="6" l="1"/>
  <c r="E29" i="10" s="1"/>
  <c r="E42" i="10" s="1"/>
  <c r="M44" i="10" s="1"/>
  <c r="M46" i="10" s="1"/>
  <c r="W42" i="6" l="1"/>
</calcChain>
</file>

<file path=xl/sharedStrings.xml><?xml version="1.0" encoding="utf-8"?>
<sst xmlns="http://schemas.openxmlformats.org/spreadsheetml/2006/main" count="510" uniqueCount="341">
  <si>
    <t>READ ME FIRST</t>
  </si>
  <si>
    <t>This spreadsheet represents the benefit-cost analysis (BCA) of the proposed I-35 bridge replacement over SH-74 in Purcell, Oklahoma.</t>
  </si>
  <si>
    <t>This BCA has been developed in accordance to the USDOT "Benefit-Cost Analysis Guidance for Discretionary Grant Programs", March 2022.</t>
  </si>
  <si>
    <r>
      <t>Each tab represents the components of the estimated benefits (</t>
    </r>
    <r>
      <rPr>
        <b/>
        <sz val="11"/>
        <color theme="9"/>
        <rFont val="Arial Narrow"/>
        <family val="2"/>
      </rPr>
      <t>green</t>
    </r>
    <r>
      <rPr>
        <sz val="11"/>
        <color theme="1"/>
        <rFont val="Arial Narrow"/>
        <family val="2"/>
      </rPr>
      <t>), costs (</t>
    </r>
    <r>
      <rPr>
        <b/>
        <sz val="11"/>
        <color rgb="FFFF0000"/>
        <rFont val="Arial Narrow"/>
        <family val="2"/>
      </rPr>
      <t>red</t>
    </r>
    <r>
      <rPr>
        <sz val="11"/>
        <color theme="1"/>
        <rFont val="Arial Narrow"/>
        <family val="2"/>
      </rPr>
      <t>), as well as the final summary (</t>
    </r>
    <r>
      <rPr>
        <b/>
        <sz val="11"/>
        <color rgb="FF0070C0"/>
        <rFont val="Arial Narrow"/>
        <family val="2"/>
      </rPr>
      <t>blue</t>
    </r>
    <r>
      <rPr>
        <sz val="11"/>
        <color theme="1"/>
        <rFont val="Arial Narrow"/>
        <family val="2"/>
      </rPr>
      <t>). Note that costs such as operations &amp; maintenance (O&amp;M) are required to be considered as a "benefit", or more accurately a dis-benefit, rather than a cost. Also included is are tabs related to supplemental assumptions (</t>
    </r>
    <r>
      <rPr>
        <b/>
        <sz val="11"/>
        <color theme="0" tint="-0.499984740745262"/>
        <rFont val="Arial Narrow"/>
        <family val="2"/>
      </rPr>
      <t>gray</t>
    </r>
    <r>
      <rPr>
        <sz val="11"/>
        <color theme="1"/>
        <rFont val="Arial Narrow"/>
        <family val="2"/>
      </rPr>
      <t>); additional assumptions pertaining to individual BCA components are provided within individual tabs.</t>
    </r>
  </si>
  <si>
    <t>Overview of Methodology</t>
  </si>
  <si>
    <t>TRAFFIC PROJECTIONS SECTION</t>
  </si>
  <si>
    <t>Utilize existing traffic assumptions from previous interchange study: "Final AJR Report-W Appendices 07072022.pdf" (July 2022)</t>
  </si>
  <si>
    <t>Traffic Data used from the AJR:</t>
  </si>
  <si>
    <r>
      <rPr>
        <sz val="11"/>
        <color rgb="FF000000"/>
        <rFont val="Arial Narrow"/>
      </rPr>
      <t xml:space="preserve">Based on the July 2022 study, traffic growth for the proposed project is estimated to be 1.6% per year. See </t>
    </r>
    <r>
      <rPr>
        <b/>
        <sz val="11"/>
        <color rgb="FF000000"/>
        <rFont val="Arial Narrow"/>
      </rPr>
      <t>Traffic Projections Section.</t>
    </r>
  </si>
  <si>
    <t>2045 DESIGN TRAFFIC DATA EXISTING AND COMMITTED CONFIGURATION</t>
  </si>
  <si>
    <t>Traffic Projections for SH-74 &amp; I-35 (using Alternative 3.1)</t>
  </si>
  <si>
    <t>From the July 2022 study, two components will be utilized in the methodology: (1) typical traffic diversion and (2) I-35 delays due to incidents</t>
  </si>
  <si>
    <t>2020 DESIGN TRAFFIC DATA EXISTING CONFIGURATION</t>
  </si>
  <si>
    <t>YEAR</t>
  </si>
  <si>
    <t>SH-74</t>
  </si>
  <si>
    <t>I-35</t>
  </si>
  <si>
    <t>From FHWA, the 2017 NHTS wighted vehicle occupancy factors show that for all modes use 1.67</t>
  </si>
  <si>
    <t>Report Section 1.3, 1.4 and Appendix A</t>
  </si>
  <si>
    <t xml:space="preserve">East End </t>
  </si>
  <si>
    <t>At Bridge</t>
  </si>
  <si>
    <t>At W. Grant St.</t>
  </si>
  <si>
    <t>EXISTING (vpd)</t>
  </si>
  <si>
    <t>PROPOSED (vpd)</t>
  </si>
  <si>
    <t>Methodology Component #1: (based on travel times from OxD-- check to see if July 2022 info is available)</t>
  </si>
  <si>
    <t>Assumption:</t>
  </si>
  <si>
    <t>The purpose of this tab is to document the methodology and assumptions related to the traffic inputs in order to estimate vehicle hours traveled (VHT) and vehicle miles traveled (VMT).</t>
  </si>
  <si>
    <t>1. For proposed we used Alternative 3.1 - Full interchange at W. Grant Street keeping the I 35 NB off-ramp to N. Green Avenue (referred to as Alternative 3.1 in the analysis).)
2. Use 1.5% growth at I-35 and 2.0% ar SH-74</t>
  </si>
  <si>
    <t>The ADT of the project area according to the Traffic projections is 31,718 vehicles per day for I-35 and SH-74 combined.</t>
  </si>
  <si>
    <t xml:space="preserve">Traffic growth for the proposed interchange is estimated to be at an increase 1.0% after build year (2045). For No-Build conditions, 0.5% yearly reduction in growth was applied to the 2045 annual VHT calculations to reflect traffic trips in years before Build year (2045). Truck % is based on the design values presented in the 65% ROW design plans. By design Truck % at I-35 and SH-75 is 37 and 2 percent, respectively. Assumed 5% ramp perrmitted of trips were allocated to truck traffic for these scenarios. </t>
  </si>
  <si>
    <r>
      <t>To estimate the reduced diversion of the 24,472 trips per day under the Build condition (assumed for 2045), common points were assumed to estimate VMT and VHT differences (</t>
    </r>
    <r>
      <rPr>
        <b/>
        <sz val="11"/>
        <color rgb="FF000000"/>
        <rFont val="Arial Narrow"/>
      </rPr>
      <t>SEE SNAPSHOT BELOW</t>
    </r>
    <r>
      <rPr>
        <sz val="11"/>
        <color rgb="FF000000"/>
        <rFont val="Arial Narrow"/>
      </rPr>
      <t xml:space="preserve">). The points are a simplified representation of the origins and destinations of trips. Existing and proposed scenarios were modeled. </t>
    </r>
  </si>
  <si>
    <t xml:space="preserve">The parameters used for VHT and VMT calculations include daily traffic volume utilizing the links modeled, estimated travel times (in minutes) using a typical Thursday (Thursday, August 25, 2022) at 1:30pm for departure, and trip length (in miles). For the proposed ramps and ramp terminals, it was assumed a on-minute travel time and 0.3 mile distance. All other travel times were based on the results from Google Maps. When a range of travel time estimates was given, then an average (median) was used. </t>
  </si>
  <si>
    <t>Methodology Component #2: I-35 delays due to incidents</t>
  </si>
  <si>
    <t>To estimate the reduced delays due to incidents with improved access to I-35, the FHWA TIM-BC Tool v. 2.0 was used. The "Dispatch Colocation" module was used and modified for this project, assuming the change was an improvement of 7 minutes per the July 2022 AJR. It should be noted that reasonable assumptions were made with respect to distribution of traffic and incident durations. Also, the tool only applies to 6-lane highways or more, so 6 lanes (or 3 per direction) was assumed. (See snapshot in bottom right of this spreadsheet.)</t>
  </si>
  <si>
    <t>Name of Segment</t>
  </si>
  <si>
    <t>Time (mins.)</t>
  </si>
  <si>
    <t>Distance (mi.)</t>
  </si>
  <si>
    <t>Daily Traffic Volume</t>
  </si>
  <si>
    <t>Passenger Car</t>
  </si>
  <si>
    <t>Truck Trips</t>
  </si>
  <si>
    <t>TT Savings (mins.)</t>
  </si>
  <si>
    <t>2045 VHT &amp; VMT Calculations for Car Passenger  (based on assumptions shown below)</t>
  </si>
  <si>
    <t>2045 VHT &amp; VMT Calculations for Trucks (based on assumptions shown below)</t>
  </si>
  <si>
    <t>S.E.01</t>
  </si>
  <si>
    <t>S.P.01a</t>
  </si>
  <si>
    <t>VHT</t>
  </si>
  <si>
    <t>VMT</t>
  </si>
  <si>
    <t>S.P.01b</t>
  </si>
  <si>
    <t>No-Build</t>
  </si>
  <si>
    <t>S.P.01c</t>
  </si>
  <si>
    <t>Build</t>
  </si>
  <si>
    <t>S.E.02</t>
  </si>
  <si>
    <t>Difference</t>
  </si>
  <si>
    <t>S.P.02a</t>
  </si>
  <si>
    <t>Annual Conversion</t>
  </si>
  <si>
    <t xml:space="preserve">Annual Conversion </t>
  </si>
  <si>
    <t>S.P.02b</t>
  </si>
  <si>
    <t>S.P.02c</t>
  </si>
  <si>
    <t>S.E.03</t>
  </si>
  <si>
    <t>S.P.03a</t>
  </si>
  <si>
    <t>S.P.03b</t>
  </si>
  <si>
    <t>S.P.03c</t>
  </si>
  <si>
    <t>N.E.01</t>
  </si>
  <si>
    <t>N.P.01a</t>
  </si>
  <si>
    <t>N.P.01b</t>
  </si>
  <si>
    <t>N.P.01c</t>
  </si>
  <si>
    <t>N.E.02</t>
  </si>
  <si>
    <t>N.P.02a</t>
  </si>
  <si>
    <t>N.P.02b</t>
  </si>
  <si>
    <t>N.P.02c</t>
  </si>
  <si>
    <t>N.E.03</t>
  </si>
  <si>
    <t>N.P.03a</t>
  </si>
  <si>
    <t>N.P.03b</t>
  </si>
  <si>
    <t>N.P.03c</t>
  </si>
  <si>
    <t>Scenarios:</t>
  </si>
  <si>
    <t xml:space="preserve">Methodology Component #2: based on the formula below from the July 2022 study, the average time saving due to the project during an incident is 2.5 minutes per incident. </t>
  </si>
  <si>
    <t>2025 Build Traffic</t>
  </si>
  <si>
    <t>2045 Build Traffic</t>
  </si>
  <si>
    <t>The purpose of this tab is to document the methodology and assumptions related to safety inputs.</t>
  </si>
  <si>
    <t>The safety information from the July 2022 study is used to estimate safety benefits, which is based on before and after predictive safety performance of I-35 due to the proposed project. According to Table 12 from the July 2022 study, the expected crash reduction is 1.3 crashes per year (35.54 vs 33.24). A crash modification factor (CMF) was estimated based on this predicted reduction = 0.96 (calculations shown below). This CMF was then applied to the average number of annual crashes in the before condition. Based on Table 18 from the July 2022 study, there were an average of 13.2 crashes per year on I-35 in the study area (shown in red box within Table 18). Using this CMF, the expected number of crashes is 12.67 per year. The severity distribution is assumed to be the same in the before condition (using Table 18 from the July 2022 study) as the after condition.</t>
  </si>
  <si>
    <t>The purpose of this tab is to document the methodology and assumptions related to estimated pedestrian &amp; bicycle use on new facility.</t>
  </si>
  <si>
    <t>First, the % of pedestrians and bicyclists was estimated using US Census American Community Survey (ACS) data. Census Tract 4003 was used, which represents the City of Purcell in McClain County. ACS data table S0801 was used. According to ACS, pedestrian mode is estimated at 1.3%, and bicyclists estimated at 0.0% for commuters. (With 2,280 estimated commuters in this Census tract, this amounts to an estimate 30 pedestrians per day in the area.) These compare to 2.6% and 0.5% at the national level.</t>
  </si>
  <si>
    <t>According to a Statista report (https://www.statista.com/topics/1686/cycling/), 12.4% of Americans bicycle on a regular basis. According to a Live Strong article (https://www.livestrong.com/article/13730338-running-statistics/), 15% of Americans jog on a regular basis.</t>
  </si>
  <si>
    <t>The proposed project will include a 10 ft shared use path along SH 74 (Grant Ave.) within the project area. However, SH 74 on either side of the project area does not have sidewalks and paved shoulder width sufficient for bicyclists. There are new sidewalks along Green Ave. to the east, and there are destinations within the community nearby such as the city library and schools. Therefore, it is assumed that there will be modest increase bike/ped usage that will grow along with development in the area and ADT with 5.0% ped and 1.0% bike induced traffic.</t>
  </si>
  <si>
    <t>Average emergency response times for crashes occuring on I-35 were assumed in this methodology. This information is obtained from the July 2022 study, the attachment page 39 Table 17.</t>
  </si>
  <si>
    <t>According to Table 17, the average No-Build response time is 11.9 minutes, vs. the Build average time of 4.8 minutes (difference of 7.1 min.)</t>
  </si>
  <si>
    <t>According to page 41 of the July 2022 study, there are 13.2 crashes per year on average for I-35 in the project area (Table 18 circled in red).</t>
  </si>
  <si>
    <t>According to Table 18, there was 1 crash resulting in a fatality on I-35 over 5 years, or 0.2 per year. To use the FEMA BCA methodology, it is assumed to combine both fatalities and serious injuries. However, Table 18 does not provide that information. Therefore, it is assumed that of the 8 injuries in the last five years, two of them resulted in serious injury, or 0.4 per year.</t>
  </si>
  <si>
    <t>The methodology is adapted from the FEMA BCA methodology for Loss of Emergency Medical Services, which is based on cardiac arrests. This appears to be the most applicable method available to estimate survival probability before and after. Purcell Municipal Hospital is designated as a Level 4 Trauma Center, providing basic 24-hour emergency services for stabilization and transfer to more specialized trauma centers. The fatal and serious injuries anticipated per year that would apply to this methodology is assumed to be 0.2 + 0.4 = 0.6 per year.</t>
  </si>
  <si>
    <t>Year</t>
  </si>
  <si>
    <t>Travel Time Savings - Passenger Vehicles</t>
  </si>
  <si>
    <t>Travel Time Savings - Trucks</t>
  </si>
  <si>
    <t>I-35 Incidents Travel Time Savings - Passenger Vehicles</t>
  </si>
  <si>
    <t>I-35 Incidents Travel Time Savings - Trucks</t>
  </si>
  <si>
    <t>Total Travel Time Savings</t>
  </si>
  <si>
    <t>Annual VHT Difference</t>
  </si>
  <si>
    <t>Occupancy Annual VHT Difference</t>
  </si>
  <si>
    <t>Annual Travel Time Savings  (Undiscounted)</t>
  </si>
  <si>
    <r>
      <t>Annual Travel Time Savings 
(7% Discount)</t>
    </r>
    <r>
      <rPr>
        <vertAlign val="superscript"/>
        <sz val="11"/>
        <color theme="1"/>
        <rFont val="Arial Narrow"/>
        <family val="2"/>
      </rPr>
      <t>2</t>
    </r>
  </si>
  <si>
    <r>
      <t>Project Development and Construction Phases</t>
    </r>
    <r>
      <rPr>
        <vertAlign val="superscript"/>
        <sz val="11"/>
        <color theme="1"/>
        <rFont val="Arial Narrow"/>
        <family val="2"/>
      </rPr>
      <t>1</t>
    </r>
  </si>
  <si>
    <r>
      <rPr>
        <sz val="11"/>
        <color rgb="FF000000"/>
        <rFont val="Arial Narrow"/>
      </rPr>
      <t>Project Development and Construction Phases</t>
    </r>
    <r>
      <rPr>
        <vertAlign val="superscript"/>
        <sz val="11"/>
        <color rgb="FF000000"/>
        <rFont val="Arial Narrow"/>
      </rPr>
      <t>1</t>
    </r>
  </si>
  <si>
    <t>Parameters and Assumptions</t>
  </si>
  <si>
    <t>Parameter</t>
  </si>
  <si>
    <t>Value</t>
  </si>
  <si>
    <t>Notes</t>
  </si>
  <si>
    <t>Passenger Vehicle Occupancy</t>
  </si>
  <si>
    <t>Based on USDOT BCA Guidance for Discretionary Grant Programs (Mar 2022) Table A-4. Includes passenger vehicles - all trips.</t>
  </si>
  <si>
    <t>Passenger Vehicle Occupancy (Trucks)</t>
  </si>
  <si>
    <t>Based on USDOT BCA Guidance for Discretionary Grant Programs (Mar 2022) p. 15: "For freight-hauling vehicles, applicants should use typical crew sizes (such as one driver per truck)".</t>
  </si>
  <si>
    <t>Value of Time - Passenger Vehicles (per hour)</t>
  </si>
  <si>
    <t>Based on USDOT BCA Guidance for Discretionary Grant Programs (Mar 2022) Table A-3, in base year (2020) dollars.</t>
  </si>
  <si>
    <t>Value of Time - Trucks (per hour)</t>
  </si>
  <si>
    <t>Average annual traffic growth rate (No-Build)</t>
  </si>
  <si>
    <t>See Traffic Assumptions tab.</t>
  </si>
  <si>
    <t>Average annual traffic growth rate (Build)</t>
  </si>
  <si>
    <t>2025 difference in VHT for passenger vehicles</t>
  </si>
  <si>
    <t>Using the FHWA TIM-BC v. 2.0 tool</t>
  </si>
  <si>
    <t>2025 difference in VHT for trucks</t>
  </si>
  <si>
    <t>2045 difference in VHT for passenger vehicles</t>
  </si>
  <si>
    <t>2045 difference in VHT for trucks</t>
  </si>
  <si>
    <t>TOTAL</t>
  </si>
  <si>
    <t xml:space="preserve"> Notes:</t>
  </si>
  <si>
    <r>
      <rPr>
        <vertAlign val="superscript"/>
        <sz val="11"/>
        <color rgb="FF000000"/>
        <rFont val="Arial Narrow"/>
      </rPr>
      <t>1</t>
    </r>
    <r>
      <rPr>
        <sz val="11"/>
        <color rgb="FF000000"/>
        <rFont val="Arial Narrow"/>
      </rPr>
      <t xml:space="preserve"> Although Project Development and Construction Phases are assumed through 2026, calculations are shown starting in the year 2021 or 2025for this table's purpose.</t>
    </r>
  </si>
  <si>
    <r>
      <rPr>
        <vertAlign val="superscript"/>
        <sz val="11"/>
        <color theme="1"/>
        <rFont val="Arial Narrow"/>
        <family val="2"/>
      </rPr>
      <t>2</t>
    </r>
    <r>
      <rPr>
        <sz val="11"/>
        <color theme="1"/>
        <rFont val="Arial Narrow"/>
        <family val="2"/>
      </rPr>
      <t xml:space="preserve"> Base year dollars is 2020 per USDOT BCA Guidance (Mar 2022).</t>
    </r>
  </si>
  <si>
    <t>Vehicle Operating Cost Savings - Passenger Vehicles</t>
  </si>
  <si>
    <t>Vehicle Operating Cost Savings - Trucks</t>
  </si>
  <si>
    <t>Total Vehicle Operating Cost Savings</t>
  </si>
  <si>
    <t>Annual VMT Difference</t>
  </si>
  <si>
    <t>Annual Vehicle Operating Savings  (Undiscounted)</t>
  </si>
  <si>
    <r>
      <t>Annual Vehicle Operating Savings 
(7% Discount)</t>
    </r>
    <r>
      <rPr>
        <vertAlign val="superscript"/>
        <sz val="11"/>
        <color theme="1"/>
        <rFont val="Arial Narrow"/>
        <family val="2"/>
      </rPr>
      <t>2</t>
    </r>
  </si>
  <si>
    <t>Operating Cost - Passenger Vehicles (per mile)</t>
  </si>
  <si>
    <t>Based on USDOT BCA Guidance for Discretionary Grant Programs (Mar 2022) Table A-5 (p.37), in base year (2020) dollars. Category used: "Light Duty Vehicles"</t>
  </si>
  <si>
    <t>Operating Cost - Trucks (per mile)</t>
  </si>
  <si>
    <t>Based on USDOT BCA Guidance for Discretionary Grant Programs (Mar 2022) Table A-5 (p.37), in base year (2020) dollars.</t>
  </si>
  <si>
    <r>
      <rPr>
        <vertAlign val="superscript"/>
        <sz val="11"/>
        <color rgb="FF000000"/>
        <rFont val="Arial Narrow"/>
        <family val="2"/>
      </rPr>
      <t>1</t>
    </r>
    <r>
      <rPr>
        <sz val="11"/>
        <color rgb="FF000000"/>
        <rFont val="Arial Narrow"/>
        <family val="2"/>
      </rPr>
      <t xml:space="preserve"> Although Project Development and Construction Phases are assumed through 2026, calculations are shown starting in the year 2021 for this table's purpose.</t>
    </r>
  </si>
  <si>
    <t>NOx Savings</t>
  </si>
  <si>
    <t>SOx Savings</t>
  </si>
  <si>
    <t xml:space="preserve"> PM 2.5 Savings</t>
  </si>
  <si>
    <t>CO2 Savings</t>
  </si>
  <si>
    <t>Total Emissions Savings</t>
  </si>
  <si>
    <r>
      <t>Value per Metric Ton</t>
    </r>
    <r>
      <rPr>
        <vertAlign val="superscript"/>
        <sz val="11"/>
        <color theme="1"/>
        <rFont val="Arial Narrow"/>
        <family val="2"/>
      </rPr>
      <t>1</t>
    </r>
  </si>
  <si>
    <t>NOx Diff. - Gasoline 
(Metric Tons)</t>
  </si>
  <si>
    <t>NOx Difference - Diesel 
(Metric Tons)</t>
  </si>
  <si>
    <r>
      <t>Savings (Undiscounted)</t>
    </r>
    <r>
      <rPr>
        <vertAlign val="superscript"/>
        <sz val="11"/>
        <color theme="1"/>
        <rFont val="Arial Narrow"/>
        <family val="2"/>
      </rPr>
      <t>2</t>
    </r>
  </si>
  <si>
    <r>
      <t>Savings 
(7% Discount)</t>
    </r>
    <r>
      <rPr>
        <vertAlign val="superscript"/>
        <sz val="11"/>
        <color theme="1"/>
        <rFont val="Arial Narrow"/>
        <family val="2"/>
      </rPr>
      <t>2,3</t>
    </r>
  </si>
  <si>
    <t>SOx Diff. - Gasoline 
(Metric Tons)</t>
  </si>
  <si>
    <t>SOx Difference - Diesel 
(Metric Tons)</t>
  </si>
  <si>
    <t>PM 2.5 Diff. - Gasoline 
(Metric Tons)</t>
  </si>
  <si>
    <t>PM 2.5 Difference - Diesel 
(Metric Tons)</t>
  </si>
  <si>
    <t>CO2 Diff. - Gasoline 
(Metric Tons)</t>
  </si>
  <si>
    <t>CO2 Difference - Diesel 
(Metric Tons)</t>
  </si>
  <si>
    <r>
      <t>Savings 
(3% Discount)</t>
    </r>
    <r>
      <rPr>
        <vertAlign val="superscript"/>
        <sz val="11"/>
        <color theme="1"/>
        <rFont val="Arial Narrow"/>
        <family val="2"/>
      </rPr>
      <t>4</t>
    </r>
  </si>
  <si>
    <t>Emissions Savings 
(7% Discount for NOx, SOx, PM 2.5; 3% Discount for CO2)</t>
  </si>
  <si>
    <t>Project Development and Construction Phases</t>
  </si>
  <si>
    <r>
      <rPr>
        <vertAlign val="superscript"/>
        <sz val="11"/>
        <color theme="1"/>
        <rFont val="Arial Narrow"/>
        <family val="2"/>
      </rPr>
      <t>1</t>
    </r>
    <r>
      <rPr>
        <sz val="11"/>
        <color theme="1"/>
        <rFont val="Arial Narrow"/>
        <family val="2"/>
      </rPr>
      <t xml:space="preserve"> Based on USDOT BCA Guidance for Discretionary Grant Programs (Mar 2022) Table A-6. Note Table A-6 does not go beyond 2050; therefore, 2050 values are assumed constant through 2055.</t>
    </r>
  </si>
  <si>
    <r>
      <rPr>
        <vertAlign val="superscript"/>
        <sz val="11"/>
        <color theme="1"/>
        <rFont val="Arial Narrow"/>
        <family val="2"/>
      </rPr>
      <t>2</t>
    </r>
    <r>
      <rPr>
        <sz val="11"/>
        <color theme="1"/>
        <rFont val="Arial Narrow"/>
        <family val="2"/>
      </rPr>
      <t xml:space="preserve"> Values are negative since VMT increases.</t>
    </r>
  </si>
  <si>
    <r>
      <rPr>
        <vertAlign val="superscript"/>
        <sz val="11"/>
        <color theme="1"/>
        <rFont val="Arial Narrow"/>
        <family val="2"/>
      </rPr>
      <t>3</t>
    </r>
    <r>
      <rPr>
        <sz val="11"/>
        <color theme="1"/>
        <rFont val="Arial Narrow"/>
        <family val="2"/>
      </rPr>
      <t xml:space="preserve"> Base year dollars is 2020 per USDOT BCA Guidance (Mar 2022).</t>
    </r>
  </si>
  <si>
    <r>
      <rPr>
        <vertAlign val="superscript"/>
        <sz val="11"/>
        <color theme="1"/>
        <rFont val="Arial Narrow"/>
        <family val="2"/>
      </rPr>
      <t>4</t>
    </r>
    <r>
      <rPr>
        <sz val="11"/>
        <color theme="1"/>
        <rFont val="Arial Narrow"/>
        <family val="2"/>
      </rPr>
      <t xml:space="preserve"> Base year dollars is 2022 per USDOT BCA Guidance (Mar 2022). Note 3% discount rate per Guidance.</t>
    </r>
  </si>
  <si>
    <t>Assumed gasoline miles per gallon (mpg)</t>
  </si>
  <si>
    <t>Based on EPA website referenced in BCA Guidance https://www.epa.gov/energy/greenhouse-gases-equivalencies-calculator-calculations-and-references</t>
  </si>
  <si>
    <t>Assumed diesel miles per gallon (mpg)</t>
  </si>
  <si>
    <t>Based on Iowa specific data from Geotab https://www.geotab.com/truck-mpg-benchmark/</t>
  </si>
  <si>
    <t>NOx emission rate, gasoline (grams per mile)</t>
  </si>
  <si>
    <t>Based on light-duty vehicles (2020) from BTS https://www.bts.gov/content/estimated-national-average-vehicle-emissions-rates-vehicle-vehicle-type-using-gasoline-and</t>
  </si>
  <si>
    <t>NOx emission rate, diesel (grams per mile)</t>
  </si>
  <si>
    <t>Based on heavy-duty vehicles (2020) from BTS https://www.bts.gov/content/estimated-national-average-vehicle-emissions-rates-vehicle-vehicle-type-using-gasoline-and</t>
  </si>
  <si>
    <t>SOx ppm per gallon, gasoline (tier 3)</t>
  </si>
  <si>
    <t>Based on EPA requirement https://www.transportpolicy.net/standard/us-fuels-diesel-and-gasoline/</t>
  </si>
  <si>
    <t>SOx ppm per gallon, diesel</t>
  </si>
  <si>
    <t>PM 2.5 emission rate, gasoline (grams per mile)</t>
  </si>
  <si>
    <t>Based on avg. light-duty vehicles/trucks (exhaust+breakwear+tirewear) (2020) from BTS https://www.bts.gov/content/estimated-national-average-vehicle-emissions-rates-vehicle-vehicle-type-using-gasoline-and</t>
  </si>
  <si>
    <t>PM 2.5 emission rate, diesel (grams per mile)</t>
  </si>
  <si>
    <t>Based on heavy-duty vehicles/trucks (exhaust+breakwear+tirewear) (2020) from BTS https://www.bts.gov/content/estimated-national-average-vehicle-emissions-rates-vehicle-vehicle-type-using-gasoline-and</t>
  </si>
  <si>
    <t>CO2 emission rate, gasoline (grams per gal)</t>
  </si>
  <si>
    <t>CO2 emission rate, diesel (grams per gal)</t>
  </si>
  <si>
    <t>Conversion rate SO2 parts per million (ppm) to metric tons per gal</t>
  </si>
  <si>
    <t>Based on SO2 molecular weight https://www.teesing.com/en/page/library/tools/ppm-mg3-converter</t>
  </si>
  <si>
    <t>Conversion rate grams to metric tons</t>
  </si>
  <si>
    <t>% of diverted traffic (passenger cars) using diesel</t>
  </si>
  <si>
    <t>Assumed</t>
  </si>
  <si>
    <t>% of diverted traffic (trucks) using diesel</t>
  </si>
  <si>
    <t>Safety Cost - I-35 (No-Build)</t>
  </si>
  <si>
    <t>Safety Cost - I-35 (Build)</t>
  </si>
  <si>
    <t>Total Safety Benefits</t>
  </si>
  <si>
    <t>Fatal</t>
  </si>
  <si>
    <t>Injury</t>
  </si>
  <si>
    <t>No Injury</t>
  </si>
  <si>
    <t>Safety Cost (Undiscounted)</t>
  </si>
  <si>
    <r>
      <t>Safety Cost 
(7% Discount)</t>
    </r>
    <r>
      <rPr>
        <vertAlign val="superscript"/>
        <sz val="11"/>
        <color theme="1"/>
        <rFont val="Arial Narrow"/>
        <family val="2"/>
      </rPr>
      <t>1</t>
    </r>
  </si>
  <si>
    <t>Safety Savings 
(7% Discount)</t>
  </si>
  <si>
    <t>Fatal Crash</t>
  </si>
  <si>
    <t>Based on USDOT BCA Guidance for Discretionary Grant Programs (Mar 2022) Table A-1, in base year (2020) dollars.</t>
  </si>
  <si>
    <t>Injury Crash</t>
  </si>
  <si>
    <t>Based on USDOT BCA Guidance for Discretionary Grant Programs (Mar 2022) Table A-2, in base year (2020) dollars.</t>
  </si>
  <si>
    <t>CMF</t>
  </si>
  <si>
    <t>See Safety Assumptions tab.</t>
  </si>
  <si>
    <t>Expected Average Crashes Per Year (I-35)</t>
  </si>
  <si>
    <t>Severity Level</t>
  </si>
  <si>
    <t>None</t>
  </si>
  <si>
    <r>
      <rPr>
        <vertAlign val="superscript"/>
        <sz val="11"/>
        <color theme="1"/>
        <rFont val="Arial Narrow"/>
        <family val="2"/>
      </rPr>
      <t>1</t>
    </r>
    <r>
      <rPr>
        <sz val="11"/>
        <color theme="1"/>
        <rFont val="Arial Narrow"/>
        <family val="2"/>
      </rPr>
      <t xml:space="preserve"> Base year dollars is 2020 per USDOT BCA Guidance (Mar 2022).</t>
    </r>
  </si>
  <si>
    <t>Total Pedestrian Benefits</t>
  </si>
  <si>
    <t>Assumed Estimated Pedestrian Traffic on SH 74</t>
  </si>
  <si>
    <t>Pedestrian Benefits (Undiscounted)</t>
  </si>
  <si>
    <t>Pedestrian Benefits
(7% Discount)</t>
  </si>
  <si>
    <t>Average Percent Pedestrian Trips Expected</t>
  </si>
  <si>
    <t>See Bike &amp; Ped Use Assumptions tab. Percent per ADT. Induced trips only.</t>
  </si>
  <si>
    <t>Value per Person-Mile Walked (per foot)</t>
  </si>
  <si>
    <t>Based on USDOT BCA Guidance for Discretionary Grant Programs (Mar 2022) Table A-8 "Expand Sidewalk", in base year (2020) dollars.</t>
  </si>
  <si>
    <t>Additional sidewalk width (ft)</t>
  </si>
  <si>
    <t>See Bike &amp; Ped Use Assumptions tab.</t>
  </si>
  <si>
    <t>Length of Project (mi)</t>
  </si>
  <si>
    <t>Total Cycling Benefits</t>
  </si>
  <si>
    <t>Assumed Estimated BicycleTraffic on SH 74</t>
  </si>
  <si>
    <t>Cycling Benefits (Undiscounted)</t>
  </si>
  <si>
    <t>Cycling Benefits
(7% Discount)</t>
  </si>
  <si>
    <t>Average Percent Bicycle Trips Expected</t>
  </si>
  <si>
    <t>See Bike &amp; Ped Use Assumptions tab. Induced trips only.</t>
  </si>
  <si>
    <t>Value per Cycling Mile</t>
  </si>
  <si>
    <t>Based on USDOT BCA Guidance for Discretionary Grant Programs (Mar 2022) Table A-9 "Cycling Path with At-Grade Crossings'", in base year (2020) dollars.</t>
  </si>
  <si>
    <t>Health Benefits</t>
  </si>
  <si>
    <t>Assumed Estimated Bicycle Traffic on SH 74</t>
  </si>
  <si>
    <t>Health Benefits (Undiscounted)</t>
  </si>
  <si>
    <t>Health Benefits
(7% Discount)</t>
  </si>
  <si>
    <t>Value per Induced Trip - Walking</t>
  </si>
  <si>
    <t>Based on USDOT BCA Guidance for Discretionary Grant Programs (Mar 2022) Table A-12, in base year (2020) dollars. Applies to ages 20-74.</t>
  </si>
  <si>
    <t>Value per Induced Trip - Cycling</t>
  </si>
  <si>
    <t>Based on USDOT BCA Guidance for Discretionary Grant Programs (Mar 2022) Table A-12, in base year (2020) dollars. Applies to ages 20-64.</t>
  </si>
  <si>
    <t>% of users in age ranges for Walking</t>
  </si>
  <si>
    <t>Based on USDOT BCA Guidance for Discretionary Grant Programs (Mar 2022) Table A-12, note 3, in base year (2020) dollars.</t>
  </si>
  <si>
    <t>% of users in age ranges for Cycling</t>
  </si>
  <si>
    <t>Emergency Services Benefits</t>
  </si>
  <si>
    <t>Emergency Services Benefits (Undiscounted)</t>
  </si>
  <si>
    <t>Emergency Services Benefits
(7% Discount)</t>
  </si>
  <si>
    <t>Estimated average response time (RT) (No-Build)</t>
  </si>
  <si>
    <t>In minutes. Based on FEMA BCAR Guidelines (2011).</t>
  </si>
  <si>
    <t>Estimated average response time (RT) (Build)</t>
  </si>
  <si>
    <t>Survival probability (No-Build)</t>
  </si>
  <si>
    <t>Based on FEMA BCAR Guidelines (2011), eq. 24.</t>
  </si>
  <si>
    <t>Survival probability (Build)</t>
  </si>
  <si>
    <t>No. of incidents/year on I-35 resulting in fatality or serious injury</t>
  </si>
  <si>
    <t>See Emergency Response Assumptions tab.</t>
  </si>
  <si>
    <t>Value of fatality</t>
  </si>
  <si>
    <t>No. of deaths per year on I-35 - before</t>
  </si>
  <si>
    <t>Based on FEMA BCAR Guidelines (2011), eq. 25.</t>
  </si>
  <si>
    <t>No. of deaths per year on I-35 - after</t>
  </si>
  <si>
    <t>Based on FEMA BCAR Guidelines (2011), eq. 26.</t>
  </si>
  <si>
    <t>No. of deaths per year on I-35 - net difference</t>
  </si>
  <si>
    <t>Based on FEMA BCAR Guidelines (2011), eq. 27.</t>
  </si>
  <si>
    <t>O&amp;M Costs - No-Build</t>
  </si>
  <si>
    <t>O&amp;M Costs - Build</t>
  </si>
  <si>
    <t>O&amp;M Savings</t>
  </si>
  <si>
    <t>Activity 1 Cost</t>
  </si>
  <si>
    <t>Activity 2 Cost</t>
  </si>
  <si>
    <t>Activity 3 Cost</t>
  </si>
  <si>
    <t>Total O&amp;M Cost (Undiscounted)</t>
  </si>
  <si>
    <r>
      <t>O&amp;M Cost 
(7% Discount)</t>
    </r>
    <r>
      <rPr>
        <vertAlign val="superscript"/>
        <sz val="11"/>
        <color theme="1"/>
        <rFont val="Arial Narrow"/>
        <family val="2"/>
      </rPr>
      <t>1</t>
    </r>
  </si>
  <si>
    <t>O&amp;M Costs 
(7% Discount)</t>
  </si>
  <si>
    <t>Existing Bridge Assumptions (expected activities within study time period)</t>
  </si>
  <si>
    <t>Maintenance Activity 1 (per sf)</t>
  </si>
  <si>
    <t>1 year interval (inspection &amp; flushing of deicing salts)</t>
  </si>
  <si>
    <t>Maintenance Activity 2 (per sf)</t>
  </si>
  <si>
    <t>10 year interval (bridge deck sealing)</t>
  </si>
  <si>
    <t>Maintenance Activity 3 (per sf)</t>
  </si>
  <si>
    <t>25 year interval (rehab)</t>
  </si>
  <si>
    <t>Maintenance Activity 4 (per sf)</t>
  </si>
  <si>
    <t>50 year interval (total reconstruction)</t>
  </si>
  <si>
    <t>New Bridge Assumptions (expected activities within study time period)</t>
  </si>
  <si>
    <t xml:space="preserve">15 year interval (bridge deck sealing) </t>
  </si>
  <si>
    <t>40 year interval (redeck &amp; rehab)</t>
  </si>
  <si>
    <t>75 year interval (total reconstruction)</t>
  </si>
  <si>
    <t>Parameters</t>
  </si>
  <si>
    <t>Existing Bridges - Bridge Deck Area (sf)</t>
  </si>
  <si>
    <t>Bridges 16940 &amp; 16941</t>
  </si>
  <si>
    <t>New Bridges - Bridge Deck Area (sf)</t>
  </si>
  <si>
    <t>56'x200' bridges</t>
  </si>
  <si>
    <t>Calculated Cost Assumptions</t>
  </si>
  <si>
    <t>Existing - 1 year interval cost</t>
  </si>
  <si>
    <t>in base year 2020 dollars</t>
  </si>
  <si>
    <t>Existing - 10 year invterval cost</t>
  </si>
  <si>
    <t>Existing - 25 year invterval cost</t>
  </si>
  <si>
    <t>New - 1 year interval cost</t>
  </si>
  <si>
    <t>New - 15 year interval cost</t>
  </si>
  <si>
    <t>Major bridge rehab occured on existing bridges in 2017.</t>
  </si>
  <si>
    <t>Residual Value</t>
  </si>
  <si>
    <t>Residual Value 
(7% Discount)</t>
  </si>
  <si>
    <t>Remaining Residual Value Factors</t>
  </si>
  <si>
    <t>Analysis Period (years)</t>
  </si>
  <si>
    <t>Expected Remaining Life* at:</t>
  </si>
  <si>
    <t>*Based on MnDOT Benefit-Cost Analysis for Transportation Projects, Appendix A https://www.dot.state.mn.us/planning/program/benefitcost.html</t>
  </si>
  <si>
    <t>Useful Life (years) - Major Structures</t>
  </si>
  <si>
    <t>Based on MnDOT Benefit-Cost Analysis for Transportation Projects: https://www.dot.state.mn.us/planning/program/benefitcost.html</t>
  </si>
  <si>
    <t>Useful Life (years) - Grading &amp; Drainage</t>
  </si>
  <si>
    <t>Useful Life (years) - Sub-Base and Base</t>
  </si>
  <si>
    <t>Useful Life (years) - Surface</t>
  </si>
  <si>
    <t>Useful Life (years) - Roadway</t>
  </si>
  <si>
    <t>Weighted average assuming 50% grading and drainage; 25% sub-base and base; 25% surface. Rounded to nearest 10.</t>
  </si>
  <si>
    <t>Residual Value - Roadway</t>
  </si>
  <si>
    <t>Applying residual value factor with estimated roadway cost from Construction Cost Breakout Table (following tab).</t>
  </si>
  <si>
    <t>Useful Life (years) - Structures</t>
  </si>
  <si>
    <t>Residual Value - Structures</t>
  </si>
  <si>
    <t>Applying residual value factor with estimated structures cost from Construction Cost Breakout Table (following tab).</t>
  </si>
  <si>
    <t>Capital Costs</t>
  </si>
  <si>
    <t>Preliminary Engineering (PE) - Surveys</t>
  </si>
  <si>
    <r>
      <t>Preliminary Engineering (PE) - Environmental</t>
    </r>
    <r>
      <rPr>
        <vertAlign val="superscript"/>
        <sz val="11"/>
        <color theme="1"/>
        <rFont val="Arial Narrow"/>
        <family val="2"/>
      </rPr>
      <t>1</t>
    </r>
  </si>
  <si>
    <r>
      <t>Preliminary Engineering (PE) - Design</t>
    </r>
    <r>
      <rPr>
        <vertAlign val="superscript"/>
        <sz val="11"/>
        <color theme="1"/>
        <rFont val="Arial Narrow"/>
        <family val="2"/>
      </rPr>
      <t>1</t>
    </r>
  </si>
  <si>
    <t>Right-of-Way (ROW)</t>
  </si>
  <si>
    <t>Construction Engineering &amp; Inspection</t>
  </si>
  <si>
    <t>Construction</t>
  </si>
  <si>
    <r>
      <t>Total Capital Costs (Nominal $, Undiscounted)</t>
    </r>
    <r>
      <rPr>
        <vertAlign val="superscript"/>
        <sz val="11"/>
        <color theme="1"/>
        <rFont val="Arial Narrow"/>
        <family val="2"/>
      </rPr>
      <t>2</t>
    </r>
  </si>
  <si>
    <r>
      <t>Total Capital Costs (Real $, Undiscounted)</t>
    </r>
    <r>
      <rPr>
        <vertAlign val="superscript"/>
        <sz val="11"/>
        <color theme="1"/>
        <rFont val="Arial Narrow"/>
        <family val="2"/>
      </rPr>
      <t>3</t>
    </r>
  </si>
  <si>
    <t>Capital Costs 
(7% Discount)</t>
  </si>
  <si>
    <t>Capital Cost by Activity</t>
  </si>
  <si>
    <t>Activity</t>
  </si>
  <si>
    <t>Previous</t>
  </si>
  <si>
    <t>Future</t>
  </si>
  <si>
    <t>PE - Surveys</t>
  </si>
  <si>
    <t>PE - Environmental</t>
  </si>
  <si>
    <t>PE - Design</t>
  </si>
  <si>
    <t>Engineering &amp; Inspection</t>
  </si>
  <si>
    <t>Construction (excluding E&amp;I)</t>
  </si>
  <si>
    <t>Construction Cost Breakout</t>
  </si>
  <si>
    <t>Roadway</t>
  </si>
  <si>
    <t>Structures</t>
  </si>
  <si>
    <t>Traffic</t>
  </si>
  <si>
    <t>Staking &amp; Mobilization</t>
  </si>
  <si>
    <t>Total Construction (excluding E&amp;I)</t>
  </si>
  <si>
    <t>Notes:</t>
  </si>
  <si>
    <r>
      <rPr>
        <vertAlign val="superscript"/>
        <sz val="11"/>
        <color theme="1"/>
        <rFont val="Arial Narrow"/>
        <family val="2"/>
      </rPr>
      <t>1</t>
    </r>
    <r>
      <rPr>
        <sz val="11"/>
        <color theme="1"/>
        <rFont val="Arial Narrow"/>
        <family val="2"/>
      </rPr>
      <t xml:space="preserve"> Previously incurred costs include design, environmental, and survey related work.</t>
    </r>
  </si>
  <si>
    <r>
      <rPr>
        <vertAlign val="superscript"/>
        <sz val="11"/>
        <color theme="1"/>
        <rFont val="Arial Narrow"/>
        <family val="2"/>
      </rPr>
      <t>2</t>
    </r>
    <r>
      <rPr>
        <sz val="11"/>
        <color theme="1"/>
        <rFont val="Arial Narrow"/>
        <family val="2"/>
      </rPr>
      <t xml:space="preserve"> Nominal, or year-of-expenditure, dollars.</t>
    </r>
  </si>
  <si>
    <r>
      <rPr>
        <vertAlign val="superscript"/>
        <sz val="11"/>
        <color theme="1"/>
        <rFont val="Arial Narrow"/>
        <family val="2"/>
      </rPr>
      <t>3</t>
    </r>
    <r>
      <rPr>
        <sz val="11"/>
        <color theme="1"/>
        <rFont val="Arial Narrow"/>
        <family val="2"/>
      </rPr>
      <t xml:space="preserve"> Previously expended costs are shown in 2020 dollars using inflation adjustment values provided in USDOT BCA Guidance Table A-7.</t>
    </r>
  </si>
  <si>
    <t>Benefit-Cost Analysis Summary</t>
  </si>
  <si>
    <t>Travel Time Savings (7% Discount)</t>
  </si>
  <si>
    <t>Vehicle Operating Savings (7% Discount)</t>
  </si>
  <si>
    <t>Emissions Savings (7%/3% Discount)*</t>
  </si>
  <si>
    <t>Safety Benefits 
(7% Discount)</t>
  </si>
  <si>
    <t>Cycling Benefits 
(7% Discount)</t>
  </si>
  <si>
    <t>Emergency Services Benefits (7% Discount)</t>
  </si>
  <si>
    <t>O&amp;M 
(7% Discount)</t>
  </si>
  <si>
    <t>*All emission types are discounted at 7% except for CO2, which is discounted at 3%, per USDOT BCA Guidance (Mar 2022).</t>
  </si>
  <si>
    <t>Sum of Benefits</t>
  </si>
  <si>
    <t>Sum of Costs</t>
  </si>
  <si>
    <t>Benefit-Cost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</si>
</sst>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00000000_);\(#,##0.0000000000\)"/>
    <numFmt numFmtId="168" formatCode="&quot;$&quot;#,##0"/>
    <numFmt numFmtId="169" formatCode="0.0"/>
    <numFmt numFmtId="170" formatCode="0.000"/>
    <numFmt numFmtId="171" formatCode="0.00000E+00"/>
    <numFmt numFmtId="172" formatCode="&quot;$&quot;#,##0.00"/>
    <numFmt numFmtId="173" formatCode="0.0000"/>
  </numFmts>
  <fonts count="32" x14ac:knownFonts="1">
    <font>
      <sz val="11"/>
      <color theme="1"/>
      <name val="Calibri"/>
      <family val="2"/>
      <scheme val="minor"/>
    </font>
    <font>
      <sz val="11"/>
      <color theme="1"/>
      <name val="Calibri"/>
      <family val="2"/>
      <scheme val="minor"/>
    </font>
    <font>
      <b/>
      <sz val="14"/>
      <color theme="1"/>
      <name val="Arial Narrow"/>
      <family val="2"/>
    </font>
    <font>
      <sz val="11"/>
      <color theme="1"/>
      <name val="Arial Narrow"/>
      <family val="2"/>
    </font>
    <font>
      <b/>
      <sz val="11"/>
      <color theme="9"/>
      <name val="Arial Narrow"/>
      <family val="2"/>
    </font>
    <font>
      <b/>
      <sz val="11"/>
      <color theme="0" tint="-0.499984740745262"/>
      <name val="Arial Narrow"/>
      <family val="2"/>
    </font>
    <font>
      <b/>
      <sz val="11"/>
      <color rgb="FFFF0000"/>
      <name val="Arial Narrow"/>
      <family val="2"/>
    </font>
    <font>
      <b/>
      <sz val="11"/>
      <color rgb="FF0070C0"/>
      <name val="Arial Narrow"/>
      <family val="2"/>
    </font>
    <font>
      <b/>
      <sz val="11"/>
      <color theme="1"/>
      <name val="Arial Narrow"/>
      <family val="2"/>
    </font>
    <font>
      <b/>
      <sz val="12"/>
      <color theme="1"/>
      <name val="Arial Narrow"/>
      <family val="2"/>
    </font>
    <font>
      <vertAlign val="superscript"/>
      <sz val="11"/>
      <color theme="1"/>
      <name val="Arial Narrow"/>
      <family val="2"/>
    </font>
    <font>
      <sz val="11"/>
      <name val="Arial Narrow"/>
      <family val="2"/>
    </font>
    <font>
      <u/>
      <sz val="11"/>
      <color theme="1"/>
      <name val="Arial Narrow"/>
      <family val="2"/>
    </font>
    <font>
      <sz val="10"/>
      <name val="Arial"/>
      <family val="2"/>
    </font>
    <font>
      <sz val="10"/>
      <name val="Arial"/>
      <family val="2"/>
    </font>
    <font>
      <strike/>
      <sz val="11"/>
      <color theme="1"/>
      <name val="Arial Narrow"/>
      <family val="2"/>
    </font>
    <font>
      <sz val="11"/>
      <color rgb="FFFF0000"/>
      <name val="Arial Narrow"/>
      <family val="2"/>
    </font>
    <font>
      <sz val="11"/>
      <color theme="1"/>
      <name val="Arial Narrow"/>
    </font>
    <font>
      <b/>
      <sz val="11"/>
      <color rgb="FF000000"/>
      <name val="Calibri"/>
      <family val="2"/>
    </font>
    <font>
      <sz val="11"/>
      <color rgb="FF000000"/>
      <name val="Calibri"/>
      <family val="2"/>
    </font>
    <font>
      <b/>
      <sz val="14"/>
      <color rgb="FF000000"/>
      <name val="Calibri"/>
      <family val="2"/>
    </font>
    <font>
      <i/>
      <sz val="11"/>
      <color rgb="FF000000"/>
      <name val="Calibri"/>
      <family val="2"/>
    </font>
    <font>
      <b/>
      <i/>
      <sz val="11"/>
      <color rgb="FF000000"/>
      <name val="Calibri"/>
      <family val="2"/>
    </font>
    <font>
      <sz val="11"/>
      <color rgb="FF000000"/>
      <name val="Arial Narrow"/>
      <family val="2"/>
    </font>
    <font>
      <b/>
      <sz val="11"/>
      <color rgb="FF000000"/>
      <name val="Arial Narrow"/>
      <family val="2"/>
    </font>
    <font>
      <sz val="11"/>
      <color rgb="FF000000"/>
      <name val="Arial Narrow"/>
    </font>
    <font>
      <b/>
      <sz val="11"/>
      <color rgb="FF000000"/>
      <name val="Arial Narrow"/>
    </font>
    <font>
      <b/>
      <sz val="11"/>
      <color theme="1"/>
      <name val="Calibri"/>
      <family val="2"/>
      <scheme val="minor"/>
    </font>
    <font>
      <b/>
      <sz val="11"/>
      <color theme="1"/>
      <name val="Arial Narrow"/>
    </font>
    <font>
      <b/>
      <sz val="12"/>
      <color theme="1"/>
      <name val="Arial Narrow"/>
    </font>
    <font>
      <vertAlign val="superscript"/>
      <sz val="11"/>
      <color rgb="FF000000"/>
      <name val="Arial Narrow"/>
    </font>
    <font>
      <vertAlign val="superscript"/>
      <sz val="11"/>
      <color rgb="FF000000"/>
      <name val="Arial Narrow"/>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BA597"/>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A6A6A6"/>
        <bgColor indexed="64"/>
      </patternFill>
    </fill>
    <fill>
      <patternFill patternType="solid">
        <fgColor rgb="FFFFFF00"/>
        <bgColor indexed="64"/>
      </patternFill>
    </fill>
    <fill>
      <patternFill patternType="solid">
        <fgColor rgb="FFF2F2F2"/>
        <bgColor rgb="FF000000"/>
      </patternFill>
    </fill>
    <fill>
      <patternFill patternType="solid">
        <fgColor rgb="FFBFBFBF"/>
        <bgColor indexed="64"/>
      </patternFill>
    </fill>
  </fills>
  <borders count="1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right style="thin">
        <color rgb="FF000000"/>
      </right>
      <top style="thin">
        <color indexed="64"/>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style="medium">
        <color rgb="FF000000"/>
      </left>
      <right/>
      <top/>
      <bottom/>
      <diagonal/>
    </border>
    <border>
      <left/>
      <right style="medium">
        <color rgb="FF000000"/>
      </right>
      <top/>
      <bottom/>
      <diagonal/>
    </border>
    <border>
      <left/>
      <right style="medium">
        <color rgb="FF000000"/>
      </right>
      <top/>
      <bottom style="thin">
        <color indexed="64"/>
      </bottom>
      <diagonal/>
    </border>
    <border>
      <left/>
      <right style="medium">
        <color rgb="FF000000"/>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rgb="FF000000"/>
      </bottom>
      <diagonal/>
    </border>
    <border>
      <left style="medium">
        <color rgb="FF000000"/>
      </left>
      <right/>
      <top style="medium">
        <color rgb="FF000000"/>
      </top>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thin">
        <color rgb="FF000000"/>
      </bottom>
      <diagonal/>
    </border>
    <border>
      <left style="thin">
        <color indexed="64"/>
      </left>
      <right style="medium">
        <color rgb="FF000000"/>
      </right>
      <top style="thin">
        <color indexed="64"/>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medium">
        <color rgb="FF000000"/>
      </bottom>
      <diagonal/>
    </border>
    <border>
      <left/>
      <right style="thin">
        <color indexed="64"/>
      </right>
      <top style="thin">
        <color indexed="64"/>
      </top>
      <bottom style="thin">
        <color rgb="FF000000"/>
      </bottom>
      <diagonal/>
    </border>
    <border>
      <left/>
      <right style="thin">
        <color indexed="64"/>
      </right>
      <top style="thin">
        <color indexed="64"/>
      </top>
      <bottom style="medium">
        <color rgb="FF000000"/>
      </bottom>
      <diagonal/>
    </border>
    <border>
      <left style="thin">
        <color indexed="64"/>
      </left>
      <right style="thin">
        <color rgb="FF000000"/>
      </right>
      <top/>
      <bottom style="thin">
        <color indexed="64"/>
      </bottom>
      <diagonal/>
    </border>
    <border>
      <left/>
      <right/>
      <top style="medium">
        <color rgb="FF000000"/>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medium">
        <color rgb="FF000000"/>
      </right>
      <top style="medium">
        <color rgb="FF000000"/>
      </top>
      <bottom/>
      <diagonal/>
    </border>
    <border>
      <left style="medium">
        <color rgb="FF000000"/>
      </left>
      <right style="thin">
        <color indexed="64"/>
      </right>
      <top/>
      <bottom style="thin">
        <color indexed="64"/>
      </bottom>
      <diagonal/>
    </border>
    <border>
      <left/>
      <right style="medium">
        <color rgb="FF000000"/>
      </right>
      <top style="thin">
        <color indexed="64"/>
      </top>
      <bottom style="thin">
        <color rgb="FF000000"/>
      </bottom>
      <diagonal/>
    </border>
    <border>
      <left style="medium">
        <color rgb="FF000000"/>
      </left>
      <right style="thin">
        <color indexed="64"/>
      </right>
      <top/>
      <bottom style="medium">
        <color rgb="FF000000"/>
      </bottom>
      <diagonal/>
    </border>
    <border>
      <left/>
      <right/>
      <top/>
      <bottom style="thin">
        <color rgb="FF000000"/>
      </bottom>
      <diagonal/>
    </border>
    <border>
      <left/>
      <right style="thin">
        <color rgb="FF000000"/>
      </right>
      <top/>
      <bottom style="thin">
        <color indexed="64"/>
      </bottom>
      <diagonal/>
    </border>
    <border>
      <left/>
      <right style="thin">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medium">
        <color rgb="FF000000"/>
      </left>
      <right style="thin">
        <color rgb="FF000000"/>
      </right>
      <top/>
      <bottom style="thin">
        <color indexed="64"/>
      </bottom>
      <diagonal/>
    </border>
    <border>
      <left style="medium">
        <color rgb="FF000000"/>
      </left>
      <right style="thin">
        <color rgb="FF000000"/>
      </right>
      <top style="thin">
        <color indexed="64"/>
      </top>
      <bottom style="thin">
        <color indexed="64"/>
      </bottom>
      <diagonal/>
    </border>
    <border>
      <left/>
      <right style="thin">
        <color indexed="64"/>
      </right>
      <top style="thin">
        <color rgb="FF000000"/>
      </top>
      <bottom style="thin">
        <color indexed="64"/>
      </bottom>
      <diagonal/>
    </border>
    <border>
      <left style="medium">
        <color indexed="64"/>
      </left>
      <right style="thin">
        <color indexed="64"/>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rgb="FF000000"/>
      </right>
      <top style="medium">
        <color indexed="64"/>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727">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xf>
    <xf numFmtId="0" fontId="3" fillId="0" borderId="8" xfId="0" applyFont="1" applyBorder="1" applyAlignment="1">
      <alignment horizontal="left" wrapText="1"/>
    </xf>
    <xf numFmtId="0" fontId="3" fillId="0" borderId="11" xfId="0" applyFont="1" applyBorder="1" applyAlignment="1">
      <alignment horizontal="left" wrapText="1"/>
    </xf>
    <xf numFmtId="0" fontId="3" fillId="0" borderId="14" xfId="0" applyFont="1" applyBorder="1" applyAlignment="1">
      <alignment horizontal="left" wrapText="1"/>
    </xf>
    <xf numFmtId="0" fontId="3" fillId="0" borderId="0" xfId="0" applyFont="1" applyAlignment="1">
      <alignment horizontal="center" vertical="center"/>
    </xf>
    <xf numFmtId="0" fontId="3" fillId="0" borderId="16" xfId="0" applyFont="1" applyBorder="1" applyAlignment="1">
      <alignment horizontal="center"/>
    </xf>
    <xf numFmtId="0" fontId="3" fillId="3" borderId="20"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1" xfId="0" applyFont="1" applyFill="1" applyBorder="1" applyAlignment="1">
      <alignment horizontal="center" vertical="center" wrapText="1"/>
    </xf>
    <xf numFmtId="44" fontId="3" fillId="0" borderId="0" xfId="1" applyFont="1" applyAlignment="1">
      <alignment horizontal="center" vertical="center"/>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2" fillId="2" borderId="1" xfId="0" applyFont="1" applyFill="1" applyBorder="1" applyAlignment="1">
      <alignment horizontal="center" wrapText="1"/>
    </xf>
    <xf numFmtId="0" fontId="6" fillId="0" borderId="0" xfId="0" applyFont="1" applyAlignment="1">
      <alignment horizontal="left"/>
    </xf>
    <xf numFmtId="0" fontId="3" fillId="3" borderId="27" xfId="0" applyFont="1" applyFill="1" applyBorder="1" applyAlignment="1">
      <alignment horizontal="center" vertical="center" wrapText="1"/>
    </xf>
    <xf numFmtId="166" fontId="3" fillId="0" borderId="0" xfId="1" applyNumberFormat="1" applyFont="1" applyAlignment="1">
      <alignment horizontal="center"/>
    </xf>
    <xf numFmtId="166" fontId="3" fillId="5" borderId="21" xfId="1" applyNumberFormat="1" applyFont="1" applyFill="1" applyBorder="1" applyAlignment="1">
      <alignment horizontal="center" vertical="center" wrapText="1"/>
    </xf>
    <xf numFmtId="166" fontId="3" fillId="5" borderId="17" xfId="1" applyNumberFormat="1" applyFont="1" applyFill="1" applyBorder="1" applyAlignment="1">
      <alignment vertical="center" wrapText="1"/>
    </xf>
    <xf numFmtId="166" fontId="8" fillId="5" borderId="7" xfId="1" applyNumberFormat="1" applyFont="1" applyFill="1" applyBorder="1" applyAlignment="1">
      <alignment horizontal="center"/>
    </xf>
    <xf numFmtId="0" fontId="8" fillId="0" borderId="20" xfId="0" applyFont="1" applyBorder="1" applyAlignment="1">
      <alignment horizontal="center"/>
    </xf>
    <xf numFmtId="0" fontId="12" fillId="0" borderId="0" xfId="0" applyFont="1"/>
    <xf numFmtId="0" fontId="3" fillId="0" borderId="0" xfId="0" quotePrefix="1" applyFont="1"/>
    <xf numFmtId="166" fontId="3" fillId="0" borderId="43" xfId="1" applyNumberFormat="1" applyFont="1" applyBorder="1" applyAlignment="1">
      <alignment horizontal="center" vertical="center"/>
    </xf>
    <xf numFmtId="166" fontId="3" fillId="0" borderId="15" xfId="1" applyNumberFormat="1" applyFont="1" applyBorder="1" applyAlignment="1">
      <alignment horizontal="center" vertical="center"/>
    </xf>
    <xf numFmtId="0" fontId="3" fillId="3" borderId="51" xfId="0" applyFont="1" applyFill="1" applyBorder="1" applyAlignment="1">
      <alignment horizontal="center" vertical="center" wrapText="1"/>
    </xf>
    <xf numFmtId="7" fontId="3" fillId="0" borderId="49" xfId="2" applyNumberFormat="1" applyFont="1" applyBorder="1" applyAlignment="1">
      <alignment vertical="center" wrapText="1"/>
    </xf>
    <xf numFmtId="168" fontId="3" fillId="0" borderId="15" xfId="2" applyNumberFormat="1" applyFont="1" applyBorder="1" applyAlignment="1">
      <alignment vertical="center" wrapText="1"/>
    </xf>
    <xf numFmtId="5" fontId="3" fillId="0" borderId="15" xfId="2" applyNumberFormat="1" applyFont="1" applyBorder="1" applyAlignment="1">
      <alignment vertical="center" wrapText="1"/>
    </xf>
    <xf numFmtId="170" fontId="3" fillId="0" borderId="15" xfId="1" applyNumberFormat="1" applyFont="1" applyBorder="1" applyAlignment="1">
      <alignment vertical="center"/>
    </xf>
    <xf numFmtId="1" fontId="3" fillId="0" borderId="15" xfId="1" applyNumberFormat="1" applyFont="1" applyBorder="1" applyAlignment="1">
      <alignment vertical="center"/>
    </xf>
    <xf numFmtId="164" fontId="3" fillId="0" borderId="15" xfId="2" applyNumberFormat="1" applyFont="1" applyBorder="1" applyAlignment="1">
      <alignment vertical="center"/>
    </xf>
    <xf numFmtId="171" fontId="3" fillId="0" borderId="15" xfId="2" applyNumberFormat="1" applyFont="1" applyBorder="1" applyAlignment="1">
      <alignment vertical="center"/>
    </xf>
    <xf numFmtId="170" fontId="3" fillId="0" borderId="15" xfId="2" applyNumberFormat="1" applyFont="1" applyBorder="1" applyAlignment="1">
      <alignment vertical="center" wrapText="1"/>
    </xf>
    <xf numFmtId="0" fontId="3" fillId="0" borderId="0" xfId="0" applyFont="1" applyAlignment="1">
      <alignment horizontal="left" wrapText="1"/>
    </xf>
    <xf numFmtId="0" fontId="9" fillId="0" borderId="0" xfId="0" applyFont="1" applyAlignment="1">
      <alignment horizontal="center" vertical="center"/>
    </xf>
    <xf numFmtId="166" fontId="3" fillId="0" borderId="15" xfId="1" applyNumberFormat="1" applyFont="1" applyBorder="1" applyAlignment="1">
      <alignment vertical="center" wrapText="1"/>
    </xf>
    <xf numFmtId="0" fontId="3" fillId="0" borderId="15" xfId="0" applyFont="1" applyBorder="1" applyAlignment="1">
      <alignment vertical="center"/>
    </xf>
    <xf numFmtId="0" fontId="3" fillId="3" borderId="58" xfId="0" applyFont="1" applyFill="1" applyBorder="1" applyAlignment="1">
      <alignment horizontal="center" vertical="center" wrapText="1"/>
    </xf>
    <xf numFmtId="0" fontId="3" fillId="3" borderId="58" xfId="0" applyFont="1" applyFill="1" applyBorder="1" applyAlignment="1">
      <alignment horizontal="center" vertical="center"/>
    </xf>
    <xf numFmtId="0" fontId="3" fillId="3" borderId="44" xfId="0" applyFont="1" applyFill="1" applyBorder="1" applyAlignment="1">
      <alignment horizontal="center" vertical="center"/>
    </xf>
    <xf numFmtId="2" fontId="3" fillId="0" borderId="56" xfId="3" applyNumberFormat="1" applyFont="1" applyBorder="1" applyAlignment="1">
      <alignment vertical="center"/>
    </xf>
    <xf numFmtId="2" fontId="3" fillId="0" borderId="57" xfId="3" applyNumberFormat="1" applyFont="1" applyBorder="1" applyAlignment="1">
      <alignment vertical="center"/>
    </xf>
    <xf numFmtId="166" fontId="3" fillId="5" borderId="24" xfId="1" applyNumberFormat="1" applyFont="1" applyFill="1" applyBorder="1" applyAlignment="1">
      <alignment horizontal="center" vertical="center" wrapText="1"/>
    </xf>
    <xf numFmtId="166" fontId="8" fillId="5" borderId="24" xfId="1" applyNumberFormat="1" applyFont="1" applyFill="1" applyBorder="1" applyAlignment="1">
      <alignment horizontal="center"/>
    </xf>
    <xf numFmtId="166" fontId="8" fillId="5" borderId="21" xfId="1" applyNumberFormat="1" applyFont="1" applyFill="1" applyBorder="1" applyAlignment="1">
      <alignment horizontal="center"/>
    </xf>
    <xf numFmtId="166" fontId="3" fillId="4" borderId="21" xfId="1" applyNumberFormat="1" applyFont="1" applyFill="1" applyBorder="1" applyAlignment="1">
      <alignment horizontal="center" vertical="center" wrapText="1"/>
    </xf>
    <xf numFmtId="166" fontId="8" fillId="4" borderId="21" xfId="1" applyNumberFormat="1" applyFont="1" applyFill="1" applyBorder="1" applyAlignment="1">
      <alignment horizontal="center"/>
    </xf>
    <xf numFmtId="166" fontId="3" fillId="5" borderId="23" xfId="1" applyNumberFormat="1" applyFont="1" applyFill="1" applyBorder="1" applyAlignment="1">
      <alignment vertical="center" wrapText="1"/>
    </xf>
    <xf numFmtId="166" fontId="8" fillId="5" borderId="1" xfId="0" applyNumberFormat="1" applyFont="1" applyFill="1" applyBorder="1"/>
    <xf numFmtId="166" fontId="8" fillId="4" borderId="1" xfId="0" applyNumberFormat="1" applyFont="1" applyFill="1" applyBorder="1"/>
    <xf numFmtId="44" fontId="3" fillId="0" borderId="0" xfId="1" applyFont="1" applyFill="1" applyAlignment="1">
      <alignment horizontal="center" vertical="center"/>
    </xf>
    <xf numFmtId="44" fontId="3" fillId="0" borderId="49" xfId="1" applyFont="1" applyFill="1" applyBorder="1" applyAlignment="1">
      <alignment vertical="center"/>
    </xf>
    <xf numFmtId="170" fontId="3" fillId="0" borderId="15" xfId="1" applyNumberFormat="1" applyFont="1" applyFill="1" applyBorder="1" applyAlignment="1">
      <alignment vertical="center"/>
    </xf>
    <xf numFmtId="1" fontId="3" fillId="0" borderId="15" xfId="0" applyNumberFormat="1" applyFont="1" applyBorder="1" applyAlignment="1">
      <alignment vertical="center"/>
    </xf>
    <xf numFmtId="166" fontId="8" fillId="0" borderId="15" xfId="1" applyNumberFormat="1" applyFont="1" applyBorder="1" applyAlignment="1">
      <alignment vertical="center"/>
    </xf>
    <xf numFmtId="166" fontId="8" fillId="0" borderId="22" xfId="1" applyNumberFormat="1" applyFont="1" applyBorder="1" applyAlignment="1">
      <alignment vertical="center"/>
    </xf>
    <xf numFmtId="2" fontId="8" fillId="6" borderId="1" xfId="0" applyNumberFormat="1" applyFont="1" applyFill="1" applyBorder="1"/>
    <xf numFmtId="166" fontId="8" fillId="7" borderId="0" xfId="1" applyNumberFormat="1" applyFont="1" applyFill="1" applyBorder="1" applyAlignment="1">
      <alignment horizontal="center"/>
    </xf>
    <xf numFmtId="0" fontId="3" fillId="7" borderId="0" xfId="0" applyFont="1" applyFill="1"/>
    <xf numFmtId="0" fontId="8" fillId="7" borderId="0" xfId="0" applyFont="1" applyFill="1" applyAlignment="1">
      <alignment horizontal="right"/>
    </xf>
    <xf numFmtId="0" fontId="15" fillId="0" borderId="0" xfId="0" applyFont="1"/>
    <xf numFmtId="166" fontId="3" fillId="4" borderId="59" xfId="1" applyNumberFormat="1" applyFont="1" applyFill="1" applyBorder="1" applyAlignment="1">
      <alignment vertical="center" wrapText="1"/>
    </xf>
    <xf numFmtId="172" fontId="3" fillId="0" borderId="15" xfId="2" applyNumberFormat="1" applyFont="1" applyBorder="1" applyAlignment="1">
      <alignment vertical="center" wrapText="1"/>
    </xf>
    <xf numFmtId="166" fontId="3" fillId="0" borderId="10" xfId="1" applyNumberFormat="1" applyFont="1" applyBorder="1" applyAlignment="1"/>
    <xf numFmtId="166" fontId="3" fillId="0" borderId="28" xfId="1" applyNumberFormat="1" applyFont="1" applyBorder="1" applyAlignment="1">
      <alignment horizontal="center" vertical="center"/>
    </xf>
    <xf numFmtId="166" fontId="3" fillId="0" borderId="13" xfId="1" applyNumberFormat="1" applyFont="1" applyBorder="1" applyAlignment="1"/>
    <xf numFmtId="166" fontId="3" fillId="0" borderId="17" xfId="1" applyNumberFormat="1" applyFont="1" applyBorder="1" applyAlignment="1">
      <alignment horizontal="center" vertical="center"/>
    </xf>
    <xf numFmtId="166" fontId="3" fillId="0" borderId="35" xfId="1" applyNumberFormat="1" applyFont="1" applyBorder="1" applyAlignment="1"/>
    <xf numFmtId="166" fontId="3" fillId="0" borderId="36" xfId="1" applyNumberFormat="1" applyFont="1" applyBorder="1" applyAlignment="1">
      <alignment horizontal="center" vertical="center"/>
    </xf>
    <xf numFmtId="166" fontId="3" fillId="0" borderId="31" xfId="1" applyNumberFormat="1" applyFont="1" applyBorder="1" applyAlignment="1"/>
    <xf numFmtId="166" fontId="3" fillId="0" borderId="18" xfId="1" applyNumberFormat="1" applyFont="1" applyFill="1" applyBorder="1" applyAlignment="1">
      <alignment horizontal="center" vertical="center"/>
    </xf>
    <xf numFmtId="0" fontId="3" fillId="3" borderId="7" xfId="0" applyFont="1" applyFill="1" applyBorder="1" applyAlignment="1">
      <alignment horizontal="center"/>
    </xf>
    <xf numFmtId="172" fontId="3" fillId="0" borderId="15" xfId="1" applyNumberFormat="1" applyFont="1" applyFill="1" applyBorder="1" applyAlignment="1">
      <alignment vertical="center"/>
    </xf>
    <xf numFmtId="1" fontId="3" fillId="0" borderId="15" xfId="1" applyNumberFormat="1" applyFont="1" applyFill="1" applyBorder="1" applyAlignment="1">
      <alignment vertical="center"/>
    </xf>
    <xf numFmtId="9" fontId="3" fillId="0" borderId="23" xfId="3" applyFont="1" applyFill="1" applyBorder="1" applyAlignment="1">
      <alignment vertical="center"/>
    </xf>
    <xf numFmtId="9" fontId="3" fillId="0" borderId="15" xfId="3" applyFont="1" applyFill="1" applyBorder="1" applyAlignment="1">
      <alignment vertical="center"/>
    </xf>
    <xf numFmtId="2" fontId="3" fillId="0" borderId="58" xfId="1" applyNumberFormat="1" applyFont="1" applyFill="1" applyBorder="1" applyAlignment="1">
      <alignment vertical="center"/>
    </xf>
    <xf numFmtId="2" fontId="3" fillId="0" borderId="4" xfId="0" applyNumberFormat="1" applyFont="1" applyBorder="1"/>
    <xf numFmtId="2" fontId="3" fillId="0" borderId="39" xfId="0" applyNumberFormat="1" applyFont="1" applyBorder="1"/>
    <xf numFmtId="2" fontId="3" fillId="0" borderId="44" xfId="0" applyNumberFormat="1" applyFont="1" applyBorder="1"/>
    <xf numFmtId="0" fontId="3" fillId="3" borderId="24" xfId="0" applyFont="1" applyFill="1" applyBorder="1" applyAlignment="1">
      <alignment horizontal="center"/>
    </xf>
    <xf numFmtId="2" fontId="3" fillId="0" borderId="56" xfId="0" applyNumberFormat="1" applyFont="1" applyBorder="1"/>
    <xf numFmtId="2" fontId="3" fillId="0" borderId="60" xfId="0" applyNumberFormat="1" applyFont="1" applyBorder="1"/>
    <xf numFmtId="2" fontId="3" fillId="0" borderId="58" xfId="0" applyNumberFormat="1" applyFont="1" applyBorder="1"/>
    <xf numFmtId="2" fontId="3" fillId="0" borderId="0" xfId="0" applyNumberFormat="1" applyFont="1"/>
    <xf numFmtId="2" fontId="3" fillId="0" borderId="0" xfId="0" applyNumberFormat="1" applyFont="1" applyAlignment="1">
      <alignment horizontal="center" vertical="center"/>
    </xf>
    <xf numFmtId="2" fontId="3" fillId="3" borderId="24" xfId="0" applyNumberFormat="1" applyFont="1" applyFill="1" applyBorder="1" applyAlignment="1">
      <alignment horizontal="center" vertical="center" wrapText="1"/>
    </xf>
    <xf numFmtId="43" fontId="3" fillId="0" borderId="15" xfId="0" applyNumberFormat="1" applyFont="1" applyBorder="1" applyAlignment="1">
      <alignment horizontal="center" vertical="center"/>
    </xf>
    <xf numFmtId="166" fontId="3" fillId="0" borderId="15" xfId="2" applyNumberFormat="1" applyFont="1" applyFill="1" applyBorder="1" applyAlignment="1">
      <alignment vertical="center" wrapText="1"/>
    </xf>
    <xf numFmtId="2" fontId="3" fillId="0" borderId="23" xfId="0" applyNumberFormat="1" applyFont="1" applyBorder="1"/>
    <xf numFmtId="173" fontId="3" fillId="0" borderId="23" xfId="0" applyNumberFormat="1" applyFont="1" applyBorder="1"/>
    <xf numFmtId="43" fontId="3" fillId="0" borderId="22" xfId="0" applyNumberFormat="1" applyFont="1" applyBorder="1" applyAlignment="1">
      <alignment horizontal="center" vertical="center"/>
    </xf>
    <xf numFmtId="166" fontId="3" fillId="0" borderId="22" xfId="1" applyNumberFormat="1" applyFont="1" applyBorder="1" applyAlignment="1">
      <alignment horizontal="center" vertical="center"/>
    </xf>
    <xf numFmtId="0" fontId="3" fillId="5" borderId="7" xfId="0" applyFont="1" applyFill="1" applyBorder="1" applyAlignment="1">
      <alignment horizontal="center" vertical="center" wrapText="1"/>
    </xf>
    <xf numFmtId="166" fontId="3" fillId="5" borderId="27" xfId="1" applyNumberFormat="1" applyFont="1" applyFill="1" applyBorder="1" applyAlignment="1">
      <alignment horizontal="center" vertical="center" wrapText="1"/>
    </xf>
    <xf numFmtId="166" fontId="3" fillId="5" borderId="45" xfId="1" applyNumberFormat="1" applyFont="1" applyFill="1" applyBorder="1" applyAlignment="1">
      <alignment vertical="center" wrapText="1"/>
    </xf>
    <xf numFmtId="166" fontId="3" fillId="4" borderId="14" xfId="1" applyNumberFormat="1" applyFont="1" applyFill="1" applyBorder="1" applyAlignment="1">
      <alignment vertical="center" wrapText="1"/>
    </xf>
    <xf numFmtId="0" fontId="8" fillId="0" borderId="12" xfId="0" applyFont="1" applyBorder="1" applyAlignment="1">
      <alignment horizontal="right"/>
    </xf>
    <xf numFmtId="166" fontId="8" fillId="0" borderId="15" xfId="1" applyNumberFormat="1" applyFont="1" applyFill="1" applyBorder="1" applyAlignment="1">
      <alignment vertical="center"/>
    </xf>
    <xf numFmtId="0" fontId="8" fillId="0" borderId="17" xfId="0" applyFont="1" applyBorder="1" applyAlignment="1">
      <alignment horizontal="left" vertical="center"/>
    </xf>
    <xf numFmtId="166" fontId="3" fillId="0" borderId="43" xfId="1" applyNumberFormat="1" applyFont="1" applyFill="1" applyBorder="1" applyAlignment="1">
      <alignment horizontal="center" vertical="center"/>
    </xf>
    <xf numFmtId="166" fontId="3" fillId="0" borderId="48" xfId="1" applyNumberFormat="1" applyFont="1" applyFill="1" applyBorder="1" applyAlignment="1">
      <alignment horizontal="center" vertical="center"/>
    </xf>
    <xf numFmtId="0" fontId="3" fillId="3" borderId="7" xfId="0" applyFont="1" applyFill="1" applyBorder="1" applyAlignment="1">
      <alignment horizontal="center" vertical="center" wrapText="1"/>
    </xf>
    <xf numFmtId="44" fontId="3" fillId="0" borderId="64" xfId="1" applyFont="1" applyFill="1" applyBorder="1" applyAlignment="1">
      <alignment vertical="center"/>
    </xf>
    <xf numFmtId="44" fontId="3" fillId="0" borderId="23" xfId="1" applyFont="1" applyFill="1" applyBorder="1" applyAlignment="1">
      <alignment vertical="center"/>
    </xf>
    <xf numFmtId="0" fontId="9" fillId="2" borderId="1" xfId="0" applyFont="1" applyFill="1" applyBorder="1" applyAlignment="1">
      <alignment horizontal="center" vertical="center" wrapText="1"/>
    </xf>
    <xf numFmtId="2" fontId="3" fillId="3" borderId="27" xfId="0" applyNumberFormat="1" applyFont="1" applyFill="1" applyBorder="1" applyAlignment="1">
      <alignment horizontal="center" vertical="center" wrapText="1"/>
    </xf>
    <xf numFmtId="2" fontId="3" fillId="0" borderId="63" xfId="0" applyNumberFormat="1" applyFont="1" applyBorder="1" applyAlignment="1">
      <alignment vertical="center" wrapText="1"/>
    </xf>
    <xf numFmtId="2" fontId="3" fillId="0" borderId="54" xfId="0" applyNumberFormat="1" applyFont="1" applyBorder="1" applyAlignment="1">
      <alignment vertical="center" wrapText="1"/>
    </xf>
    <xf numFmtId="0" fontId="3" fillId="0" borderId="11" xfId="0" applyFont="1" applyBorder="1" applyAlignment="1">
      <alignment horizontal="center" vertical="center"/>
    </xf>
    <xf numFmtId="0" fontId="3" fillId="0" borderId="66" xfId="0" applyFont="1" applyBorder="1" applyAlignment="1">
      <alignment horizontal="center" vertic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66" xfId="0" applyFont="1" applyBorder="1" applyAlignment="1">
      <alignment horizontal="center"/>
    </xf>
    <xf numFmtId="166" fontId="3" fillId="0" borderId="22" xfId="2" applyNumberFormat="1" applyFont="1" applyFill="1" applyBorder="1" applyAlignment="1">
      <alignment vertical="center" wrapText="1"/>
    </xf>
    <xf numFmtId="166" fontId="8" fillId="5" borderId="1" xfId="1" applyNumberFormat="1" applyFont="1" applyFill="1" applyBorder="1" applyAlignment="1">
      <alignment horizontal="center"/>
    </xf>
    <xf numFmtId="166" fontId="3" fillId="0" borderId="69" xfId="1" applyNumberFormat="1" applyFont="1" applyBorder="1" applyAlignment="1">
      <alignment horizontal="center" vertical="center"/>
    </xf>
    <xf numFmtId="0" fontId="9" fillId="2" borderId="4" xfId="0" applyFont="1" applyFill="1" applyBorder="1" applyAlignment="1">
      <alignment horizontal="center" vertical="center" wrapText="1"/>
    </xf>
    <xf numFmtId="0" fontId="3" fillId="0" borderId="12" xfId="0" applyFont="1" applyBorder="1" applyAlignment="1">
      <alignment horizontal="right"/>
    </xf>
    <xf numFmtId="44" fontId="3" fillId="0" borderId="15" xfId="1" applyFont="1" applyFill="1" applyBorder="1" applyAlignment="1">
      <alignment vertical="center"/>
    </xf>
    <xf numFmtId="0" fontId="3" fillId="0" borderId="17" xfId="0" applyFont="1" applyBorder="1" applyAlignment="1">
      <alignment horizontal="left" vertical="center"/>
    </xf>
    <xf numFmtId="0" fontId="3" fillId="0" borderId="15" xfId="0" applyFont="1" applyBorder="1" applyAlignment="1">
      <alignment horizontal="center" vertical="center"/>
    </xf>
    <xf numFmtId="1" fontId="3" fillId="0" borderId="15" xfId="0" applyNumberFormat="1" applyFont="1" applyBorder="1" applyAlignment="1">
      <alignment horizontal="center" vertical="center"/>
    </xf>
    <xf numFmtId="0" fontId="8" fillId="0" borderId="47" xfId="0" applyFont="1" applyBorder="1" applyAlignment="1">
      <alignment horizontal="right"/>
    </xf>
    <xf numFmtId="166" fontId="8" fillId="0" borderId="23" xfId="1" applyNumberFormat="1" applyFont="1" applyFill="1" applyBorder="1" applyAlignment="1">
      <alignment vertical="center"/>
    </xf>
    <xf numFmtId="0" fontId="3" fillId="0" borderId="46" xfId="0" applyFont="1" applyBorder="1" applyAlignment="1">
      <alignment horizontal="left" vertical="center"/>
    </xf>
    <xf numFmtId="0" fontId="8" fillId="3" borderId="5" xfId="0" applyFont="1" applyFill="1" applyBorder="1" applyAlignment="1">
      <alignment horizontal="center" vertical="center"/>
    </xf>
    <xf numFmtId="0" fontId="8" fillId="3" borderId="24" xfId="0" applyFont="1" applyFill="1" applyBorder="1" applyAlignment="1">
      <alignment horizontal="center" vertical="center" wrapText="1"/>
    </xf>
    <xf numFmtId="0" fontId="8" fillId="3" borderId="7" xfId="0" applyFont="1" applyFill="1" applyBorder="1" applyAlignment="1">
      <alignment horizontal="center" vertical="center"/>
    </xf>
    <xf numFmtId="0" fontId="3" fillId="0" borderId="16" xfId="0" applyFont="1" applyBorder="1" applyAlignment="1">
      <alignment horizontal="right"/>
    </xf>
    <xf numFmtId="44" fontId="3" fillId="0" borderId="29" xfId="1" applyFont="1" applyFill="1" applyBorder="1" applyAlignment="1">
      <alignment horizontal="center" vertical="center"/>
    </xf>
    <xf numFmtId="44" fontId="3" fillId="0" borderId="15" xfId="1" applyFont="1" applyFill="1" applyBorder="1" applyAlignment="1">
      <alignment horizontal="center" vertical="center"/>
    </xf>
    <xf numFmtId="166" fontId="3" fillId="0" borderId="61" xfId="1" applyNumberFormat="1" applyFont="1" applyBorder="1" applyAlignment="1">
      <alignment vertical="center" wrapText="1"/>
    </xf>
    <xf numFmtId="166" fontId="3" fillId="0" borderId="70" xfId="1" applyNumberFormat="1" applyFont="1" applyBorder="1" applyAlignment="1">
      <alignment horizontal="center" vertical="center"/>
    </xf>
    <xf numFmtId="5" fontId="3" fillId="0" borderId="29" xfId="2" applyNumberFormat="1" applyFont="1" applyBorder="1" applyAlignment="1">
      <alignment vertical="center" wrapText="1"/>
    </xf>
    <xf numFmtId="0" fontId="3" fillId="0" borderId="71" xfId="0" applyFont="1" applyBorder="1" applyAlignment="1">
      <alignment horizontal="center"/>
    </xf>
    <xf numFmtId="7" fontId="3" fillId="0" borderId="64" xfId="2" applyNumberFormat="1" applyFont="1" applyBorder="1" applyAlignment="1">
      <alignment vertical="center" wrapText="1"/>
    </xf>
    <xf numFmtId="168" fontId="3" fillId="0" borderId="61" xfId="2" applyNumberFormat="1" applyFont="1" applyBorder="1" applyAlignment="1">
      <alignment vertical="center" wrapText="1"/>
    </xf>
    <xf numFmtId="5" fontId="3" fillId="0" borderId="61" xfId="2" applyNumberFormat="1" applyFont="1" applyBorder="1" applyAlignment="1">
      <alignment vertical="center" wrapText="1"/>
    </xf>
    <xf numFmtId="172" fontId="3" fillId="0" borderId="61" xfId="2" applyNumberFormat="1" applyFont="1" applyBorder="1" applyAlignment="1">
      <alignment vertical="center" wrapText="1"/>
    </xf>
    <xf numFmtId="166" fontId="3" fillId="0" borderId="29" xfId="1" applyNumberFormat="1" applyFont="1" applyBorder="1" applyAlignment="1">
      <alignment vertical="center" wrapText="1"/>
    </xf>
    <xf numFmtId="166" fontId="3" fillId="0" borderId="68" xfId="1" applyNumberFormat="1" applyFont="1" applyBorder="1" applyAlignment="1">
      <alignment vertical="center" wrapText="1"/>
    </xf>
    <xf numFmtId="0" fontId="3" fillId="0" borderId="34" xfId="0" applyFont="1" applyBorder="1" applyAlignment="1">
      <alignment vertical="center"/>
    </xf>
    <xf numFmtId="0" fontId="3" fillId="0" borderId="72" xfId="0" applyFont="1" applyBorder="1" applyAlignment="1">
      <alignment horizontal="center"/>
    </xf>
    <xf numFmtId="166" fontId="3" fillId="0" borderId="73" xfId="2" applyNumberFormat="1" applyFont="1" applyFill="1" applyBorder="1" applyAlignment="1">
      <alignment vertical="center" wrapText="1"/>
    </xf>
    <xf numFmtId="166" fontId="3" fillId="0" borderId="74" xfId="1" applyNumberFormat="1" applyFont="1" applyFill="1" applyBorder="1" applyAlignment="1">
      <alignment horizontal="center" vertical="center"/>
    </xf>
    <xf numFmtId="0" fontId="3" fillId="0" borderId="59" xfId="0" applyFont="1" applyBorder="1" applyAlignment="1">
      <alignment horizontal="center"/>
    </xf>
    <xf numFmtId="166" fontId="3" fillId="0" borderId="23" xfId="2" applyNumberFormat="1" applyFont="1" applyFill="1" applyBorder="1" applyAlignment="1">
      <alignment vertical="center" wrapText="1"/>
    </xf>
    <xf numFmtId="166" fontId="3" fillId="0" borderId="46" xfId="1" applyNumberFormat="1" applyFont="1" applyFill="1" applyBorder="1" applyAlignment="1">
      <alignment horizontal="center" vertical="center"/>
    </xf>
    <xf numFmtId="0" fontId="3" fillId="0" borderId="72" xfId="0" applyFont="1" applyBorder="1" applyAlignment="1">
      <alignment horizontal="center" vertical="center"/>
    </xf>
    <xf numFmtId="2" fontId="3" fillId="0" borderId="76" xfId="0" applyNumberFormat="1" applyFont="1" applyBorder="1" applyAlignment="1">
      <alignment vertical="center" wrapText="1"/>
    </xf>
    <xf numFmtId="43" fontId="3" fillId="0" borderId="73" xfId="0" applyNumberFormat="1" applyFont="1" applyBorder="1" applyAlignment="1">
      <alignment horizontal="center" vertical="center"/>
    </xf>
    <xf numFmtId="166" fontId="3" fillId="0" borderId="73" xfId="1" applyNumberFormat="1" applyFont="1" applyBorder="1" applyAlignment="1">
      <alignment horizontal="center" vertical="center"/>
    </xf>
    <xf numFmtId="0" fontId="3" fillId="0" borderId="59" xfId="0" applyFont="1" applyBorder="1" applyAlignment="1">
      <alignment horizontal="center" vertical="center"/>
    </xf>
    <xf numFmtId="43" fontId="3" fillId="0" borderId="23" xfId="0" applyNumberFormat="1" applyFont="1" applyBorder="1" applyAlignment="1">
      <alignment horizontal="center" vertical="center"/>
    </xf>
    <xf numFmtId="166" fontId="3" fillId="0" borderId="23" xfId="1" applyNumberFormat="1" applyFont="1" applyBorder="1" applyAlignment="1">
      <alignment horizontal="center" vertical="center"/>
    </xf>
    <xf numFmtId="0" fontId="8" fillId="0" borderId="55" xfId="0" applyFont="1" applyBorder="1" applyAlignment="1">
      <alignment horizontal="right"/>
    </xf>
    <xf numFmtId="166" fontId="8" fillId="0" borderId="60" xfId="1" applyNumberFormat="1" applyFont="1" applyFill="1" applyBorder="1" applyAlignment="1">
      <alignment vertical="center"/>
    </xf>
    <xf numFmtId="0" fontId="8" fillId="0" borderId="36" xfId="0" applyFont="1" applyBorder="1" applyAlignment="1">
      <alignment horizontal="left" vertical="center"/>
    </xf>
    <xf numFmtId="0" fontId="3" fillId="9" borderId="13" xfId="0" applyFont="1" applyFill="1" applyBorder="1" applyAlignment="1">
      <alignment horizontal="center"/>
    </xf>
    <xf numFmtId="0" fontId="3" fillId="3" borderId="86" xfId="0" applyFont="1" applyFill="1" applyBorder="1" applyAlignment="1">
      <alignment horizontal="center" vertical="center" wrapText="1"/>
    </xf>
    <xf numFmtId="0" fontId="3" fillId="9" borderId="87" xfId="0" applyFont="1" applyFill="1" applyBorder="1" applyAlignment="1">
      <alignment horizontal="center"/>
    </xf>
    <xf numFmtId="0" fontId="19" fillId="0" borderId="0" xfId="0" applyFont="1"/>
    <xf numFmtId="0" fontId="19" fillId="11" borderId="59" xfId="0" applyFont="1" applyFill="1" applyBorder="1"/>
    <xf numFmtId="3" fontId="19" fillId="0" borderId="63" xfId="0" applyNumberFormat="1" applyFont="1" applyBorder="1"/>
    <xf numFmtId="3" fontId="19" fillId="0" borderId="46" xfId="0" applyNumberFormat="1" applyFont="1" applyBorder="1"/>
    <xf numFmtId="0" fontId="19" fillId="11" borderId="14" xfId="0" applyFont="1" applyFill="1" applyBorder="1"/>
    <xf numFmtId="3" fontId="19" fillId="0" borderId="54" xfId="0" applyNumberFormat="1" applyFont="1" applyBorder="1"/>
    <xf numFmtId="3" fontId="19" fillId="0" borderId="44" xfId="0" applyNumberFormat="1" applyFont="1" applyBorder="1"/>
    <xf numFmtId="0" fontId="22" fillId="11" borderId="63" xfId="0" applyFont="1" applyFill="1" applyBorder="1" applyAlignment="1">
      <alignment horizontal="center"/>
    </xf>
    <xf numFmtId="0" fontId="22" fillId="11" borderId="46" xfId="0" applyFont="1" applyFill="1" applyBorder="1" applyAlignment="1">
      <alignment horizontal="center"/>
    </xf>
    <xf numFmtId="0" fontId="17" fillId="0" borderId="0" xfId="0" applyFont="1"/>
    <xf numFmtId="0" fontId="16" fillId="0" borderId="0" xfId="0" applyFont="1" applyAlignment="1">
      <alignment horizontal="left" wrapText="1"/>
    </xf>
    <xf numFmtId="0" fontId="18" fillId="0" borderId="93" xfId="0" applyFont="1" applyBorder="1"/>
    <xf numFmtId="0" fontId="3" fillId="0" borderId="94" xfId="0" applyFont="1" applyBorder="1"/>
    <xf numFmtId="0" fontId="21" fillId="0" borderId="93" xfId="0" applyFont="1" applyBorder="1"/>
    <xf numFmtId="0" fontId="19" fillId="0" borderId="93" xfId="0" applyFont="1" applyBorder="1"/>
    <xf numFmtId="0" fontId="22" fillId="11" borderId="95" xfId="0" applyFont="1" applyFill="1" applyBorder="1" applyAlignment="1">
      <alignment horizontal="center"/>
    </xf>
    <xf numFmtId="0" fontId="22" fillId="0" borderId="93" xfId="0" applyFont="1" applyBorder="1"/>
    <xf numFmtId="3" fontId="19" fillId="0" borderId="95" xfId="0" applyNumberFormat="1" applyFont="1" applyBorder="1"/>
    <xf numFmtId="3" fontId="19" fillId="0" borderId="96" xfId="0" applyNumberFormat="1" applyFont="1" applyBorder="1"/>
    <xf numFmtId="0" fontId="3" fillId="0" borderId="93" xfId="0" applyFont="1" applyBorder="1"/>
    <xf numFmtId="0" fontId="3" fillId="0" borderId="93" xfId="0" applyFont="1" applyBorder="1" applyAlignment="1">
      <alignment horizontal="left" wrapText="1"/>
    </xf>
    <xf numFmtId="0" fontId="3" fillId="0" borderId="94" xfId="0" applyFont="1" applyBorder="1" applyAlignment="1">
      <alignment horizontal="left" wrapText="1"/>
    </xf>
    <xf numFmtId="0" fontId="3" fillId="0" borderId="97" xfId="0" applyFont="1" applyBorder="1"/>
    <xf numFmtId="0" fontId="3" fillId="0" borderId="98" xfId="0" applyFont="1" applyBorder="1"/>
    <xf numFmtId="0" fontId="3" fillId="0" borderId="99" xfId="0" applyFont="1" applyBorder="1"/>
    <xf numFmtId="1" fontId="3" fillId="3" borderId="86" xfId="0" applyNumberFormat="1" applyFont="1" applyFill="1" applyBorder="1" applyAlignment="1">
      <alignment horizontal="center" vertical="center" wrapText="1"/>
    </xf>
    <xf numFmtId="1" fontId="3" fillId="9" borderId="87" xfId="0" applyNumberFormat="1" applyFont="1" applyFill="1" applyBorder="1" applyAlignment="1">
      <alignment horizontal="center"/>
    </xf>
    <xf numFmtId="1" fontId="3" fillId="0" borderId="87" xfId="0" applyNumberFormat="1" applyFont="1" applyBorder="1" applyAlignment="1">
      <alignment horizontal="center"/>
    </xf>
    <xf numFmtId="1" fontId="0" fillId="0" borderId="0" xfId="0" applyNumberFormat="1"/>
    <xf numFmtId="165" fontId="3" fillId="0" borderId="56" xfId="2" applyNumberFormat="1" applyFont="1" applyFill="1" applyBorder="1" applyAlignment="1">
      <alignment vertical="center"/>
    </xf>
    <xf numFmtId="165" fontId="3" fillId="0" borderId="15" xfId="2" applyNumberFormat="1" applyFont="1" applyFill="1" applyBorder="1" applyAlignment="1">
      <alignment vertical="center"/>
    </xf>
    <xf numFmtId="172" fontId="3" fillId="0" borderId="13" xfId="0" applyNumberFormat="1" applyFont="1" applyBorder="1" applyAlignment="1">
      <alignment horizontal="center"/>
    </xf>
    <xf numFmtId="169" fontId="3" fillId="0" borderId="23" xfId="1" applyNumberFormat="1" applyFont="1" applyBorder="1"/>
    <xf numFmtId="0" fontId="3" fillId="3" borderId="2" xfId="0" applyFont="1" applyFill="1" applyBorder="1" applyAlignment="1">
      <alignment horizontal="center" vertical="center"/>
    </xf>
    <xf numFmtId="0" fontId="3" fillId="0" borderId="100" xfId="0" applyFont="1" applyBorder="1"/>
    <xf numFmtId="2" fontId="3" fillId="0" borderId="101" xfId="0" applyNumberFormat="1" applyFont="1" applyBorder="1"/>
    <xf numFmtId="2" fontId="3" fillId="0" borderId="102" xfId="0" applyNumberFormat="1" applyFont="1" applyBorder="1"/>
    <xf numFmtId="0" fontId="3" fillId="0" borderId="103" xfId="0" applyFont="1" applyBorder="1"/>
    <xf numFmtId="2" fontId="3" fillId="0" borderId="95" xfId="0" applyNumberFormat="1" applyFont="1" applyBorder="1"/>
    <xf numFmtId="0" fontId="3" fillId="0" borderId="104" xfId="0" applyFont="1" applyBorder="1"/>
    <xf numFmtId="0" fontId="3" fillId="3" borderId="56"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105" xfId="0" applyFont="1" applyBorder="1"/>
    <xf numFmtId="166" fontId="3" fillId="0" borderId="75" xfId="1" applyNumberFormat="1" applyFont="1" applyBorder="1"/>
    <xf numFmtId="2" fontId="3" fillId="0" borderId="106" xfId="0" applyNumberFormat="1" applyFont="1" applyBorder="1"/>
    <xf numFmtId="173" fontId="3" fillId="0" borderId="23" xfId="1" applyNumberFormat="1" applyFont="1" applyBorder="1"/>
    <xf numFmtId="44" fontId="0" fillId="0" borderId="0" xfId="0" applyNumberFormat="1"/>
    <xf numFmtId="44" fontId="3" fillId="3" borderId="6" xfId="0" applyNumberFormat="1" applyFont="1" applyFill="1" applyBorder="1" applyAlignment="1">
      <alignment horizontal="center" vertical="center" wrapText="1"/>
    </xf>
    <xf numFmtId="44" fontId="3" fillId="0" borderId="13" xfId="0" applyNumberFormat="1" applyFont="1" applyBorder="1" applyAlignment="1">
      <alignment horizontal="center"/>
    </xf>
    <xf numFmtId="1" fontId="16" fillId="10" borderId="85" xfId="0" applyNumberFormat="1" applyFont="1" applyFill="1" applyBorder="1"/>
    <xf numFmtId="166" fontId="3" fillId="5" borderId="36" xfId="1" applyNumberFormat="1" applyFont="1" applyFill="1" applyBorder="1" applyAlignment="1">
      <alignment vertical="center" wrapText="1"/>
    </xf>
    <xf numFmtId="166" fontId="8" fillId="5" borderId="107" xfId="1" applyNumberFormat="1" applyFont="1" applyFill="1" applyBorder="1" applyAlignment="1">
      <alignment horizontal="center"/>
    </xf>
    <xf numFmtId="166" fontId="3" fillId="5" borderId="113" xfId="1" applyNumberFormat="1" applyFont="1" applyFill="1" applyBorder="1" applyAlignment="1">
      <alignment horizontal="center" vertical="center" wrapText="1"/>
    </xf>
    <xf numFmtId="166" fontId="3" fillId="5" borderId="114" xfId="1" applyNumberFormat="1" applyFont="1" applyFill="1" applyBorder="1" applyAlignment="1">
      <alignment vertical="center" wrapText="1"/>
    </xf>
    <xf numFmtId="166" fontId="3" fillId="5" borderId="115" xfId="1" applyNumberFormat="1" applyFont="1" applyFill="1" applyBorder="1" applyAlignment="1">
      <alignment vertical="center" wrapText="1"/>
    </xf>
    <xf numFmtId="166" fontId="3" fillId="5" borderId="116" xfId="1" applyNumberFormat="1" applyFont="1" applyFill="1" applyBorder="1" applyAlignment="1">
      <alignment vertical="center" wrapText="1"/>
    </xf>
    <xf numFmtId="166" fontId="8" fillId="5" borderId="117" xfId="1" applyNumberFormat="1" applyFont="1" applyFill="1" applyBorder="1" applyAlignment="1">
      <alignment horizontal="center"/>
    </xf>
    <xf numFmtId="166" fontId="8" fillId="5" borderId="118" xfId="1" applyNumberFormat="1" applyFont="1" applyFill="1" applyBorder="1" applyAlignment="1">
      <alignment horizontal="center"/>
    </xf>
    <xf numFmtId="0" fontId="3" fillId="3" borderId="113" xfId="0" applyFont="1" applyFill="1" applyBorder="1" applyAlignment="1">
      <alignment horizontal="center" vertical="center"/>
    </xf>
    <xf numFmtId="0" fontId="3" fillId="0" borderId="114" xfId="0" applyFont="1" applyBorder="1" applyAlignment="1">
      <alignment horizontal="center"/>
    </xf>
    <xf numFmtId="0" fontId="3" fillId="0" borderId="116" xfId="0" applyFont="1" applyBorder="1" applyAlignment="1">
      <alignment horizontal="center"/>
    </xf>
    <xf numFmtId="0" fontId="3" fillId="0" borderId="120" xfId="0" applyFont="1" applyBorder="1" applyAlignment="1">
      <alignment horizontal="center"/>
    </xf>
    <xf numFmtId="0" fontId="3" fillId="0" borderId="115" xfId="0" applyFont="1" applyBorder="1" applyAlignment="1">
      <alignment horizontal="center"/>
    </xf>
    <xf numFmtId="166" fontId="3" fillId="4" borderId="89" xfId="1" applyNumberFormat="1" applyFont="1" applyFill="1" applyBorder="1" applyAlignment="1">
      <alignment vertical="center" wrapText="1"/>
    </xf>
    <xf numFmtId="0" fontId="3" fillId="0" borderId="0" xfId="0" applyFont="1" applyAlignment="1">
      <alignment horizontal="left" vertical="center" wrapText="1"/>
    </xf>
    <xf numFmtId="0" fontId="8" fillId="3" borderId="34" xfId="0" applyFont="1" applyFill="1" applyBorder="1" applyAlignment="1">
      <alignment horizontal="center"/>
    </xf>
    <xf numFmtId="0" fontId="8" fillId="3" borderId="42" xfId="0" applyFont="1" applyFill="1" applyBorder="1" applyAlignment="1">
      <alignment horizontal="center"/>
    </xf>
    <xf numFmtId="169" fontId="3" fillId="0" borderId="43" xfId="0" applyNumberFormat="1" applyFont="1" applyBorder="1"/>
    <xf numFmtId="0" fontId="23" fillId="0" borderId="0" xfId="0" applyFont="1" applyAlignment="1">
      <alignment horizontal="left" wrapText="1"/>
    </xf>
    <xf numFmtId="0" fontId="27" fillId="0" borderId="15" xfId="0" applyFont="1" applyBorder="1"/>
    <xf numFmtId="0" fontId="27" fillId="0" borderId="15" xfId="0" applyFont="1" applyBorder="1" applyAlignment="1">
      <alignment horizontal="center"/>
    </xf>
    <xf numFmtId="0" fontId="0" fillId="10" borderId="15" xfId="0" applyFill="1" applyBorder="1"/>
    <xf numFmtId="0" fontId="0" fillId="10" borderId="15" xfId="0" applyFill="1" applyBorder="1" applyAlignment="1">
      <alignment horizontal="center"/>
    </xf>
    <xf numFmtId="0" fontId="0" fillId="10" borderId="15" xfId="0" applyFill="1" applyBorder="1" applyAlignment="1">
      <alignment horizontal="center" vertical="center"/>
    </xf>
    <xf numFmtId="1" fontId="0" fillId="10" borderId="15" xfId="0" applyNumberFormat="1" applyFill="1" applyBorder="1" applyAlignment="1">
      <alignment horizontal="center" vertical="center"/>
    </xf>
    <xf numFmtId="0" fontId="0" fillId="0" borderId="15" xfId="0" applyBorder="1"/>
    <xf numFmtId="0" fontId="0" fillId="0" borderId="15" xfId="0" applyBorder="1" applyAlignment="1">
      <alignment horizontal="center"/>
    </xf>
    <xf numFmtId="169" fontId="3" fillId="0" borderId="0" xfId="0" applyNumberFormat="1" applyFont="1"/>
    <xf numFmtId="0" fontId="9" fillId="0" borderId="0" xfId="0" applyFont="1" applyAlignment="1">
      <alignment horizontal="center" wrapText="1"/>
    </xf>
    <xf numFmtId="0" fontId="8" fillId="0" borderId="0" xfId="0" applyFont="1" applyAlignment="1">
      <alignment horizontal="center"/>
    </xf>
    <xf numFmtId="1" fontId="3" fillId="0" borderId="15" xfId="0" applyNumberFormat="1" applyFont="1" applyBorder="1"/>
    <xf numFmtId="1" fontId="3" fillId="0" borderId="58" xfId="0" applyNumberFormat="1" applyFont="1" applyBorder="1"/>
    <xf numFmtId="43" fontId="0" fillId="0" borderId="0" xfId="2" applyFont="1"/>
    <xf numFmtId="1" fontId="3" fillId="0" borderId="60" xfId="0" applyNumberFormat="1" applyFont="1" applyBorder="1"/>
    <xf numFmtId="1" fontId="3" fillId="0" borderId="51" xfId="0" applyNumberFormat="1" applyFont="1" applyBorder="1"/>
    <xf numFmtId="164" fontId="3" fillId="0" borderId="51" xfId="2" applyNumberFormat="1" applyFont="1" applyBorder="1"/>
    <xf numFmtId="165" fontId="3" fillId="0" borderId="15" xfId="3" applyNumberFormat="1" applyFont="1" applyFill="1" applyBorder="1" applyAlignment="1">
      <alignment vertical="center"/>
    </xf>
    <xf numFmtId="165" fontId="3" fillId="0" borderId="22" xfId="3" applyNumberFormat="1" applyFont="1" applyFill="1" applyBorder="1" applyAlignment="1">
      <alignment vertical="center"/>
    </xf>
    <xf numFmtId="2" fontId="3" fillId="2" borderId="63" xfId="0" applyNumberFormat="1" applyFont="1" applyFill="1" applyBorder="1" applyAlignment="1">
      <alignment vertical="center" wrapText="1"/>
    </xf>
    <xf numFmtId="43" fontId="3" fillId="0" borderId="39" xfId="0" applyNumberFormat="1" applyFont="1" applyBorder="1"/>
    <xf numFmtId="43" fontId="3" fillId="0" borderId="1" xfId="0" applyNumberFormat="1" applyFont="1" applyBorder="1" applyAlignment="1">
      <alignment horizontal="center"/>
    </xf>
    <xf numFmtId="43" fontId="3" fillId="0" borderId="44" xfId="0" applyNumberFormat="1" applyFont="1" applyBorder="1"/>
    <xf numFmtId="169" fontId="3" fillId="0" borderId="34" xfId="3" applyNumberFormat="1" applyFont="1" applyFill="1" applyBorder="1" applyAlignment="1">
      <alignment vertical="center"/>
    </xf>
    <xf numFmtId="169" fontId="3" fillId="0" borderId="23" xfId="3" applyNumberFormat="1" applyFont="1" applyFill="1" applyBorder="1" applyAlignment="1">
      <alignment vertical="center"/>
    </xf>
    <xf numFmtId="173" fontId="3" fillId="0" borderId="15" xfId="2" applyNumberFormat="1" applyFont="1" applyBorder="1" applyAlignment="1">
      <alignment vertical="center" wrapText="1"/>
    </xf>
    <xf numFmtId="2" fontId="3" fillId="0" borderId="15" xfId="2" applyNumberFormat="1" applyFont="1" applyBorder="1" applyAlignment="1">
      <alignment vertical="center" wrapText="1"/>
    </xf>
    <xf numFmtId="169" fontId="3" fillId="0" borderId="15" xfId="2" applyNumberFormat="1" applyFont="1" applyBorder="1" applyAlignment="1">
      <alignment vertical="center" wrapText="1"/>
    </xf>
    <xf numFmtId="0" fontId="3" fillId="0" borderId="12" xfId="0" applyFont="1" applyBorder="1" applyAlignment="1">
      <alignment horizontal="center"/>
    </xf>
    <xf numFmtId="0" fontId="8" fillId="0" borderId="0" xfId="0" applyFont="1"/>
    <xf numFmtId="165" fontId="3" fillId="0" borderId="73" xfId="3" applyNumberFormat="1" applyFont="1" applyFill="1" applyBorder="1" applyAlignment="1">
      <alignment vertical="center"/>
    </xf>
    <xf numFmtId="166" fontId="3" fillId="0" borderId="13" xfId="1" applyNumberFormat="1" applyFont="1" applyFill="1" applyBorder="1" applyAlignment="1">
      <alignment horizontal="center" vertical="center"/>
    </xf>
    <xf numFmtId="166" fontId="3" fillId="0" borderId="33" xfId="1" applyNumberFormat="1" applyFont="1" applyFill="1" applyBorder="1" applyAlignment="1">
      <alignment horizontal="center" vertical="center"/>
    </xf>
    <xf numFmtId="166" fontId="3" fillId="0" borderId="122" xfId="1" applyNumberFormat="1" applyFont="1" applyFill="1" applyBorder="1" applyAlignment="1">
      <alignment horizontal="center" vertical="center"/>
    </xf>
    <xf numFmtId="166" fontId="3" fillId="0" borderId="31" xfId="1" applyNumberFormat="1" applyFont="1" applyFill="1" applyBorder="1" applyAlignment="1">
      <alignment horizontal="center" vertical="center"/>
    </xf>
    <xf numFmtId="0" fontId="9" fillId="2" borderId="65" xfId="0" applyFont="1" applyFill="1" applyBorder="1" applyAlignment="1">
      <alignment horizontal="center" vertical="center" wrapText="1"/>
    </xf>
    <xf numFmtId="2" fontId="3" fillId="0" borderId="125" xfId="0" applyNumberFormat="1" applyFont="1" applyBorder="1" applyAlignment="1">
      <alignment vertical="center"/>
    </xf>
    <xf numFmtId="0" fontId="3" fillId="3" borderId="37" xfId="0" applyFont="1" applyFill="1" applyBorder="1" applyAlignment="1">
      <alignment horizontal="center" vertical="center" wrapText="1"/>
    </xf>
    <xf numFmtId="44" fontId="3" fillId="0" borderId="45" xfId="1" applyFont="1" applyFill="1" applyBorder="1" applyAlignment="1">
      <alignment vertical="center"/>
    </xf>
    <xf numFmtId="173" fontId="3" fillId="0" borderId="133" xfId="1" applyNumberFormat="1" applyFont="1" applyBorder="1"/>
    <xf numFmtId="2" fontId="3" fillId="0" borderId="99" xfId="0" applyNumberFormat="1" applyFont="1" applyBorder="1"/>
    <xf numFmtId="9" fontId="3" fillId="0" borderId="22" xfId="3" applyFont="1" applyFill="1" applyBorder="1" applyAlignment="1">
      <alignment vertical="center"/>
    </xf>
    <xf numFmtId="2" fontId="3" fillId="0" borderId="134" xfId="3" applyNumberFormat="1" applyFont="1" applyFill="1" applyBorder="1" applyAlignment="1">
      <alignment vertical="center"/>
    </xf>
    <xf numFmtId="2" fontId="3" fillId="0" borderId="135" xfId="3" applyNumberFormat="1" applyFont="1" applyFill="1" applyBorder="1" applyAlignment="1">
      <alignment vertical="center"/>
    </xf>
    <xf numFmtId="2" fontId="3" fillId="0" borderId="138" xfId="0" applyNumberFormat="1" applyFont="1" applyBorder="1" applyAlignment="1">
      <alignment vertical="center"/>
    </xf>
    <xf numFmtId="2" fontId="3" fillId="0" borderId="0" xfId="0" applyNumberFormat="1" applyFont="1" applyAlignment="1">
      <alignment horizontal="right"/>
    </xf>
    <xf numFmtId="2" fontId="3" fillId="0" borderId="103" xfId="1" applyNumberFormat="1" applyFont="1" applyFill="1" applyBorder="1" applyAlignment="1">
      <alignment horizontal="right" vertical="center"/>
    </xf>
    <xf numFmtId="2" fontId="3" fillId="0" borderId="110" xfId="1" applyNumberFormat="1" applyFont="1" applyFill="1" applyBorder="1" applyAlignment="1">
      <alignment horizontal="right" vertical="center"/>
    </xf>
    <xf numFmtId="166" fontId="3" fillId="5" borderId="92" xfId="1" applyNumberFormat="1" applyFont="1" applyFill="1" applyBorder="1" applyAlignment="1">
      <alignment vertical="center" wrapText="1"/>
    </xf>
    <xf numFmtId="2" fontId="3" fillId="3" borderId="52" xfId="0" applyNumberFormat="1" applyFont="1" applyFill="1" applyBorder="1" applyAlignment="1">
      <alignment horizontal="center" vertical="center" wrapText="1"/>
    </xf>
    <xf numFmtId="2" fontId="3" fillId="3" borderId="56" xfId="0" applyNumberFormat="1"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4" xfId="0" applyFont="1" applyFill="1" applyBorder="1" applyAlignment="1">
      <alignment horizontal="center" vertical="center" wrapText="1"/>
    </xf>
    <xf numFmtId="2" fontId="3" fillId="0" borderId="13" xfId="1" applyNumberFormat="1" applyFont="1" applyFill="1" applyBorder="1" applyAlignment="1">
      <alignment horizontal="right" vertical="center"/>
    </xf>
    <xf numFmtId="2" fontId="3" fillId="0" borderId="111" xfId="1" applyNumberFormat="1" applyFont="1" applyFill="1" applyBorder="1" applyAlignment="1">
      <alignment horizontal="right" vertical="center"/>
    </xf>
    <xf numFmtId="2" fontId="3" fillId="3" borderId="140" xfId="0" applyNumberFormat="1" applyFont="1" applyFill="1" applyBorder="1" applyAlignment="1">
      <alignment horizontal="center" vertical="center" wrapText="1"/>
    </xf>
    <xf numFmtId="0" fontId="3" fillId="3" borderId="141" xfId="0" applyFont="1" applyFill="1" applyBorder="1" applyAlignment="1">
      <alignment horizontal="center" vertical="center" wrapText="1"/>
    </xf>
    <xf numFmtId="0" fontId="3" fillId="3" borderId="142" xfId="0" applyFont="1" applyFill="1" applyBorder="1" applyAlignment="1">
      <alignment horizontal="center" vertical="center" wrapText="1"/>
    </xf>
    <xf numFmtId="2" fontId="3" fillId="0" borderId="143" xfId="0" applyNumberFormat="1" applyFont="1" applyBorder="1" applyAlignment="1">
      <alignment vertical="center" wrapText="1"/>
    </xf>
    <xf numFmtId="166" fontId="3" fillId="0" borderId="92" xfId="1" applyNumberFormat="1" applyFont="1" applyFill="1" applyBorder="1" applyAlignment="1">
      <alignment horizontal="center" vertical="center"/>
    </xf>
    <xf numFmtId="166" fontId="3" fillId="0" borderId="144" xfId="1" applyNumberFormat="1" applyFont="1" applyFill="1" applyBorder="1" applyAlignment="1">
      <alignment horizontal="center" vertical="center"/>
    </xf>
    <xf numFmtId="166" fontId="3" fillId="0" borderId="95" xfId="1" applyNumberFormat="1" applyFont="1" applyFill="1" applyBorder="1" applyAlignment="1">
      <alignment horizontal="center" vertical="center"/>
    </xf>
    <xf numFmtId="2" fontId="3" fillId="0" borderId="145" xfId="0" applyNumberFormat="1" applyFont="1" applyBorder="1" applyAlignment="1">
      <alignment vertical="center" wrapText="1"/>
    </xf>
    <xf numFmtId="43" fontId="3" fillId="0" borderId="131" xfId="0" applyNumberFormat="1" applyFont="1" applyBorder="1" applyAlignment="1">
      <alignment horizontal="center" vertical="center"/>
    </xf>
    <xf numFmtId="166" fontId="3" fillId="0" borderId="131" xfId="1" applyNumberFormat="1" applyFont="1" applyBorder="1" applyAlignment="1">
      <alignment horizontal="center" vertical="center"/>
    </xf>
    <xf numFmtId="166" fontId="3" fillId="0" borderId="112" xfId="1" applyNumberFormat="1" applyFont="1" applyFill="1" applyBorder="1" applyAlignment="1">
      <alignment horizontal="center" vertical="center"/>
    </xf>
    <xf numFmtId="43" fontId="17" fillId="0" borderId="15" xfId="0" applyNumberFormat="1" applyFont="1" applyBorder="1" applyAlignment="1">
      <alignment horizontal="center" vertical="center"/>
    </xf>
    <xf numFmtId="166" fontId="17" fillId="0" borderId="15" xfId="1" applyNumberFormat="1" applyFont="1" applyBorder="1" applyAlignment="1">
      <alignment horizontal="center" vertical="center"/>
    </xf>
    <xf numFmtId="166" fontId="17" fillId="0" borderId="13" xfId="1" applyNumberFormat="1" applyFont="1" applyBorder="1" applyAlignment="1">
      <alignment horizontal="center" vertical="center"/>
    </xf>
    <xf numFmtId="166" fontId="17" fillId="0" borderId="92" xfId="1" applyNumberFormat="1" applyFont="1" applyBorder="1" applyAlignment="1">
      <alignment horizontal="center" vertical="center"/>
    </xf>
    <xf numFmtId="43" fontId="17" fillId="0" borderId="131" xfId="0" applyNumberFormat="1" applyFont="1" applyBorder="1" applyAlignment="1">
      <alignment horizontal="center" vertical="center"/>
    </xf>
    <xf numFmtId="166" fontId="17" fillId="0" borderId="131" xfId="1" applyNumberFormat="1" applyFont="1" applyBorder="1" applyAlignment="1">
      <alignment horizontal="center" vertical="center"/>
    </xf>
    <xf numFmtId="166" fontId="17" fillId="0" borderId="112" xfId="1" applyNumberFormat="1" applyFont="1" applyBorder="1" applyAlignment="1">
      <alignment horizontal="center" vertical="center"/>
    </xf>
    <xf numFmtId="166" fontId="17" fillId="0" borderId="111" xfId="1" applyNumberFormat="1" applyFont="1" applyBorder="1" applyAlignment="1">
      <alignment horizontal="center" vertical="center"/>
    </xf>
    <xf numFmtId="0" fontId="3" fillId="5" borderId="119" xfId="0" applyFont="1" applyFill="1" applyBorder="1" applyAlignment="1">
      <alignment horizontal="center" vertical="center" wrapText="1"/>
    </xf>
    <xf numFmtId="0" fontId="17" fillId="12" borderId="94" xfId="0" applyFont="1" applyFill="1" applyBorder="1" applyAlignment="1">
      <alignment vertical="center" wrapText="1"/>
    </xf>
    <xf numFmtId="166" fontId="17" fillId="12" borderId="0" xfId="1" applyNumberFormat="1" applyFont="1" applyFill="1" applyBorder="1" applyAlignment="1">
      <alignment horizontal="center" vertical="center"/>
    </xf>
    <xf numFmtId="2" fontId="17" fillId="12" borderId="0" xfId="1" applyNumberFormat="1" applyFont="1" applyFill="1" applyBorder="1" applyAlignment="1">
      <alignment horizontal="right" vertical="center"/>
    </xf>
    <xf numFmtId="2" fontId="3" fillId="0" borderId="33" xfId="1" applyNumberFormat="1" applyFont="1" applyFill="1" applyBorder="1" applyAlignment="1">
      <alignment horizontal="right" vertical="center"/>
    </xf>
    <xf numFmtId="2" fontId="17" fillId="12" borderId="146" xfId="1" applyNumberFormat="1" applyFont="1" applyFill="1" applyBorder="1" applyAlignment="1">
      <alignment horizontal="right" vertical="center"/>
    </xf>
    <xf numFmtId="166" fontId="17" fillId="12" borderId="146" xfId="1" applyNumberFormat="1" applyFont="1" applyFill="1" applyBorder="1" applyAlignment="1">
      <alignment horizontal="center" vertical="center"/>
    </xf>
    <xf numFmtId="2" fontId="17" fillId="12" borderId="147" xfId="1" applyNumberFormat="1" applyFont="1" applyFill="1" applyBorder="1" applyAlignment="1">
      <alignment horizontal="right" vertical="center"/>
    </xf>
    <xf numFmtId="2" fontId="17" fillId="12" borderId="148" xfId="1" applyNumberFormat="1" applyFont="1" applyFill="1" applyBorder="1" applyAlignment="1">
      <alignment horizontal="right" vertical="center"/>
    </xf>
    <xf numFmtId="166" fontId="17" fillId="12" borderId="94" xfId="1" applyNumberFormat="1" applyFont="1" applyFill="1" applyBorder="1" applyAlignment="1">
      <alignment horizontal="center" vertical="center"/>
    </xf>
    <xf numFmtId="166" fontId="17" fillId="12" borderId="106" xfId="1" applyNumberFormat="1" applyFont="1" applyFill="1" applyBorder="1" applyAlignment="1">
      <alignment horizontal="center" vertical="center"/>
    </xf>
    <xf numFmtId="2" fontId="3" fillId="0" borderId="104" xfId="1" applyNumberFormat="1" applyFont="1" applyFill="1" applyBorder="1" applyAlignment="1">
      <alignment horizontal="right" vertical="center"/>
    </xf>
    <xf numFmtId="166" fontId="17" fillId="12" borderId="0" xfId="1" applyNumberFormat="1" applyFont="1" applyFill="1" applyAlignment="1">
      <alignment horizontal="center" vertical="center"/>
    </xf>
    <xf numFmtId="43" fontId="3" fillId="12" borderId="0" xfId="0" applyNumberFormat="1" applyFont="1" applyFill="1" applyAlignment="1">
      <alignment horizontal="center" vertical="center"/>
    </xf>
    <xf numFmtId="166" fontId="3" fillId="12" borderId="0" xfId="1" applyNumberFormat="1" applyFont="1" applyFill="1" applyBorder="1" applyAlignment="1">
      <alignment horizontal="center" vertical="center"/>
    </xf>
    <xf numFmtId="2" fontId="3" fillId="2" borderId="150" xfId="0" applyNumberFormat="1" applyFont="1" applyFill="1" applyBorder="1" applyAlignment="1">
      <alignment vertical="center" wrapText="1"/>
    </xf>
    <xf numFmtId="2" fontId="3" fillId="2" borderId="149" xfId="0" applyNumberFormat="1" applyFont="1" applyFill="1" applyBorder="1" applyAlignment="1">
      <alignment vertical="center" wrapText="1"/>
    </xf>
    <xf numFmtId="166" fontId="3" fillId="12" borderId="94" xfId="1" applyNumberFormat="1" applyFont="1" applyFill="1" applyBorder="1" applyAlignment="1">
      <alignment horizontal="center" vertical="center"/>
    </xf>
    <xf numFmtId="166" fontId="3" fillId="5" borderId="102" xfId="1" applyNumberFormat="1" applyFont="1" applyFill="1" applyBorder="1" applyAlignment="1">
      <alignment vertical="center" wrapText="1"/>
    </xf>
    <xf numFmtId="166" fontId="3" fillId="5" borderId="112" xfId="1" applyNumberFormat="1" applyFont="1" applyFill="1" applyBorder="1" applyAlignment="1">
      <alignment vertical="center" wrapText="1"/>
    </xf>
    <xf numFmtId="2" fontId="3" fillId="12" borderId="151" xfId="1" applyNumberFormat="1" applyFont="1" applyFill="1" applyBorder="1" applyAlignment="1">
      <alignment horizontal="right" vertical="center"/>
    </xf>
    <xf numFmtId="43" fontId="17" fillId="12" borderId="0" xfId="0" applyNumberFormat="1" applyFont="1" applyFill="1" applyAlignment="1">
      <alignment horizontal="center" vertical="center"/>
    </xf>
    <xf numFmtId="2" fontId="3" fillId="2" borderId="152" xfId="0" applyNumberFormat="1" applyFont="1" applyFill="1" applyBorder="1" applyAlignment="1">
      <alignment vertical="center" wrapText="1"/>
    </xf>
    <xf numFmtId="166" fontId="3" fillId="12" borderId="0" xfId="2" applyNumberFormat="1" applyFont="1" applyFill="1" applyBorder="1" applyAlignment="1">
      <alignment vertical="center" wrapText="1"/>
    </xf>
    <xf numFmtId="44" fontId="3" fillId="2" borderId="149" xfId="0" applyNumberFormat="1" applyFont="1" applyFill="1" applyBorder="1" applyAlignment="1">
      <alignment vertical="center" wrapText="1"/>
    </xf>
    <xf numFmtId="44" fontId="3" fillId="2" borderId="150" xfId="0" applyNumberFormat="1" applyFont="1" applyFill="1" applyBorder="1" applyAlignment="1">
      <alignment vertical="center" wrapText="1"/>
    </xf>
    <xf numFmtId="44" fontId="3" fillId="0" borderId="143" xfId="0" applyNumberFormat="1" applyFont="1" applyBorder="1" applyAlignment="1">
      <alignment vertical="center" wrapText="1"/>
    </xf>
    <xf numFmtId="44" fontId="3" fillId="0" borderId="145" xfId="0" applyNumberFormat="1" applyFont="1" applyBorder="1" applyAlignment="1">
      <alignment vertical="center" wrapText="1"/>
    </xf>
    <xf numFmtId="166" fontId="3" fillId="0" borderId="131" xfId="2" applyNumberFormat="1" applyFont="1" applyFill="1" applyBorder="1" applyAlignment="1">
      <alignment vertical="center" wrapText="1"/>
    </xf>
    <xf numFmtId="0" fontId="3" fillId="0" borderId="8" xfId="0" applyFont="1" applyBorder="1" applyAlignment="1">
      <alignment horizontal="center" vertical="center"/>
    </xf>
    <xf numFmtId="166" fontId="3" fillId="0" borderId="111" xfId="1" applyNumberFormat="1" applyFont="1" applyFill="1" applyBorder="1" applyAlignment="1">
      <alignment horizontal="center" vertical="center"/>
    </xf>
    <xf numFmtId="166" fontId="3" fillId="5" borderId="43" xfId="1" applyNumberFormat="1" applyFont="1" applyFill="1" applyBorder="1" applyAlignment="1">
      <alignment vertical="center" wrapText="1"/>
    </xf>
    <xf numFmtId="44" fontId="17" fillId="2" borderId="153" xfId="0" applyNumberFormat="1" applyFont="1" applyFill="1" applyBorder="1" applyAlignment="1">
      <alignment vertical="center" wrapText="1"/>
    </xf>
    <xf numFmtId="166" fontId="17" fillId="12" borderId="0" xfId="2" applyNumberFormat="1" applyFont="1" applyFill="1" applyBorder="1" applyAlignment="1">
      <alignment vertical="center" wrapText="1"/>
    </xf>
    <xf numFmtId="166" fontId="17" fillId="12" borderId="39" xfId="2" applyNumberFormat="1" applyFont="1" applyFill="1" applyBorder="1" applyAlignment="1">
      <alignment vertical="center" wrapText="1"/>
    </xf>
    <xf numFmtId="44" fontId="3" fillId="2" borderId="154" xfId="0" applyNumberFormat="1" applyFont="1" applyFill="1" applyBorder="1" applyAlignment="1">
      <alignment vertical="center" wrapText="1"/>
    </xf>
    <xf numFmtId="166" fontId="17" fillId="12" borderId="39" xfId="1" applyNumberFormat="1" applyFont="1" applyFill="1" applyBorder="1" applyAlignment="1">
      <alignment horizontal="center" vertical="center"/>
    </xf>
    <xf numFmtId="44" fontId="3" fillId="0" borderId="154" xfId="0" applyNumberFormat="1" applyFont="1" applyBorder="1" applyAlignment="1">
      <alignment vertical="center" wrapText="1"/>
    </xf>
    <xf numFmtId="44" fontId="3" fillId="0" borderId="155" xfId="0" applyNumberFormat="1" applyFont="1" applyBorder="1" applyAlignment="1">
      <alignment vertical="center" wrapText="1"/>
    </xf>
    <xf numFmtId="166" fontId="8" fillId="5" borderId="119" xfId="1" applyNumberFormat="1" applyFont="1" applyFill="1" applyBorder="1" applyAlignment="1">
      <alignment vertical="center" wrapText="1"/>
    </xf>
    <xf numFmtId="166" fontId="3" fillId="0" borderId="0" xfId="0" applyNumberFormat="1" applyFont="1" applyAlignment="1">
      <alignment horizontal="right"/>
    </xf>
    <xf numFmtId="166" fontId="3" fillId="4" borderId="21" xfId="1" applyNumberFormat="1" applyFont="1" applyFill="1" applyBorder="1" applyAlignment="1">
      <alignment horizontal="right" vertical="center" wrapText="1"/>
    </xf>
    <xf numFmtId="166" fontId="3" fillId="4" borderId="19" xfId="1" applyNumberFormat="1" applyFont="1" applyFill="1" applyBorder="1" applyAlignment="1">
      <alignment horizontal="right" vertical="center" wrapText="1"/>
    </xf>
    <xf numFmtId="166" fontId="8" fillId="4" borderId="21" xfId="1" applyNumberFormat="1" applyFont="1" applyFill="1" applyBorder="1" applyAlignment="1">
      <alignment horizontal="right"/>
    </xf>
    <xf numFmtId="0" fontId="3" fillId="0" borderId="114" xfId="0" applyFont="1" applyBorder="1" applyAlignment="1">
      <alignment horizontal="right"/>
    </xf>
    <xf numFmtId="44" fontId="3" fillId="0" borderId="29" xfId="1" applyFont="1" applyBorder="1" applyAlignment="1">
      <alignment horizontal="right"/>
    </xf>
    <xf numFmtId="44" fontId="3" fillId="0" borderId="15" xfId="1" applyFont="1" applyBorder="1" applyAlignment="1">
      <alignment horizontal="right"/>
    </xf>
    <xf numFmtId="166" fontId="11" fillId="0" borderId="23" xfId="1" applyNumberFormat="1" applyFont="1" applyBorder="1" applyAlignment="1">
      <alignment horizontal="right"/>
    </xf>
    <xf numFmtId="44" fontId="3" fillId="0" borderId="13" xfId="1" applyFont="1" applyBorder="1" applyAlignment="1">
      <alignment horizontal="right"/>
    </xf>
    <xf numFmtId="44" fontId="11" fillId="0" borderId="23" xfId="1" applyFont="1" applyBorder="1" applyAlignment="1">
      <alignment horizontal="right"/>
    </xf>
    <xf numFmtId="0" fontId="3" fillId="0" borderId="116" xfId="0" applyFont="1" applyBorder="1" applyAlignment="1">
      <alignment horizontal="right"/>
    </xf>
    <xf numFmtId="0" fontId="24" fillId="12" borderId="83" xfId="0" applyFont="1" applyFill="1" applyBorder="1" applyAlignment="1">
      <alignment horizontal="center"/>
    </xf>
    <xf numFmtId="0" fontId="24" fillId="12" borderId="84" xfId="0" applyFont="1" applyFill="1" applyBorder="1" applyAlignment="1">
      <alignment horizontal="center"/>
    </xf>
    <xf numFmtId="0" fontId="24" fillId="12" borderId="85" xfId="0" applyFont="1" applyFill="1" applyBorder="1" applyAlignment="1">
      <alignment horizontal="center"/>
    </xf>
    <xf numFmtId="0" fontId="19" fillId="0" borderId="93" xfId="0" applyFont="1" applyBorder="1" applyAlignment="1">
      <alignment horizontal="left" wrapText="1"/>
    </xf>
    <xf numFmtId="0" fontId="19" fillId="0" borderId="0" xfId="0" applyFont="1" applyAlignment="1">
      <alignment horizontal="left" wrapText="1"/>
    </xf>
    <xf numFmtId="0" fontId="20" fillId="11" borderId="5" xfId="0" applyFont="1" applyFill="1" applyBorder="1" applyAlignment="1">
      <alignment wrapText="1"/>
    </xf>
    <xf numFmtId="0" fontId="20" fillId="11" borderId="6" xfId="0" applyFont="1" applyFill="1" applyBorder="1" applyAlignment="1">
      <alignment wrapText="1"/>
    </xf>
    <xf numFmtId="0" fontId="20" fillId="11" borderId="88" xfId="0" applyFont="1" applyFill="1" applyBorder="1" applyAlignment="1">
      <alignment wrapText="1"/>
    </xf>
    <xf numFmtId="0" fontId="18" fillId="11" borderId="90" xfId="0" applyFont="1" applyFill="1" applyBorder="1" applyAlignment="1">
      <alignment horizontal="center"/>
    </xf>
    <xf numFmtId="0" fontId="18" fillId="11" borderId="89" xfId="0" applyFont="1" applyFill="1" applyBorder="1" applyAlignment="1">
      <alignment horizontal="center"/>
    </xf>
    <xf numFmtId="0" fontId="18" fillId="11" borderId="10" xfId="0" applyFont="1" applyFill="1" applyBorder="1" applyAlignment="1">
      <alignment horizontal="center"/>
    </xf>
    <xf numFmtId="0" fontId="18" fillId="11" borderId="91" xfId="0" applyFont="1" applyFill="1" applyBorder="1" applyAlignment="1">
      <alignment horizontal="center"/>
    </xf>
    <xf numFmtId="0" fontId="18" fillId="11" borderId="13" xfId="0" applyFont="1" applyFill="1" applyBorder="1" applyAlignment="1">
      <alignment horizontal="center"/>
    </xf>
    <xf numFmtId="0" fontId="18" fillId="11" borderId="87" xfId="0" applyFont="1" applyFill="1" applyBorder="1" applyAlignment="1">
      <alignment horizontal="center"/>
    </xf>
    <xf numFmtId="0" fontId="18" fillId="11" borderId="92" xfId="0" applyFont="1" applyFill="1" applyBorder="1" applyAlignment="1">
      <alignment horizontal="center"/>
    </xf>
    <xf numFmtId="0" fontId="23" fillId="0" borderId="110" xfId="0" applyFont="1" applyBorder="1" applyAlignment="1">
      <alignment horizontal="left" wrapText="1"/>
    </xf>
    <xf numFmtId="0" fontId="23" fillId="0" borderId="111" xfId="0" applyFont="1" applyBorder="1" applyAlignment="1">
      <alignment horizontal="left" wrapText="1"/>
    </xf>
    <xf numFmtId="0" fontId="23" fillId="0" borderId="112" xfId="0" applyFont="1" applyBorder="1" applyAlignment="1">
      <alignment horizontal="left"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3" fillId="0" borderId="108" xfId="0" applyFont="1" applyBorder="1" applyAlignment="1">
      <alignment horizontal="left" wrapText="1"/>
    </xf>
    <xf numFmtId="0" fontId="3" fillId="0" borderId="109" xfId="0" applyFont="1" applyBorder="1" applyAlignment="1">
      <alignment horizontal="left" wrapText="1"/>
    </xf>
    <xf numFmtId="0" fontId="3" fillId="0" borderId="102" xfId="0" applyFont="1" applyBorder="1" applyAlignment="1">
      <alignment horizontal="left" wrapText="1"/>
    </xf>
    <xf numFmtId="0" fontId="25" fillId="0" borderId="103" xfId="0" applyFont="1" applyBorder="1" applyAlignment="1">
      <alignment horizontal="left" wrapText="1"/>
    </xf>
    <xf numFmtId="0" fontId="23" fillId="0" borderId="13" xfId="0" applyFont="1" applyBorder="1" applyAlignment="1">
      <alignment horizontal="left" wrapText="1"/>
    </xf>
    <xf numFmtId="0" fontId="23" fillId="0" borderId="92" xfId="0" applyFont="1" applyBorder="1" applyAlignment="1">
      <alignment horizontal="left" wrapText="1"/>
    </xf>
    <xf numFmtId="0" fontId="3" fillId="0" borderId="103" xfId="0" applyFont="1" applyBorder="1" applyAlignment="1">
      <alignment horizontal="left" wrapText="1"/>
    </xf>
    <xf numFmtId="0" fontId="3" fillId="0" borderId="13" xfId="0" applyFont="1" applyBorder="1" applyAlignment="1">
      <alignment horizontal="left" wrapText="1"/>
    </xf>
    <xf numFmtId="0" fontId="3" fillId="0" borderId="92" xfId="0" applyFont="1" applyBorder="1" applyAlignment="1">
      <alignment horizontal="left"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9" fillId="2" borderId="4" xfId="0" applyFont="1" applyFill="1" applyBorder="1" applyAlignment="1">
      <alignment horizontal="center" wrapText="1"/>
    </xf>
    <xf numFmtId="0" fontId="9" fillId="2" borderId="40" xfId="0" applyFont="1" applyFill="1" applyBorder="1" applyAlignment="1">
      <alignment horizontal="center" wrapText="1"/>
    </xf>
    <xf numFmtId="0" fontId="9" fillId="2" borderId="41" xfId="0" applyFont="1" applyFill="1" applyBorder="1" applyAlignment="1">
      <alignment horizontal="center" wrapText="1"/>
    </xf>
    <xf numFmtId="0" fontId="9" fillId="2" borderId="44" xfId="0" applyFont="1" applyFill="1" applyBorder="1" applyAlignment="1">
      <alignment horizontal="center" wrapText="1"/>
    </xf>
    <xf numFmtId="0" fontId="0" fillId="0" borderId="15" xfId="0" applyBorder="1" applyAlignment="1">
      <alignment horizontal="center" vertical="center" wrapText="1"/>
    </xf>
    <xf numFmtId="1" fontId="0" fillId="0" borderId="61" xfId="0" applyNumberFormat="1" applyBorder="1" applyAlignment="1">
      <alignment horizontal="center" vertical="center" wrapText="1"/>
    </xf>
    <xf numFmtId="1" fontId="0" fillId="0" borderId="60" xfId="0" applyNumberFormat="1" applyBorder="1" applyAlignment="1">
      <alignment horizontal="center" vertical="center" wrapText="1"/>
    </xf>
    <xf numFmtId="1" fontId="0" fillId="0" borderId="23" xfId="0" applyNumberFormat="1" applyBorder="1" applyAlignment="1">
      <alignment horizontal="center" vertical="center" wrapText="1"/>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26" xfId="0" applyFont="1" applyFill="1" applyBorder="1" applyAlignment="1">
      <alignment horizontal="center"/>
    </xf>
    <xf numFmtId="0" fontId="0" fillId="0" borderId="60" xfId="0" applyBorder="1" applyAlignment="1">
      <alignment horizontal="center" vertical="center" wrapText="1"/>
    </xf>
    <xf numFmtId="0" fontId="0" fillId="0" borderId="23" xfId="0" applyBorder="1" applyAlignment="1">
      <alignment horizontal="center" vertical="center" wrapText="1"/>
    </xf>
    <xf numFmtId="0" fontId="8" fillId="0" borderId="12" xfId="0" applyFont="1" applyBorder="1" applyAlignment="1">
      <alignment horizontal="center"/>
    </xf>
    <xf numFmtId="0" fontId="8" fillId="0" borderId="13" xfId="0" applyFont="1" applyBorder="1" applyAlignment="1">
      <alignment horizontal="center"/>
    </xf>
    <xf numFmtId="0" fontId="8" fillId="0" borderId="29" xfId="0" applyFont="1" applyBorder="1" applyAlignment="1">
      <alignment horizontal="center"/>
    </xf>
    <xf numFmtId="0" fontId="8" fillId="0" borderId="67" xfId="0" applyFont="1" applyBorder="1" applyAlignment="1">
      <alignment horizontal="center"/>
    </xf>
    <xf numFmtId="0" fontId="8" fillId="0" borderId="35" xfId="0" applyFont="1" applyBorder="1" applyAlignment="1">
      <alignment horizontal="center"/>
    </xf>
    <xf numFmtId="0" fontId="8" fillId="0" borderId="68"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8" fillId="0" borderId="20" xfId="0" applyFont="1" applyBorder="1" applyAlignment="1">
      <alignment horizontal="center"/>
    </xf>
    <xf numFmtId="0" fontId="8" fillId="0" borderId="2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27" xfId="0" applyFont="1" applyBorder="1" applyAlignment="1">
      <alignment horizontal="center"/>
    </xf>
    <xf numFmtId="0" fontId="3" fillId="0" borderId="103" xfId="0" applyFont="1" applyBorder="1" applyAlignment="1">
      <alignment horizontal="left" vertical="center" wrapText="1"/>
    </xf>
    <xf numFmtId="0" fontId="3" fillId="0" borderId="13" xfId="0" applyFont="1" applyBorder="1" applyAlignment="1">
      <alignment horizontal="left" vertical="center" wrapText="1"/>
    </xf>
    <xf numFmtId="0" fontId="3" fillId="0" borderId="92" xfId="0" applyFont="1" applyBorder="1" applyAlignment="1">
      <alignment horizontal="left" vertical="center" wrapText="1"/>
    </xf>
    <xf numFmtId="0" fontId="3" fillId="0" borderId="83" xfId="0" applyFont="1" applyBorder="1" applyAlignment="1">
      <alignment horizontal="left" wrapText="1"/>
    </xf>
    <xf numFmtId="0" fontId="3" fillId="0" borderId="84" xfId="0" applyFont="1" applyBorder="1" applyAlignment="1">
      <alignment horizontal="left" wrapText="1"/>
    </xf>
    <xf numFmtId="0" fontId="3" fillId="0" borderId="85" xfId="0" applyFont="1" applyBorder="1" applyAlignment="1">
      <alignment horizontal="left" wrapText="1"/>
    </xf>
    <xf numFmtId="0" fontId="23" fillId="0" borderId="103" xfId="0" applyFont="1" applyBorder="1" applyAlignment="1">
      <alignment horizontal="left" wrapText="1"/>
    </xf>
    <xf numFmtId="0" fontId="25" fillId="0" borderId="110" xfId="0" applyFont="1" applyBorder="1" applyAlignment="1">
      <alignment horizontal="left" wrapText="1"/>
    </xf>
    <xf numFmtId="0" fontId="25" fillId="0" borderId="111" xfId="0" applyFont="1" applyBorder="1" applyAlignment="1">
      <alignment horizontal="left" wrapText="1"/>
    </xf>
    <xf numFmtId="0" fontId="25" fillId="0" borderId="112" xfId="0" applyFont="1" applyBorder="1" applyAlignment="1">
      <alignment horizontal="left" wrapText="1"/>
    </xf>
    <xf numFmtId="0" fontId="3" fillId="0" borderId="110" xfId="0" applyFont="1" applyBorder="1" applyAlignment="1">
      <alignment horizontal="left" wrapText="1"/>
    </xf>
    <xf numFmtId="0" fontId="3" fillId="0" borderId="111" xfId="0" applyFont="1" applyBorder="1" applyAlignment="1">
      <alignment horizontal="left" wrapText="1"/>
    </xf>
    <xf numFmtId="0" fontId="3" fillId="0" borderId="112" xfId="0" applyFont="1" applyBorder="1" applyAlignment="1">
      <alignment horizontal="left" wrapText="1"/>
    </xf>
    <xf numFmtId="0" fontId="3" fillId="0" borderId="30" xfId="0" applyFont="1" applyBorder="1" applyAlignment="1">
      <alignment horizontal="left" wrapText="1"/>
    </xf>
    <xf numFmtId="0" fontId="3" fillId="0" borderId="31" xfId="0" applyFont="1" applyBorder="1" applyAlignment="1">
      <alignment horizontal="left" wrapText="1"/>
    </xf>
    <xf numFmtId="0" fontId="3" fillId="0" borderId="48" xfId="0" applyFont="1" applyBorder="1" applyAlignment="1">
      <alignment horizontal="left" wrapTex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3" fillId="0" borderId="9" xfId="0" applyFont="1" applyBorder="1" applyAlignment="1">
      <alignment horizontal="left" wrapText="1"/>
    </xf>
    <xf numFmtId="0" fontId="3" fillId="0" borderId="10" xfId="0" applyFont="1" applyBorder="1" applyAlignment="1">
      <alignment horizontal="left" wrapText="1"/>
    </xf>
    <xf numFmtId="0" fontId="3" fillId="0" borderId="42" xfId="0" applyFont="1" applyBorder="1" applyAlignment="1">
      <alignment horizontal="left" wrapText="1"/>
    </xf>
    <xf numFmtId="0" fontId="3" fillId="0" borderId="12" xfId="0" applyFont="1" applyBorder="1" applyAlignment="1">
      <alignment horizontal="left" wrapText="1"/>
    </xf>
    <xf numFmtId="0" fontId="3" fillId="0" borderId="43" xfId="0" applyFont="1" applyBorder="1" applyAlignment="1">
      <alignment horizontal="left"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25" fillId="0" borderId="47" xfId="0" applyFont="1" applyBorder="1" applyAlignment="1">
      <alignment horizontal="left" vertical="center" wrapText="1"/>
    </xf>
    <xf numFmtId="0" fontId="3" fillId="0" borderId="33" xfId="0" applyFont="1" applyBorder="1" applyAlignment="1">
      <alignment horizontal="left" vertical="center" wrapText="1"/>
    </xf>
    <xf numFmtId="0" fontId="3" fillId="0" borderId="46" xfId="0" applyFont="1" applyBorder="1" applyAlignment="1">
      <alignment horizontal="left" vertical="center" wrapText="1"/>
    </xf>
    <xf numFmtId="0" fontId="3" fillId="3" borderId="5" xfId="0" applyFont="1" applyFill="1" applyBorder="1" applyAlignment="1">
      <alignment horizontal="left"/>
    </xf>
    <xf numFmtId="0" fontId="3" fillId="3" borderId="6" xfId="0" applyFont="1" applyFill="1" applyBorder="1" applyAlignment="1">
      <alignment horizontal="left"/>
    </xf>
    <xf numFmtId="0" fontId="3" fillId="3" borderId="44" xfId="0" applyFont="1" applyFill="1" applyBorder="1" applyAlignment="1">
      <alignment horizontal="left"/>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14" xfId="0" applyFont="1" applyFill="1" applyBorder="1" applyAlignment="1">
      <alignment horizontal="center" vertical="center"/>
    </xf>
    <xf numFmtId="0" fontId="3" fillId="12" borderId="123" xfId="0" applyFont="1" applyFill="1" applyBorder="1" applyAlignment="1">
      <alignment horizontal="center" vertical="center" wrapText="1"/>
    </xf>
    <xf numFmtId="0" fontId="3" fillId="12" borderId="139" xfId="0" applyFont="1" applyFill="1" applyBorder="1" applyAlignment="1">
      <alignment horizontal="center" vertical="center" wrapText="1"/>
    </xf>
    <xf numFmtId="0" fontId="17" fillId="12" borderId="142" xfId="0" applyFont="1" applyFill="1" applyBorder="1" applyAlignment="1">
      <alignment horizontal="center" vertical="center" wrapText="1"/>
    </xf>
    <xf numFmtId="0" fontId="3" fillId="12" borderId="93" xfId="0" applyFont="1" applyFill="1" applyBorder="1" applyAlignment="1">
      <alignment horizontal="center" vertical="center" wrapText="1"/>
    </xf>
    <xf numFmtId="0" fontId="3" fillId="12" borderId="0" xfId="0" applyFont="1" applyFill="1" applyAlignment="1">
      <alignment horizontal="center" vertical="center" wrapText="1"/>
    </xf>
    <xf numFmtId="0" fontId="17" fillId="12" borderId="94" xfId="0" applyFont="1" applyFill="1" applyBorder="1" applyAlignment="1">
      <alignment horizontal="center" vertical="center" wrapText="1"/>
    </xf>
    <xf numFmtId="0" fontId="17" fillId="12" borderId="139" xfId="0" applyFont="1" applyFill="1" applyBorder="1" applyAlignment="1">
      <alignment horizontal="center" vertical="center" wrapText="1"/>
    </xf>
    <xf numFmtId="0" fontId="17" fillId="12" borderId="0" xfId="0" applyFont="1" applyFill="1" applyAlignment="1">
      <alignment horizontal="center" vertical="center" wrapText="1"/>
    </xf>
    <xf numFmtId="0" fontId="25" fillId="12" borderId="139" xfId="0" applyFont="1" applyFill="1" applyBorder="1" applyAlignment="1">
      <alignment horizontal="center" vertical="center" wrapText="1"/>
    </xf>
    <xf numFmtId="0" fontId="25" fillId="12" borderId="123" xfId="0" applyFont="1" applyFill="1" applyBorder="1" applyAlignment="1">
      <alignment horizontal="center" vertical="center" wrapText="1"/>
    </xf>
    <xf numFmtId="0" fontId="17" fillId="12" borderId="93" xfId="0" applyFont="1" applyFill="1" applyBorder="1" applyAlignment="1">
      <alignment horizontal="center" vertical="center" wrapText="1"/>
    </xf>
    <xf numFmtId="0" fontId="3" fillId="0" borderId="127" xfId="0" applyFont="1" applyBorder="1" applyAlignment="1">
      <alignment horizontal="right"/>
    </xf>
    <xf numFmtId="0" fontId="3" fillId="0" borderId="15" xfId="0" applyFont="1" applyBorder="1" applyAlignment="1">
      <alignment horizontal="right"/>
    </xf>
    <xf numFmtId="0" fontId="3" fillId="0" borderId="103" xfId="0" applyFont="1" applyBorder="1" applyAlignment="1">
      <alignment horizontal="right"/>
    </xf>
    <xf numFmtId="0" fontId="3" fillId="0" borderId="13" xfId="0" applyFont="1" applyBorder="1" applyAlignment="1">
      <alignment horizontal="right"/>
    </xf>
    <xf numFmtId="0" fontId="3" fillId="0" borderId="29" xfId="0" applyFont="1" applyBorder="1" applyAlignment="1">
      <alignment horizontal="right"/>
    </xf>
    <xf numFmtId="0" fontId="3" fillId="0" borderId="104" xfId="0" applyFont="1" applyBorder="1" applyAlignment="1">
      <alignment horizontal="right"/>
    </xf>
    <xf numFmtId="0" fontId="3" fillId="0" borderId="33" xfId="0" applyFont="1" applyBorder="1" applyAlignment="1">
      <alignment horizontal="right"/>
    </xf>
    <xf numFmtId="0" fontId="3" fillId="0" borderId="63" xfId="0" applyFont="1" applyBorder="1" applyAlignment="1">
      <alignment horizontal="right"/>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2" xfId="0" applyFont="1" applyFill="1" applyBorder="1" applyAlignment="1">
      <alignment horizontal="center" vertical="center"/>
    </xf>
    <xf numFmtId="0" fontId="3" fillId="0" borderId="108" xfId="0" applyFont="1" applyBorder="1" applyAlignment="1">
      <alignment horizontal="right"/>
    </xf>
    <xf numFmtId="0" fontId="3" fillId="0" borderId="109" xfId="0" applyFont="1" applyBorder="1" applyAlignment="1">
      <alignment horizontal="right"/>
    </xf>
    <xf numFmtId="0" fontId="3" fillId="0" borderId="124" xfId="0" applyFont="1" applyBorder="1" applyAlignment="1">
      <alignment horizontal="right"/>
    </xf>
    <xf numFmtId="0" fontId="3" fillId="0" borderId="15" xfId="0" applyFont="1" applyBorder="1" applyAlignment="1">
      <alignment horizontal="left" vertical="center"/>
    </xf>
    <xf numFmtId="0" fontId="3" fillId="0" borderId="126" xfId="0" applyFont="1" applyBorder="1" applyAlignment="1">
      <alignment horizontal="left" vertical="center"/>
    </xf>
    <xf numFmtId="0" fontId="3" fillId="0" borderId="125" xfId="0" applyFont="1" applyBorder="1" applyAlignment="1">
      <alignment horizontal="left" vertical="center"/>
    </xf>
    <xf numFmtId="0" fontId="3" fillId="0" borderId="109" xfId="0" applyFont="1" applyBorder="1" applyAlignment="1">
      <alignment horizontal="left" vertical="center"/>
    </xf>
    <xf numFmtId="0" fontId="3" fillId="0" borderId="102" xfId="0" applyFont="1" applyBorder="1" applyAlignment="1">
      <alignment horizontal="left" vertical="center"/>
    </xf>
    <xf numFmtId="0" fontId="3" fillId="0" borderId="29" xfId="0" applyFont="1" applyBorder="1" applyAlignment="1">
      <alignment horizontal="left" vertical="center"/>
    </xf>
    <xf numFmtId="0" fontId="9" fillId="2" borderId="77" xfId="0"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8" fillId="0" borderId="40" xfId="0" applyFont="1" applyBorder="1" applyAlignment="1">
      <alignment horizontal="right" vertical="center"/>
    </xf>
    <xf numFmtId="0" fontId="8" fillId="0" borderId="41" xfId="0" applyFont="1" applyBorder="1" applyAlignment="1">
      <alignment horizontal="right" vertical="center"/>
    </xf>
    <xf numFmtId="0" fontId="3" fillId="0" borderId="128" xfId="0" applyFont="1" applyBorder="1" applyAlignment="1">
      <alignment horizontal="right"/>
    </xf>
    <xf numFmtId="0" fontId="3" fillId="0" borderId="73" xfId="0" applyFont="1" applyBorder="1" applyAlignment="1">
      <alignment horizontal="right"/>
    </xf>
    <xf numFmtId="0" fontId="3" fillId="0" borderId="136" xfId="0" applyFont="1" applyBorder="1" applyAlignment="1">
      <alignment horizontal="left" vertical="center"/>
    </xf>
    <xf numFmtId="0" fontId="3" fillId="0" borderId="73" xfId="0" applyFont="1" applyBorder="1" applyAlignment="1">
      <alignment horizontal="left" vertical="center"/>
    </xf>
    <xf numFmtId="0" fontId="3" fillId="0" borderId="129" xfId="0" applyFont="1" applyBorder="1" applyAlignment="1">
      <alignment horizontal="left" vertical="center"/>
    </xf>
    <xf numFmtId="0" fontId="3" fillId="0" borderId="130" xfId="0" applyFont="1" applyBorder="1" applyAlignment="1">
      <alignment horizontal="right"/>
    </xf>
    <xf numFmtId="0" fontId="3" fillId="0" borderId="131" xfId="0" applyFont="1" applyBorder="1" applyAlignment="1">
      <alignment horizontal="right"/>
    </xf>
    <xf numFmtId="0" fontId="3" fillId="0" borderId="137" xfId="0" applyFont="1" applyBorder="1" applyAlignment="1">
      <alignment horizontal="left" vertical="center"/>
    </xf>
    <xf numFmtId="0" fontId="3" fillId="0" borderId="131" xfId="0" applyFont="1" applyBorder="1" applyAlignment="1">
      <alignment horizontal="left" vertical="center"/>
    </xf>
    <xf numFmtId="0" fontId="3" fillId="0" borderId="132" xfId="0" applyFont="1" applyBorder="1" applyAlignment="1">
      <alignment horizontal="left" vertical="center"/>
    </xf>
    <xf numFmtId="0" fontId="3" fillId="3" borderId="37"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40" xfId="0" applyFont="1" applyBorder="1" applyAlignment="1">
      <alignment horizontal="left" wrapText="1"/>
    </xf>
    <xf numFmtId="0" fontId="3" fillId="0" borderId="41" xfId="0" applyFont="1" applyBorder="1" applyAlignment="1">
      <alignment horizontal="left" wrapText="1"/>
    </xf>
    <xf numFmtId="0" fontId="3" fillId="0" borderId="44" xfId="0" applyFont="1" applyBorder="1" applyAlignment="1">
      <alignment horizontal="left" wrapText="1"/>
    </xf>
    <xf numFmtId="0" fontId="9" fillId="2" borderId="5" xfId="0" applyFont="1" applyFill="1" applyBorder="1" applyAlignment="1">
      <alignment horizontal="center" vertical="center" wrapText="1"/>
    </xf>
    <xf numFmtId="0" fontId="8" fillId="0" borderId="5" xfId="0" applyFont="1" applyBorder="1" applyAlignment="1">
      <alignment horizontal="right"/>
    </xf>
    <xf numFmtId="0" fontId="8" fillId="0" borderId="6" xfId="0" applyFont="1" applyBorder="1" applyAlignment="1">
      <alignment horizontal="right"/>
    </xf>
    <xf numFmtId="0" fontId="8" fillId="0" borderId="7" xfId="0" applyFont="1" applyBorder="1" applyAlignment="1">
      <alignment horizontal="right"/>
    </xf>
    <xf numFmtId="0" fontId="3" fillId="3" borderId="7" xfId="0" applyFont="1" applyFill="1" applyBorder="1" applyAlignment="1">
      <alignment horizontal="left"/>
    </xf>
    <xf numFmtId="0" fontId="23" fillId="0" borderId="9" xfId="0" applyFont="1" applyBorder="1" applyAlignment="1">
      <alignment horizontal="left" wrapText="1"/>
    </xf>
    <xf numFmtId="0" fontId="23" fillId="0" borderId="10" xfId="0" applyFont="1" applyBorder="1" applyAlignment="1">
      <alignment horizontal="left" wrapText="1"/>
    </xf>
    <xf numFmtId="0" fontId="23" fillId="0" borderId="42" xfId="0" applyFont="1" applyBorder="1" applyAlignment="1">
      <alignment horizontal="left" wrapText="1"/>
    </xf>
    <xf numFmtId="0" fontId="17" fillId="12" borderId="2"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7" fillId="12" borderId="55" xfId="0" applyFont="1" applyFill="1" applyBorder="1" applyAlignment="1">
      <alignment horizontal="center" vertical="center" wrapText="1"/>
    </xf>
    <xf numFmtId="0" fontId="17" fillId="12" borderId="39" xfId="0" applyFont="1" applyFill="1" applyBorder="1" applyAlignment="1">
      <alignment horizontal="center" vertical="center" wrapText="1"/>
    </xf>
    <xf numFmtId="0" fontId="17" fillId="3" borderId="51"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47" xfId="0" applyFont="1" applyBorder="1" applyAlignment="1">
      <alignment horizontal="right"/>
    </xf>
    <xf numFmtId="0" fontId="3" fillId="0" borderId="121" xfId="0" applyFont="1" applyBorder="1" applyAlignment="1">
      <alignment horizontal="right"/>
    </xf>
    <xf numFmtId="0" fontId="3" fillId="0" borderId="22" xfId="0" applyFont="1" applyBorder="1" applyAlignment="1">
      <alignment horizontal="right"/>
    </xf>
    <xf numFmtId="0" fontId="3" fillId="0" borderId="22" xfId="0" applyFont="1" applyBorder="1" applyAlignment="1">
      <alignment horizontal="left" vertical="center"/>
    </xf>
    <xf numFmtId="0" fontId="3" fillId="0" borderId="18" xfId="0" applyFont="1" applyBorder="1" applyAlignment="1">
      <alignment horizontal="left" vertical="center"/>
    </xf>
    <xf numFmtId="0" fontId="3" fillId="0" borderId="16" xfId="0" applyFont="1" applyBorder="1" applyAlignment="1">
      <alignment horizontal="right"/>
    </xf>
    <xf numFmtId="0" fontId="3" fillId="0" borderId="23" xfId="0" applyFont="1" applyBorder="1" applyAlignment="1">
      <alignment horizontal="left" vertical="center"/>
    </xf>
    <xf numFmtId="0" fontId="3" fillId="0" borderId="19" xfId="0" applyFont="1" applyBorder="1" applyAlignment="1">
      <alignment horizontal="left" vertical="center"/>
    </xf>
    <xf numFmtId="0" fontId="17" fillId="0" borderId="49" xfId="0" applyFont="1" applyBorder="1" applyAlignment="1">
      <alignment horizontal="center" vertical="center"/>
    </xf>
    <xf numFmtId="0" fontId="17" fillId="0" borderId="13" xfId="0" applyFont="1" applyBorder="1" applyAlignment="1">
      <alignment horizontal="center" vertical="center"/>
    </xf>
    <xf numFmtId="0" fontId="17" fillId="0" borderId="43" xfId="0" applyFont="1" applyBorder="1" applyAlignment="1">
      <alignment horizontal="center" vertical="center"/>
    </xf>
    <xf numFmtId="0" fontId="17" fillId="0" borderId="38" xfId="0" applyFont="1" applyBorder="1" applyAlignment="1">
      <alignment horizontal="center" vertical="center"/>
    </xf>
    <xf numFmtId="0" fontId="17" fillId="0" borderId="0" xfId="0" applyFont="1" applyAlignment="1">
      <alignment horizontal="center" vertical="center"/>
    </xf>
    <xf numFmtId="0" fontId="17" fillId="0" borderId="39" xfId="0" applyFont="1" applyBorder="1" applyAlignment="1">
      <alignment horizontal="center" vertical="center"/>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5" xfId="0" applyFont="1" applyFill="1" applyBorder="1" applyAlignment="1">
      <alignment horizontal="center" vertical="center" wrapText="1"/>
    </xf>
    <xf numFmtId="0" fontId="3" fillId="12" borderId="39" xfId="0" applyFont="1" applyFill="1" applyBorder="1" applyAlignment="1">
      <alignment horizontal="center" vertical="center" wrapText="1"/>
    </xf>
    <xf numFmtId="0" fontId="3" fillId="12" borderId="47" xfId="0" applyFont="1" applyFill="1" applyBorder="1" applyAlignment="1">
      <alignment horizontal="center" vertical="center" wrapText="1"/>
    </xf>
    <xf numFmtId="0" fontId="3" fillId="12" borderId="33"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3" fillId="0" borderId="30" xfId="0" applyFont="1" applyBorder="1" applyAlignment="1">
      <alignment horizontal="right"/>
    </xf>
    <xf numFmtId="0" fontId="3" fillId="0" borderId="31" xfId="0" applyFont="1" applyBorder="1" applyAlignment="1">
      <alignment horizontal="right"/>
    </xf>
    <xf numFmtId="0" fontId="3" fillId="0" borderId="50" xfId="0" applyFont="1" applyBorder="1" applyAlignment="1">
      <alignment horizontal="left"/>
    </xf>
    <xf numFmtId="0" fontId="3" fillId="0" borderId="31" xfId="0" applyFont="1" applyBorder="1" applyAlignment="1">
      <alignment horizontal="left"/>
    </xf>
    <xf numFmtId="0" fontId="3" fillId="0" borderId="48" xfId="0" applyFont="1" applyBorder="1" applyAlignment="1">
      <alignment horizontal="left"/>
    </xf>
    <xf numFmtId="0" fontId="3" fillId="0" borderId="12" xfId="0" applyFont="1" applyBorder="1" applyAlignment="1">
      <alignment horizontal="right"/>
    </xf>
    <xf numFmtId="0" fontId="3" fillId="0" borderId="49" xfId="0" applyFont="1" applyBorder="1" applyAlignment="1">
      <alignment horizontal="left"/>
    </xf>
    <xf numFmtId="0" fontId="3" fillId="0" borderId="13" xfId="0" applyFont="1" applyBorder="1" applyAlignment="1">
      <alignment horizontal="left"/>
    </xf>
    <xf numFmtId="0" fontId="3" fillId="0" borderId="43" xfId="0" applyFont="1" applyBorder="1" applyAlignment="1">
      <alignment horizontal="left"/>
    </xf>
    <xf numFmtId="0" fontId="3" fillId="3" borderId="51" xfId="0" applyFont="1" applyFill="1" applyBorder="1" applyAlignment="1">
      <alignment horizontal="center" vertical="center"/>
    </xf>
    <xf numFmtId="0" fontId="3" fillId="3" borderId="7" xfId="0" applyFont="1" applyFill="1" applyBorder="1" applyAlignment="1">
      <alignment horizontal="center" vertical="center"/>
    </xf>
    <xf numFmtId="165" fontId="3" fillId="0" borderId="25" xfId="3" applyNumberFormat="1" applyFont="1" applyBorder="1" applyAlignment="1">
      <alignment horizontal="left" vertical="center"/>
    </xf>
    <xf numFmtId="165" fontId="3" fillId="0" borderId="10" xfId="3" applyNumberFormat="1" applyFont="1" applyBorder="1" applyAlignment="1">
      <alignment horizontal="left" vertical="center"/>
    </xf>
    <xf numFmtId="165" fontId="3" fillId="0" borderId="42" xfId="3" applyNumberFormat="1" applyFont="1" applyBorder="1" applyAlignment="1">
      <alignment horizontal="left" vertical="center"/>
    </xf>
    <xf numFmtId="165" fontId="3" fillId="0" borderId="49" xfId="3" applyNumberFormat="1" applyFont="1" applyBorder="1" applyAlignment="1">
      <alignment horizontal="left" vertical="center"/>
    </xf>
    <xf numFmtId="165" fontId="3" fillId="0" borderId="13" xfId="3" applyNumberFormat="1" applyFont="1" applyBorder="1" applyAlignment="1">
      <alignment horizontal="left" vertical="center"/>
    </xf>
    <xf numFmtId="165" fontId="3" fillId="0" borderId="43" xfId="3" applyNumberFormat="1" applyFont="1" applyBorder="1" applyAlignment="1">
      <alignment horizontal="left" vertical="center"/>
    </xf>
    <xf numFmtId="167" fontId="3" fillId="0" borderId="49" xfId="1" applyNumberFormat="1" applyFont="1" applyFill="1" applyBorder="1" applyAlignment="1">
      <alignment horizontal="left" vertical="center"/>
    </xf>
    <xf numFmtId="167" fontId="3" fillId="0" borderId="13" xfId="1" applyNumberFormat="1" applyFont="1" applyFill="1" applyBorder="1" applyAlignment="1">
      <alignment horizontal="left" vertical="center"/>
    </xf>
    <xf numFmtId="167" fontId="3" fillId="0" borderId="43" xfId="1" applyNumberFormat="1" applyFont="1" applyFill="1" applyBorder="1" applyAlignment="1">
      <alignment horizontal="left" vertical="center"/>
    </xf>
    <xf numFmtId="167" fontId="3" fillId="0" borderId="49" xfId="1" applyNumberFormat="1" applyFont="1" applyBorder="1" applyAlignment="1">
      <alignment horizontal="left" vertical="center"/>
    </xf>
    <xf numFmtId="167" fontId="3" fillId="0" borderId="13" xfId="1" applyNumberFormat="1" applyFont="1" applyBorder="1" applyAlignment="1">
      <alignment horizontal="left" vertical="center"/>
    </xf>
    <xf numFmtId="167" fontId="3" fillId="0" borderId="43" xfId="1" applyNumberFormat="1" applyFont="1" applyBorder="1" applyAlignment="1">
      <alignment horizontal="left" vertical="center"/>
    </xf>
    <xf numFmtId="0" fontId="3" fillId="0" borderId="9" xfId="0" applyFont="1" applyBorder="1" applyAlignment="1">
      <alignment horizontal="right"/>
    </xf>
    <xf numFmtId="0" fontId="3" fillId="0" borderId="10" xfId="0" applyFont="1" applyBorder="1" applyAlignment="1">
      <alignment horizontal="right"/>
    </xf>
    <xf numFmtId="0" fontId="3" fillId="0" borderId="47" xfId="0" applyFont="1" applyBorder="1" applyAlignment="1">
      <alignment horizontal="left" wrapText="1"/>
    </xf>
    <xf numFmtId="0" fontId="3" fillId="0" borderId="33" xfId="0" applyFont="1" applyBorder="1" applyAlignment="1">
      <alignment horizontal="left" wrapText="1"/>
    </xf>
    <xf numFmtId="0" fontId="3" fillId="0" borderId="46" xfId="0" applyFont="1" applyBorder="1" applyAlignment="1">
      <alignment horizontal="left" wrapText="1"/>
    </xf>
    <xf numFmtId="0" fontId="17" fillId="3" borderId="65" xfId="0" applyFont="1" applyFill="1" applyBorder="1" applyAlignment="1">
      <alignment horizontal="center" vertical="center"/>
    </xf>
    <xf numFmtId="0" fontId="17" fillId="3" borderId="1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3" fillId="0" borderId="40" xfId="0" applyFont="1" applyBorder="1" applyAlignment="1">
      <alignment horizontal="right"/>
    </xf>
    <xf numFmtId="0" fontId="3" fillId="0" borderId="54" xfId="0" applyFont="1" applyBorder="1" applyAlignment="1">
      <alignment horizontal="right"/>
    </xf>
    <xf numFmtId="0" fontId="3" fillId="0" borderId="50" xfId="1" applyNumberFormat="1" applyFont="1" applyFill="1" applyBorder="1" applyAlignment="1">
      <alignment horizontal="center" vertical="center"/>
    </xf>
    <xf numFmtId="0" fontId="3" fillId="0" borderId="32" xfId="1" applyNumberFormat="1" applyFont="1" applyFill="1" applyBorder="1" applyAlignment="1">
      <alignment horizontal="center" vertical="center"/>
    </xf>
    <xf numFmtId="166" fontId="3" fillId="0" borderId="49" xfId="1" applyNumberFormat="1" applyFont="1" applyFill="1" applyBorder="1" applyAlignment="1">
      <alignment horizontal="center" vertical="center"/>
    </xf>
    <xf numFmtId="166" fontId="3" fillId="0" borderId="29" xfId="1" applyNumberFormat="1" applyFont="1" applyFill="1" applyBorder="1" applyAlignment="1">
      <alignment horizontal="center" vertical="center"/>
    </xf>
    <xf numFmtId="0" fontId="3" fillId="3" borderId="51" xfId="0" applyFont="1" applyFill="1" applyBorder="1" applyAlignment="1">
      <alignment horizontal="center" vertical="center" wrapText="1"/>
    </xf>
    <xf numFmtId="0" fontId="3" fillId="3" borderId="27" xfId="0" applyFont="1" applyFill="1" applyBorder="1" applyAlignment="1">
      <alignment horizontal="center" vertical="center" wrapText="1"/>
    </xf>
    <xf numFmtId="166" fontId="3" fillId="0" borderId="25" xfId="1" applyNumberFormat="1" applyFont="1" applyBorder="1" applyAlignment="1">
      <alignment horizontal="center" vertical="center"/>
    </xf>
    <xf numFmtId="166" fontId="3" fillId="0" borderId="26" xfId="1" applyNumberFormat="1" applyFont="1" applyBorder="1" applyAlignment="1">
      <alignment horizontal="center" vertical="center"/>
    </xf>
    <xf numFmtId="0" fontId="3" fillId="0" borderId="3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45" xfId="0" applyFont="1" applyBorder="1" applyAlignment="1">
      <alignment horizontal="left" vertical="center"/>
    </xf>
    <xf numFmtId="0" fontId="3" fillId="0" borderId="33" xfId="0" applyFont="1" applyBorder="1" applyAlignment="1">
      <alignment horizontal="left" vertical="center"/>
    </xf>
    <xf numFmtId="0" fontId="3" fillId="0" borderId="46" xfId="0" applyFont="1" applyBorder="1" applyAlignment="1">
      <alignment horizontal="left" vertical="center"/>
    </xf>
    <xf numFmtId="0" fontId="3" fillId="3" borderId="27" xfId="0" applyFont="1" applyFill="1" applyBorder="1" applyAlignment="1">
      <alignment horizontal="center" vertical="center"/>
    </xf>
    <xf numFmtId="0" fontId="3" fillId="0" borderId="26" xfId="0" applyFont="1" applyBorder="1" applyAlignment="1">
      <alignment horizontal="right"/>
    </xf>
    <xf numFmtId="0" fontId="3" fillId="0" borderId="49" xfId="0" applyFont="1" applyBorder="1" applyAlignment="1">
      <alignment horizontal="left" vertical="center"/>
    </xf>
    <xf numFmtId="0" fontId="3" fillId="0" borderId="13" xfId="0" applyFont="1" applyBorder="1" applyAlignment="1">
      <alignment horizontal="left" vertical="center"/>
    </xf>
    <xf numFmtId="0" fontId="3" fillId="0" borderId="43"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left" vertical="center"/>
    </xf>
    <xf numFmtId="0" fontId="3" fillId="0" borderId="48" xfId="0" applyFont="1" applyBorder="1" applyAlignment="1">
      <alignment horizontal="left" vertical="center"/>
    </xf>
    <xf numFmtId="0" fontId="28" fillId="0" borderId="2" xfId="0" applyFont="1" applyBorder="1" applyAlignment="1">
      <alignment horizontal="right"/>
    </xf>
    <xf numFmtId="0" fontId="28" fillId="0" borderId="3" xfId="0" applyFont="1" applyBorder="1" applyAlignment="1">
      <alignment horizontal="right"/>
    </xf>
    <xf numFmtId="0" fontId="28" fillId="0" borderId="156" xfId="0" applyFont="1" applyBorder="1" applyAlignment="1">
      <alignment horizontal="right"/>
    </xf>
    <xf numFmtId="0" fontId="17" fillId="12" borderId="47" xfId="0" applyFont="1" applyFill="1" applyBorder="1" applyAlignment="1">
      <alignment horizontal="center" vertical="center" wrapText="1"/>
    </xf>
    <xf numFmtId="0" fontId="17" fillId="12" borderId="33" xfId="0" applyFont="1" applyFill="1" applyBorder="1" applyAlignment="1">
      <alignment horizontal="center" vertical="center" wrapText="1"/>
    </xf>
    <xf numFmtId="0" fontId="17" fillId="12" borderId="46" xfId="0" applyFont="1" applyFill="1" applyBorder="1" applyAlignment="1">
      <alignment horizontal="center" vertical="center" wrapText="1"/>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3" fillId="3" borderId="5" xfId="0" applyFont="1" applyFill="1" applyBorder="1" applyAlignment="1">
      <alignment horizontal="center"/>
    </xf>
    <xf numFmtId="0" fontId="3" fillId="3" borderId="27" xfId="0" applyFont="1" applyFill="1" applyBorder="1" applyAlignment="1">
      <alignment horizontal="center"/>
    </xf>
    <xf numFmtId="0" fontId="3" fillId="0" borderId="2" xfId="0" applyFont="1" applyBorder="1" applyAlignment="1">
      <alignment horizontal="center"/>
    </xf>
    <xf numFmtId="0" fontId="3" fillId="0" borderId="52" xfId="0" applyFont="1" applyBorder="1" applyAlignment="1">
      <alignment horizontal="center"/>
    </xf>
    <xf numFmtId="0" fontId="3" fillId="0" borderId="55" xfId="0" applyFont="1" applyBorder="1" applyAlignment="1">
      <alignment horizontal="center"/>
    </xf>
    <xf numFmtId="0" fontId="3" fillId="0" borderId="62" xfId="0" applyFont="1" applyBorder="1" applyAlignment="1">
      <alignment horizontal="center"/>
    </xf>
    <xf numFmtId="0" fontId="3" fillId="0" borderId="40" xfId="0" applyFont="1" applyBorder="1" applyAlignment="1">
      <alignment horizontal="center"/>
    </xf>
    <xf numFmtId="0" fontId="3" fillId="0" borderId="54" xfId="0" applyFont="1" applyBorder="1" applyAlignment="1">
      <alignment horizontal="center"/>
    </xf>
    <xf numFmtId="0" fontId="8" fillId="0" borderId="40" xfId="0" applyFont="1" applyBorder="1" applyAlignment="1">
      <alignment horizontal="right"/>
    </xf>
    <xf numFmtId="0" fontId="8" fillId="0" borderId="41" xfId="0" applyFont="1" applyBorder="1" applyAlignment="1">
      <alignment horizontal="right"/>
    </xf>
    <xf numFmtId="0" fontId="8" fillId="0" borderId="96" xfId="0" applyFont="1" applyBorder="1" applyAlignment="1">
      <alignment horizontal="right"/>
    </xf>
    <xf numFmtId="165" fontId="3" fillId="0" borderId="49" xfId="3" applyNumberFormat="1" applyFont="1" applyFill="1" applyBorder="1" applyAlignment="1">
      <alignment horizontal="left" vertical="center"/>
    </xf>
    <xf numFmtId="165" fontId="3" fillId="0" borderId="13" xfId="3" applyNumberFormat="1" applyFont="1" applyFill="1" applyBorder="1" applyAlignment="1">
      <alignment horizontal="left" vertical="center"/>
    </xf>
    <xf numFmtId="165" fontId="3" fillId="0" borderId="43" xfId="3" applyNumberFormat="1" applyFont="1" applyFill="1" applyBorder="1" applyAlignment="1">
      <alignment horizontal="left" vertical="center"/>
    </xf>
    <xf numFmtId="0" fontId="3" fillId="0" borderId="41" xfId="0" applyFont="1" applyBorder="1" applyAlignment="1">
      <alignment horizontal="right"/>
    </xf>
    <xf numFmtId="165" fontId="3" fillId="0" borderId="53" xfId="3" applyNumberFormat="1" applyFont="1" applyBorder="1" applyAlignment="1">
      <alignment horizontal="left" vertical="center"/>
    </xf>
    <xf numFmtId="165" fontId="3" fillId="0" borderId="41" xfId="3" applyNumberFormat="1" applyFont="1" applyBorder="1" applyAlignment="1">
      <alignment horizontal="left" vertical="center"/>
    </xf>
    <xf numFmtId="165" fontId="3" fillId="0" borderId="44" xfId="3" applyNumberFormat="1" applyFont="1" applyBorder="1" applyAlignment="1">
      <alignment horizontal="left" vertical="center"/>
    </xf>
    <xf numFmtId="165" fontId="3" fillId="0" borderId="45" xfId="3" applyNumberFormat="1" applyFont="1" applyFill="1" applyBorder="1" applyAlignment="1">
      <alignment horizontal="left" vertical="center"/>
    </xf>
    <xf numFmtId="165" fontId="3" fillId="0" borderId="33" xfId="3" applyNumberFormat="1" applyFont="1" applyFill="1" applyBorder="1" applyAlignment="1">
      <alignment horizontal="left" vertical="center"/>
    </xf>
    <xf numFmtId="165" fontId="3" fillId="0" borderId="46" xfId="3" applyNumberFormat="1" applyFont="1" applyFill="1" applyBorder="1" applyAlignment="1">
      <alignment horizontal="left" vertical="center"/>
    </xf>
    <xf numFmtId="0" fontId="9" fillId="2" borderId="4" xfId="0" applyFont="1" applyFill="1" applyBorder="1" applyAlignment="1">
      <alignment horizontal="center" vertical="center" wrapText="1"/>
    </xf>
    <xf numFmtId="0" fontId="3" fillId="0" borderId="2" xfId="0" applyFont="1" applyBorder="1" applyAlignment="1">
      <alignment horizontal="right"/>
    </xf>
    <xf numFmtId="0" fontId="3" fillId="0" borderId="3" xfId="0" applyFont="1" applyBorder="1" applyAlignment="1">
      <alignment horizontal="right"/>
    </xf>
    <xf numFmtId="165" fontId="3" fillId="0" borderId="37" xfId="3" applyNumberFormat="1" applyFont="1" applyFill="1" applyBorder="1" applyAlignment="1">
      <alignment horizontal="left" vertical="center"/>
    </xf>
    <xf numFmtId="165" fontId="3" fillId="0" borderId="3" xfId="3" applyNumberFormat="1" applyFont="1" applyFill="1" applyBorder="1" applyAlignment="1">
      <alignment horizontal="left" vertical="center"/>
    </xf>
    <xf numFmtId="165" fontId="3" fillId="0" borderId="4" xfId="3" applyNumberFormat="1" applyFont="1" applyFill="1" applyBorder="1" applyAlignment="1">
      <alignment horizontal="left" vertical="center"/>
    </xf>
    <xf numFmtId="0" fontId="8" fillId="0" borderId="88" xfId="0" applyFont="1" applyBorder="1" applyAlignment="1">
      <alignment horizontal="right"/>
    </xf>
    <xf numFmtId="165" fontId="3" fillId="0" borderId="53" xfId="3" applyNumberFormat="1" applyFont="1" applyFill="1" applyBorder="1" applyAlignment="1">
      <alignment horizontal="left" vertical="center"/>
    </xf>
    <xf numFmtId="165" fontId="3" fillId="0" borderId="41" xfId="3" applyNumberFormat="1" applyFont="1" applyFill="1" applyBorder="1" applyAlignment="1">
      <alignment horizontal="left" vertical="center"/>
    </xf>
    <xf numFmtId="165" fontId="3" fillId="0" borderId="44" xfId="3" applyNumberFormat="1" applyFont="1" applyFill="1" applyBorder="1" applyAlignment="1">
      <alignment horizontal="left" vertical="center"/>
    </xf>
    <xf numFmtId="165" fontId="3" fillId="0" borderId="25" xfId="3" applyNumberFormat="1" applyFont="1" applyFill="1" applyBorder="1" applyAlignment="1">
      <alignment horizontal="left" vertical="center"/>
    </xf>
    <xf numFmtId="165" fontId="3" fillId="0" borderId="10" xfId="3" applyNumberFormat="1" applyFont="1" applyFill="1" applyBorder="1" applyAlignment="1">
      <alignment horizontal="left" vertical="center"/>
    </xf>
    <xf numFmtId="165" fontId="3" fillId="0" borderId="42" xfId="3" applyNumberFormat="1" applyFont="1" applyFill="1" applyBorder="1" applyAlignment="1">
      <alignment horizontal="left" vertical="center"/>
    </xf>
    <xf numFmtId="44" fontId="3" fillId="12" borderId="3" xfId="0" applyNumberFormat="1" applyFont="1" applyFill="1" applyBorder="1" applyAlignment="1">
      <alignment horizontal="center" vertical="center" wrapText="1"/>
    </xf>
    <xf numFmtId="44" fontId="3" fillId="12" borderId="0" xfId="0" applyNumberFormat="1" applyFont="1" applyFill="1" applyAlignment="1">
      <alignment horizontal="center" vertical="center" wrapText="1"/>
    </xf>
    <xf numFmtId="44" fontId="3" fillId="12" borderId="33" xfId="0" applyNumberFormat="1" applyFont="1" applyFill="1" applyBorder="1" applyAlignment="1">
      <alignment horizontal="center" vertical="center" wrapText="1"/>
    </xf>
    <xf numFmtId="0" fontId="3" fillId="3" borderId="77" xfId="0" applyFont="1" applyFill="1" applyBorder="1" applyAlignment="1">
      <alignment horizontal="left"/>
    </xf>
    <xf numFmtId="0" fontId="3" fillId="3" borderId="78" xfId="0" applyFont="1" applyFill="1" applyBorder="1" applyAlignment="1">
      <alignment horizontal="left"/>
    </xf>
    <xf numFmtId="0" fontId="3" fillId="3" borderId="79" xfId="0" applyFont="1" applyFill="1" applyBorder="1" applyAlignment="1">
      <alignment horizontal="left"/>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8" fillId="8" borderId="9"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42" xfId="0" applyFont="1" applyFill="1" applyBorder="1" applyAlignment="1">
      <alignment horizontal="center" vertical="center"/>
    </xf>
    <xf numFmtId="0" fontId="8" fillId="8" borderId="47"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46" xfId="0" applyFont="1" applyFill="1" applyBorder="1" applyAlignment="1">
      <alignment horizontal="center" vertical="center"/>
    </xf>
    <xf numFmtId="0" fontId="3" fillId="3" borderId="119" xfId="0" applyFont="1" applyFill="1" applyBorder="1" applyAlignment="1">
      <alignment horizontal="center" vertical="center"/>
    </xf>
    <xf numFmtId="0" fontId="3" fillId="3" borderId="117" xfId="0" applyFont="1" applyFill="1" applyBorder="1" applyAlignment="1">
      <alignment horizontal="center" vertical="center"/>
    </xf>
    <xf numFmtId="0" fontId="3" fillId="3" borderId="2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4" xfId="0" applyFont="1" applyFill="1" applyBorder="1" applyAlignment="1">
      <alignment horizontal="center" vertical="center"/>
    </xf>
    <xf numFmtId="0" fontId="3" fillId="0" borderId="5" xfId="0" applyFont="1" applyBorder="1" applyAlignment="1">
      <alignment horizontal="right"/>
    </xf>
    <xf numFmtId="0" fontId="3" fillId="0" borderId="6" xfId="0" applyFont="1" applyBorder="1" applyAlignment="1">
      <alignment horizontal="right"/>
    </xf>
    <xf numFmtId="0" fontId="3" fillId="0" borderId="27" xfId="0" applyFont="1" applyBorder="1" applyAlignment="1">
      <alignment horizontal="right"/>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4"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0" xfId="0" applyFont="1" applyAlignment="1">
      <alignment horizontal="left" vertical="center" wrapText="1"/>
    </xf>
    <xf numFmtId="0" fontId="3" fillId="0" borderId="39" xfId="0" applyFont="1" applyBorder="1" applyAlignment="1">
      <alignment horizontal="left" vertical="center" wrapText="1"/>
    </xf>
    <xf numFmtId="0" fontId="3" fillId="0" borderId="45" xfId="0" applyFont="1" applyBorder="1" applyAlignment="1">
      <alignment horizontal="left" vertical="center" wrapText="1"/>
    </xf>
    <xf numFmtId="0" fontId="3" fillId="0" borderId="49" xfId="0" applyFont="1" applyBorder="1" applyAlignment="1">
      <alignment horizontal="left" vertical="center" wrapText="1"/>
    </xf>
    <xf numFmtId="0" fontId="3" fillId="0" borderId="43" xfId="0" applyFont="1" applyBorder="1" applyAlignment="1">
      <alignment horizontal="left" vertical="center" wrapText="1"/>
    </xf>
    <xf numFmtId="0" fontId="8" fillId="0" borderId="49" xfId="0" applyFont="1" applyBorder="1" applyAlignment="1">
      <alignment horizontal="left" vertical="center" wrapText="1"/>
    </xf>
    <xf numFmtId="0" fontId="8" fillId="0" borderId="13" xfId="0" applyFont="1" applyBorder="1" applyAlignment="1">
      <alignment horizontal="left" vertical="center" wrapText="1"/>
    </xf>
    <xf numFmtId="0" fontId="8" fillId="0" borderId="43" xfId="0" applyFont="1" applyBorder="1" applyAlignment="1">
      <alignment horizontal="left" vertical="center" wrapText="1"/>
    </xf>
    <xf numFmtId="0" fontId="8" fillId="0" borderId="50" xfId="0" applyFont="1" applyBorder="1" applyAlignment="1">
      <alignment horizontal="left" vertical="center" wrapText="1"/>
    </xf>
    <xf numFmtId="0" fontId="8" fillId="0" borderId="31" xfId="0" applyFont="1" applyBorder="1" applyAlignment="1">
      <alignment horizontal="left" vertical="center" wrapText="1"/>
    </xf>
    <xf numFmtId="0" fontId="8" fillId="0" borderId="48" xfId="0" applyFont="1" applyBorder="1" applyAlignment="1">
      <alignment horizontal="left" vertical="center" wrapText="1"/>
    </xf>
    <xf numFmtId="0" fontId="8" fillId="0" borderId="30" xfId="0" applyFont="1" applyBorder="1" applyAlignment="1">
      <alignment horizontal="right"/>
    </xf>
    <xf numFmtId="0" fontId="8" fillId="0" borderId="31" xfId="0" applyFont="1" applyBorder="1" applyAlignment="1">
      <alignment horizontal="right"/>
    </xf>
    <xf numFmtId="0" fontId="8" fillId="0" borderId="32" xfId="0" applyFont="1" applyBorder="1" applyAlignment="1">
      <alignment horizontal="right"/>
    </xf>
    <xf numFmtId="0" fontId="8" fillId="0" borderId="12" xfId="0" applyFont="1" applyBorder="1" applyAlignment="1">
      <alignment horizontal="right"/>
    </xf>
    <xf numFmtId="0" fontId="8" fillId="0" borderId="13" xfId="0" applyFont="1" applyBorder="1" applyAlignment="1">
      <alignment horizontal="right"/>
    </xf>
    <xf numFmtId="0" fontId="8" fillId="0" borderId="29" xfId="0" applyFont="1" applyBorder="1" applyAlignment="1">
      <alignment horizontal="right"/>
    </xf>
    <xf numFmtId="0" fontId="3" fillId="0" borderId="9" xfId="0" applyFont="1" applyBorder="1" applyAlignment="1">
      <alignment horizontal="center"/>
    </xf>
    <xf numFmtId="0" fontId="3" fillId="0" borderId="26" xfId="0" applyFont="1" applyBorder="1" applyAlignment="1">
      <alignment horizontal="center"/>
    </xf>
    <xf numFmtId="0" fontId="3" fillId="0" borderId="12" xfId="0" applyFont="1" applyBorder="1" applyAlignment="1">
      <alignment horizontal="center"/>
    </xf>
    <xf numFmtId="0" fontId="3" fillId="0" borderId="29" xfId="0" applyFont="1" applyBorder="1" applyAlignment="1">
      <alignment horizontal="center"/>
    </xf>
    <xf numFmtId="0" fontId="3" fillId="0" borderId="9" xfId="0" applyFont="1" applyBorder="1" applyAlignment="1">
      <alignment horizontal="left"/>
    </xf>
    <xf numFmtId="0" fontId="3" fillId="0" borderId="10" xfId="0" applyFont="1" applyBorder="1" applyAlignment="1">
      <alignment horizontal="left"/>
    </xf>
    <xf numFmtId="0" fontId="3" fillId="0" borderId="42"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3" fillId="0" borderId="44" xfId="0" applyFont="1" applyBorder="1" applyAlignment="1">
      <alignment horizontal="left"/>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3" fillId="0" borderId="30" xfId="0" applyFont="1" applyBorder="1" applyAlignment="1">
      <alignment horizontal="center"/>
    </xf>
    <xf numFmtId="0" fontId="3" fillId="0" borderId="32" xfId="0" applyFont="1" applyBorder="1" applyAlignment="1">
      <alignment horizontal="center"/>
    </xf>
    <xf numFmtId="0" fontId="3" fillId="0" borderId="47" xfId="0" applyFont="1" applyBorder="1" applyAlignment="1">
      <alignment horizontal="left"/>
    </xf>
    <xf numFmtId="0" fontId="3" fillId="0" borderId="33" xfId="0" applyFont="1" applyBorder="1" applyAlignment="1">
      <alignment horizontal="left"/>
    </xf>
    <xf numFmtId="0" fontId="3" fillId="0" borderId="46" xfId="0" applyFont="1" applyBorder="1" applyAlignment="1">
      <alignment horizontal="left"/>
    </xf>
    <xf numFmtId="0" fontId="3" fillId="0" borderId="67" xfId="0" applyFont="1" applyBorder="1" applyAlignment="1">
      <alignment horizontal="center"/>
    </xf>
    <xf numFmtId="0" fontId="3" fillId="0" borderId="68" xfId="0" applyFont="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cellXfs>
  <cellStyles count="6">
    <cellStyle name="Comma" xfId="2" builtinId="3"/>
    <cellStyle name="Currency" xfId="1" builtinId="4"/>
    <cellStyle name="Normal" xfId="0" builtinId="0"/>
    <cellStyle name="Normal 2" xfId="4" xr:uid="{91F5739F-040F-47D8-8557-DBA7BEF33242}"/>
    <cellStyle name="Normal 3" xfId="5" xr:uid="{DF616633-4D91-4B8B-8DF9-187C13A5FE14}"/>
    <cellStyle name="Percent" xfId="3" builtinId="5"/>
  </cellStyles>
  <dxfs count="0"/>
  <tableStyles count="0" defaultTableStyle="TableStyleMedium2" defaultPivotStyle="PivotStyleLight16"/>
  <colors>
    <mruColors>
      <color rgb="FFE575FF"/>
      <color rgb="FFFBA597"/>
      <color rgb="FFC0C0C0"/>
      <color rgb="FFF98673"/>
      <color rgb="FFFF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37</xdr:col>
      <xdr:colOff>590550</xdr:colOff>
      <xdr:row>0</xdr:row>
      <xdr:rowOff>171450</xdr:rowOff>
    </xdr:from>
    <xdr:to>
      <xdr:col>54</xdr:col>
      <xdr:colOff>19053</xdr:colOff>
      <xdr:row>11</xdr:row>
      <xdr:rowOff>47625</xdr:rowOff>
    </xdr:to>
    <xdr:pic>
      <xdr:nvPicPr>
        <xdr:cNvPr id="7" name="Picture 6">
          <a:extLst>
            <a:ext uri="{FF2B5EF4-FFF2-40B4-BE49-F238E27FC236}">
              <a16:creationId xmlns:a16="http://schemas.microsoft.com/office/drawing/2014/main" id="{3774C420-D072-25AC-706F-A7377960BEB4}"/>
            </a:ext>
          </a:extLst>
        </xdr:cNvPr>
        <xdr:cNvPicPr>
          <a:picLocks noChangeAspect="1"/>
        </xdr:cNvPicPr>
      </xdr:nvPicPr>
      <xdr:blipFill>
        <a:blip xmlns:r="http://schemas.openxmlformats.org/officeDocument/2006/relationships" r:embed="rId1"/>
        <a:stretch>
          <a:fillRect/>
        </a:stretch>
      </xdr:blipFill>
      <xdr:spPr>
        <a:xfrm>
          <a:off x="8515350" y="171450"/>
          <a:ext cx="9791700" cy="2447925"/>
        </a:xfrm>
        <a:prstGeom prst="rect">
          <a:avLst/>
        </a:prstGeom>
      </xdr:spPr>
    </xdr:pic>
    <xdr:clientData/>
  </xdr:twoCellAnchor>
  <xdr:twoCellAnchor editAs="oneCell">
    <xdr:from>
      <xdr:col>38</xdr:col>
      <xdr:colOff>28575</xdr:colOff>
      <xdr:row>10</xdr:row>
      <xdr:rowOff>133350</xdr:rowOff>
    </xdr:from>
    <xdr:to>
      <xdr:col>49</xdr:col>
      <xdr:colOff>285751</xdr:colOff>
      <xdr:row>35</xdr:row>
      <xdr:rowOff>106821</xdr:rowOff>
    </xdr:to>
    <xdr:pic>
      <xdr:nvPicPr>
        <xdr:cNvPr id="11" name="Picture 10">
          <a:extLst>
            <a:ext uri="{FF2B5EF4-FFF2-40B4-BE49-F238E27FC236}">
              <a16:creationId xmlns:a16="http://schemas.microsoft.com/office/drawing/2014/main" id="{D1B551AD-711C-1502-6777-B3CDF5378EFC}"/>
            </a:ext>
            <a:ext uri="{147F2762-F138-4A5C-976F-8EAC2B608ADB}">
              <a16:predDERef xmlns:a16="http://schemas.microsoft.com/office/drawing/2014/main" pred="{3774C420-D072-25AC-706F-A7377960BEB4}"/>
            </a:ext>
          </a:extLst>
        </xdr:cNvPr>
        <xdr:cNvPicPr>
          <a:picLocks noChangeAspect="1"/>
        </xdr:cNvPicPr>
      </xdr:nvPicPr>
      <xdr:blipFill>
        <a:blip xmlns:r="http://schemas.openxmlformats.org/officeDocument/2006/relationships" r:embed="rId2"/>
        <a:stretch>
          <a:fillRect/>
        </a:stretch>
      </xdr:blipFill>
      <xdr:spPr>
        <a:xfrm>
          <a:off x="8562975" y="2228850"/>
          <a:ext cx="6962775" cy="6572250"/>
        </a:xfrm>
        <a:prstGeom prst="rect">
          <a:avLst/>
        </a:prstGeom>
      </xdr:spPr>
    </xdr:pic>
    <xdr:clientData/>
  </xdr:twoCellAnchor>
  <xdr:twoCellAnchor>
    <xdr:from>
      <xdr:col>48</xdr:col>
      <xdr:colOff>428625</xdr:colOff>
      <xdr:row>6</xdr:row>
      <xdr:rowOff>200025</xdr:rowOff>
    </xdr:from>
    <xdr:to>
      <xdr:col>51</xdr:col>
      <xdr:colOff>47625</xdr:colOff>
      <xdr:row>10</xdr:row>
      <xdr:rowOff>85725</xdr:rowOff>
    </xdr:to>
    <xdr:sp macro="" textlink="">
      <xdr:nvSpPr>
        <xdr:cNvPr id="17" name="Rounded Rectangle 16">
          <a:extLst>
            <a:ext uri="{FF2B5EF4-FFF2-40B4-BE49-F238E27FC236}">
              <a16:creationId xmlns:a16="http://schemas.microsoft.com/office/drawing/2014/main" id="{B22D16BC-D390-5C25-F78C-58CD7A8FC19E}"/>
            </a:ext>
            <a:ext uri="{147F2762-F138-4A5C-976F-8EAC2B608ADB}">
              <a16:predDERef xmlns:a16="http://schemas.microsoft.com/office/drawing/2014/main" pred="{C31C61DC-A4E1-4159-85CE-4785F94BFFCB}"/>
            </a:ext>
          </a:extLst>
        </xdr:cNvPr>
        <xdr:cNvSpPr/>
      </xdr:nvSpPr>
      <xdr:spPr>
        <a:xfrm>
          <a:off x="15059025" y="1457325"/>
          <a:ext cx="1447800" cy="7239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50</xdr:col>
      <xdr:colOff>447675</xdr:colOff>
      <xdr:row>0</xdr:row>
      <xdr:rowOff>104775</xdr:rowOff>
    </xdr:from>
    <xdr:to>
      <xdr:col>53</xdr:col>
      <xdr:colOff>66675</xdr:colOff>
      <xdr:row>3</xdr:row>
      <xdr:rowOff>200025</xdr:rowOff>
    </xdr:to>
    <xdr:sp macro="" textlink="">
      <xdr:nvSpPr>
        <xdr:cNvPr id="19" name="Rounded Rectangle 18">
          <a:extLst>
            <a:ext uri="{FF2B5EF4-FFF2-40B4-BE49-F238E27FC236}">
              <a16:creationId xmlns:a16="http://schemas.microsoft.com/office/drawing/2014/main" id="{D2660A66-037F-402E-AF0B-10DFE4C3B88B}"/>
            </a:ext>
            <a:ext uri="{147F2762-F138-4A5C-976F-8EAC2B608ADB}">
              <a16:predDERef xmlns:a16="http://schemas.microsoft.com/office/drawing/2014/main" pred="{B22D16BC-D390-5C25-F78C-58CD7A8FC19E}"/>
            </a:ext>
          </a:extLst>
        </xdr:cNvPr>
        <xdr:cNvSpPr/>
      </xdr:nvSpPr>
      <xdr:spPr>
        <a:xfrm>
          <a:off x="16297275" y="104775"/>
          <a:ext cx="1447800" cy="7239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51</xdr:col>
      <xdr:colOff>533400</xdr:colOff>
      <xdr:row>3</xdr:row>
      <xdr:rowOff>200025</xdr:rowOff>
    </xdr:from>
    <xdr:to>
      <xdr:col>52</xdr:col>
      <xdr:colOff>323850</xdr:colOff>
      <xdr:row>6</xdr:row>
      <xdr:rowOff>171450</xdr:rowOff>
    </xdr:to>
    <xdr:cxnSp macro="">
      <xdr:nvCxnSpPr>
        <xdr:cNvPr id="21" name="Straight Connector 20">
          <a:extLst>
            <a:ext uri="{FF2B5EF4-FFF2-40B4-BE49-F238E27FC236}">
              <a16:creationId xmlns:a16="http://schemas.microsoft.com/office/drawing/2014/main" id="{75EB7D42-1B6B-C3AF-573F-B1540D5CFCD0}"/>
            </a:ext>
            <a:ext uri="{147F2762-F138-4A5C-976F-8EAC2B608ADB}">
              <a16:predDERef xmlns:a16="http://schemas.microsoft.com/office/drawing/2014/main" pred="{D2660A66-037F-402E-AF0B-10DFE4C3B88B}"/>
            </a:ext>
          </a:extLst>
        </xdr:cNvPr>
        <xdr:cNvCxnSpPr>
          <a:cxnSpLocks/>
        </xdr:cNvCxnSpPr>
      </xdr:nvCxnSpPr>
      <xdr:spPr>
        <a:xfrm>
          <a:off x="16992600" y="828675"/>
          <a:ext cx="400050" cy="600075"/>
        </a:xfrm>
        <a:prstGeom prst="line">
          <a:avLst/>
        </a:prstGeom>
        <a:ln w="12700">
          <a:solidFill>
            <a:srgbClr val="FF0000"/>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47625</xdr:colOff>
      <xdr:row>7</xdr:row>
      <xdr:rowOff>133350</xdr:rowOff>
    </xdr:from>
    <xdr:to>
      <xdr:col>52</xdr:col>
      <xdr:colOff>352425</xdr:colOff>
      <xdr:row>8</xdr:row>
      <xdr:rowOff>142875</xdr:rowOff>
    </xdr:to>
    <xdr:cxnSp macro="">
      <xdr:nvCxnSpPr>
        <xdr:cNvPr id="22" name="Straight Connector 21">
          <a:extLst>
            <a:ext uri="{FF2B5EF4-FFF2-40B4-BE49-F238E27FC236}">
              <a16:creationId xmlns:a16="http://schemas.microsoft.com/office/drawing/2014/main" id="{A9D93110-C09A-4FD3-9888-3AE816DAB9F2}"/>
            </a:ext>
            <a:ext uri="{147F2762-F138-4A5C-976F-8EAC2B608ADB}">
              <a16:predDERef xmlns:a16="http://schemas.microsoft.com/office/drawing/2014/main" pred="{75EB7D42-1B6B-C3AF-573F-B1540D5CFCD0}"/>
            </a:ext>
          </a:extLst>
        </xdr:cNvPr>
        <xdr:cNvCxnSpPr>
          <a:cxnSpLocks/>
          <a:stCxn id="17" idx="3"/>
          <a:extLst>
            <a:ext uri="{5F17804C-33F3-41E3-A699-7DCFA2EF7971}">
              <a16:cxnDERefs xmlns:a16="http://schemas.microsoft.com/office/drawing/2014/main" st="{B22D16BC-D390-5C25-F78C-58CD7A8FC19E}" end="{00000000-0000-0000-0000-000000000000}"/>
            </a:ext>
          </a:extLst>
        </xdr:cNvCxnSpPr>
      </xdr:nvCxnSpPr>
      <xdr:spPr>
        <a:xfrm flipV="1">
          <a:off x="16506825" y="1600200"/>
          <a:ext cx="914400" cy="219075"/>
        </a:xfrm>
        <a:prstGeom prst="line">
          <a:avLst/>
        </a:prstGeom>
        <a:ln w="12700">
          <a:solidFill>
            <a:srgbClr val="FF0000"/>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257175</xdr:colOff>
      <xdr:row>6</xdr:row>
      <xdr:rowOff>85725</xdr:rowOff>
    </xdr:from>
    <xdr:to>
      <xdr:col>54</xdr:col>
      <xdr:colOff>0</xdr:colOff>
      <xdr:row>9</xdr:row>
      <xdr:rowOff>85725</xdr:rowOff>
    </xdr:to>
    <xdr:sp macro="" textlink="">
      <xdr:nvSpPr>
        <xdr:cNvPr id="24" name="TextBox 23">
          <a:extLst>
            <a:ext uri="{FF2B5EF4-FFF2-40B4-BE49-F238E27FC236}">
              <a16:creationId xmlns:a16="http://schemas.microsoft.com/office/drawing/2014/main" id="{58116151-B92F-5AA7-8F3A-DC8B650875E7}"/>
            </a:ext>
            <a:ext uri="{147F2762-F138-4A5C-976F-8EAC2B608ADB}">
              <a16:predDERef xmlns:a16="http://schemas.microsoft.com/office/drawing/2014/main" pred="{A9D93110-C09A-4FD3-9888-3AE816DAB9F2}"/>
            </a:ext>
          </a:extLst>
        </xdr:cNvPr>
        <xdr:cNvSpPr txBox="1"/>
      </xdr:nvSpPr>
      <xdr:spPr>
        <a:xfrm>
          <a:off x="16716375" y="1343025"/>
          <a:ext cx="1571625" cy="628650"/>
        </a:xfrm>
        <a:prstGeom prst="rect">
          <a:avLst/>
        </a:prstGeom>
        <a:solidFill>
          <a:srgbClr val="FFFFFF"/>
        </a:solidFill>
        <a:ln w="9525" cmpd="sng">
          <a:noFill/>
        </a:ln>
      </xdr:spPr>
      <xdr:txBody>
        <a:bodyPr spcFirstLastPara="0" vertOverflow="clip" horzOverflow="clip" wrap="square" lIns="91440" tIns="45720" rIns="91440" bIns="45720" rtlCol="0" anchor="t">
          <a:noAutofit/>
        </a:bodyPr>
        <a:lstStyle/>
        <a:p>
          <a:pPr marL="0" indent="0" algn="l"/>
          <a:r>
            <a:rPr lang="en-US" sz="1200">
              <a:solidFill>
                <a:srgbClr val="FF0000"/>
              </a:solidFill>
              <a:latin typeface="+mn-lt"/>
              <a:ea typeface="+mn-lt"/>
              <a:cs typeface="+mn-lt"/>
            </a:rPr>
            <a:t>Handled in individual tab calculations</a:t>
          </a:r>
        </a:p>
      </xdr:txBody>
    </xdr:sp>
    <xdr:clientData/>
  </xdr:twoCellAnchor>
  <xdr:twoCellAnchor>
    <xdr:from>
      <xdr:col>48</xdr:col>
      <xdr:colOff>257175</xdr:colOff>
      <xdr:row>1</xdr:row>
      <xdr:rowOff>19050</xdr:rowOff>
    </xdr:from>
    <xdr:to>
      <xdr:col>49</xdr:col>
      <xdr:colOff>323850</xdr:colOff>
      <xdr:row>3</xdr:row>
      <xdr:rowOff>57150</xdr:rowOff>
    </xdr:to>
    <xdr:sp macro="" textlink="">
      <xdr:nvSpPr>
        <xdr:cNvPr id="26" name="Rounded Rectangle 25">
          <a:extLst>
            <a:ext uri="{FF2B5EF4-FFF2-40B4-BE49-F238E27FC236}">
              <a16:creationId xmlns:a16="http://schemas.microsoft.com/office/drawing/2014/main" id="{9071BDFD-989E-4089-932A-E4369D0C09AC}"/>
            </a:ext>
            <a:ext uri="{147F2762-F138-4A5C-976F-8EAC2B608ADB}">
              <a16:predDERef xmlns:a16="http://schemas.microsoft.com/office/drawing/2014/main" pred="{58116151-B92F-5AA7-8F3A-DC8B650875E7}"/>
            </a:ext>
          </a:extLst>
        </xdr:cNvPr>
        <xdr:cNvSpPr/>
      </xdr:nvSpPr>
      <xdr:spPr>
        <a:xfrm>
          <a:off x="14887575" y="228600"/>
          <a:ext cx="676275" cy="457200"/>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48</xdr:col>
      <xdr:colOff>581025</xdr:colOff>
      <xdr:row>3</xdr:row>
      <xdr:rowOff>57150</xdr:rowOff>
    </xdr:from>
    <xdr:to>
      <xdr:col>48</xdr:col>
      <xdr:colOff>581025</xdr:colOff>
      <xdr:row>5</xdr:row>
      <xdr:rowOff>38100</xdr:rowOff>
    </xdr:to>
    <xdr:cxnSp macro="">
      <xdr:nvCxnSpPr>
        <xdr:cNvPr id="27" name="Straight Connector 26">
          <a:extLst>
            <a:ext uri="{FF2B5EF4-FFF2-40B4-BE49-F238E27FC236}">
              <a16:creationId xmlns:a16="http://schemas.microsoft.com/office/drawing/2014/main" id="{E25D08F8-D037-4F0A-AF72-B3441020BA7B}"/>
            </a:ext>
            <a:ext uri="{147F2762-F138-4A5C-976F-8EAC2B608ADB}">
              <a16:predDERef xmlns:a16="http://schemas.microsoft.com/office/drawing/2014/main" pred="{9071BDFD-989E-4089-932A-E4369D0C09AC}"/>
            </a:ext>
          </a:extLst>
        </xdr:cNvPr>
        <xdr:cNvCxnSpPr>
          <a:cxnSpLocks/>
          <a:extLst>
            <a:ext uri="{5F17804C-33F3-41E3-A699-7DCFA2EF7971}">
              <a16:cxnDERefs xmlns:a16="http://schemas.microsoft.com/office/drawing/2014/main" st="{00000000-0000-0000-0000-000000000000}" end="{9071BDFD-989E-4089-932A-E4369D0C09AC}"/>
            </a:ext>
          </a:extLst>
        </xdr:cNvCxnSpPr>
      </xdr:nvCxnSpPr>
      <xdr:spPr>
        <a:xfrm>
          <a:off x="15211425" y="685800"/>
          <a:ext cx="0" cy="400050"/>
        </a:xfrm>
        <a:prstGeom prst="line">
          <a:avLst/>
        </a:prstGeom>
        <a:ln w="12700">
          <a:solidFill>
            <a:srgbClr val="00B0F0"/>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9525</xdr:colOff>
      <xdr:row>4</xdr:row>
      <xdr:rowOff>9525</xdr:rowOff>
    </xdr:from>
    <xdr:to>
      <xdr:col>50</xdr:col>
      <xdr:colOff>361950</xdr:colOff>
      <xdr:row>6</xdr:row>
      <xdr:rowOff>114300</xdr:rowOff>
    </xdr:to>
    <xdr:sp macro="" textlink="">
      <xdr:nvSpPr>
        <xdr:cNvPr id="28" name="TextBox 27">
          <a:extLst>
            <a:ext uri="{FF2B5EF4-FFF2-40B4-BE49-F238E27FC236}">
              <a16:creationId xmlns:a16="http://schemas.microsoft.com/office/drawing/2014/main" id="{AD4666D3-B3E5-4DF2-928A-40DBD155A905}"/>
            </a:ext>
            <a:ext uri="{147F2762-F138-4A5C-976F-8EAC2B608ADB}">
              <a16:predDERef xmlns:a16="http://schemas.microsoft.com/office/drawing/2014/main" pred="{E25D08F8-D037-4F0A-AF72-B3441020BA7B}"/>
            </a:ext>
          </a:extLst>
        </xdr:cNvPr>
        <xdr:cNvSpPr txBox="1"/>
      </xdr:nvSpPr>
      <xdr:spPr>
        <a:xfrm>
          <a:off x="14639925" y="847725"/>
          <a:ext cx="1571625" cy="523875"/>
        </a:xfrm>
        <a:prstGeom prst="rect">
          <a:avLst/>
        </a:prstGeom>
        <a:solidFill>
          <a:srgbClr val="FFFFFF"/>
        </a:solid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200">
              <a:solidFill>
                <a:srgbClr val="00B0F0"/>
              </a:solidFill>
              <a:latin typeface="+mn-lt"/>
              <a:ea typeface="+mn-lt"/>
              <a:cs typeface="+mn-lt"/>
            </a:rPr>
            <a:t>Handled in individual tab calculations</a:t>
          </a:r>
        </a:p>
      </xdr:txBody>
    </xdr:sp>
    <xdr:clientData/>
  </xdr:twoCellAnchor>
  <xdr:twoCellAnchor>
    <xdr:from>
      <xdr:col>37</xdr:col>
      <xdr:colOff>419100</xdr:colOff>
      <xdr:row>0</xdr:row>
      <xdr:rowOff>19050</xdr:rowOff>
    </xdr:from>
    <xdr:to>
      <xdr:col>54</xdr:col>
      <xdr:colOff>314325</xdr:colOff>
      <xdr:row>42</xdr:row>
      <xdr:rowOff>114300</xdr:rowOff>
    </xdr:to>
    <xdr:sp macro="" textlink="">
      <xdr:nvSpPr>
        <xdr:cNvPr id="9" name="Rounded Rectangle 8">
          <a:extLst>
            <a:ext uri="{FF2B5EF4-FFF2-40B4-BE49-F238E27FC236}">
              <a16:creationId xmlns:a16="http://schemas.microsoft.com/office/drawing/2014/main" id="{BAAF9BC7-5ED1-4458-81E6-59192D7CFE25}"/>
            </a:ext>
            <a:ext uri="{147F2762-F138-4A5C-976F-8EAC2B608ADB}">
              <a16:predDERef xmlns:a16="http://schemas.microsoft.com/office/drawing/2014/main" pred="{946BBFA9-C72C-46A2-AA57-749E24D9A9BB}"/>
            </a:ext>
          </a:extLst>
        </xdr:cNvPr>
        <xdr:cNvSpPr/>
      </xdr:nvSpPr>
      <xdr:spPr>
        <a:xfrm>
          <a:off x="8343900" y="19050"/>
          <a:ext cx="10258425" cy="89058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42</xdr:col>
      <xdr:colOff>209550</xdr:colOff>
      <xdr:row>20</xdr:row>
      <xdr:rowOff>142875</xdr:rowOff>
    </xdr:from>
    <xdr:to>
      <xdr:col>43</xdr:col>
      <xdr:colOff>552450</xdr:colOff>
      <xdr:row>25</xdr:row>
      <xdr:rowOff>47625</xdr:rowOff>
    </xdr:to>
    <xdr:cxnSp macro="">
      <xdr:nvCxnSpPr>
        <xdr:cNvPr id="10" name="Straight Connector 9">
          <a:extLst>
            <a:ext uri="{FF2B5EF4-FFF2-40B4-BE49-F238E27FC236}">
              <a16:creationId xmlns:a16="http://schemas.microsoft.com/office/drawing/2014/main" id="{192C1FBA-617A-2D5E-6DF8-1B1447F68A6E}"/>
            </a:ext>
            <a:ext uri="{147F2762-F138-4A5C-976F-8EAC2B608ADB}">
              <a16:predDERef xmlns:a16="http://schemas.microsoft.com/office/drawing/2014/main" pred="{BAAF9BC7-5ED1-4458-81E6-59192D7CFE25}"/>
            </a:ext>
          </a:extLst>
        </xdr:cNvPr>
        <xdr:cNvCxnSpPr/>
      </xdr:nvCxnSpPr>
      <xdr:spPr>
        <a:xfrm>
          <a:off x="11182350" y="4343400"/>
          <a:ext cx="952500" cy="952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400050</xdr:colOff>
      <xdr:row>21</xdr:row>
      <xdr:rowOff>123825</xdr:rowOff>
    </xdr:from>
    <xdr:to>
      <xdr:col>44</xdr:col>
      <xdr:colOff>133350</xdr:colOff>
      <xdr:row>26</xdr:row>
      <xdr:rowOff>28575</xdr:rowOff>
    </xdr:to>
    <xdr:cxnSp macro="">
      <xdr:nvCxnSpPr>
        <xdr:cNvPr id="12" name="Straight Connector 11">
          <a:extLst>
            <a:ext uri="{FF2B5EF4-FFF2-40B4-BE49-F238E27FC236}">
              <a16:creationId xmlns:a16="http://schemas.microsoft.com/office/drawing/2014/main" id="{31E2AC0B-AF10-0BCE-D2C2-1B998311AE68}"/>
            </a:ext>
            <a:ext uri="{147F2762-F138-4A5C-976F-8EAC2B608ADB}">
              <a16:predDERef xmlns:a16="http://schemas.microsoft.com/office/drawing/2014/main" pred="{192C1FBA-617A-2D5E-6DF8-1B1447F68A6E}"/>
            </a:ext>
          </a:extLst>
        </xdr:cNvPr>
        <xdr:cNvCxnSpPr/>
      </xdr:nvCxnSpPr>
      <xdr:spPr>
        <a:xfrm>
          <a:off x="11372850" y="4533900"/>
          <a:ext cx="952500" cy="952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323850</xdr:colOff>
      <xdr:row>2</xdr:row>
      <xdr:rowOff>38100</xdr:rowOff>
    </xdr:from>
    <xdr:to>
      <xdr:col>53</xdr:col>
      <xdr:colOff>323850</xdr:colOff>
      <xdr:row>40</xdr:row>
      <xdr:rowOff>161925</xdr:rowOff>
    </xdr:to>
    <xdr:cxnSp macro="">
      <xdr:nvCxnSpPr>
        <xdr:cNvPr id="14" name="Straight Connector 13">
          <a:extLst>
            <a:ext uri="{FF2B5EF4-FFF2-40B4-BE49-F238E27FC236}">
              <a16:creationId xmlns:a16="http://schemas.microsoft.com/office/drawing/2014/main" id="{6C9FC194-2A7E-41F0-B3C0-209479F86EE1}"/>
            </a:ext>
            <a:ext uri="{147F2762-F138-4A5C-976F-8EAC2B608ADB}">
              <a16:predDERef xmlns:a16="http://schemas.microsoft.com/office/drawing/2014/main" pred="{31E2AC0B-AF10-0BCE-D2C2-1B998311AE68}"/>
            </a:ext>
          </a:extLst>
        </xdr:cNvPr>
        <xdr:cNvCxnSpPr>
          <a:cxnSpLocks/>
        </xdr:cNvCxnSpPr>
      </xdr:nvCxnSpPr>
      <xdr:spPr>
        <a:xfrm>
          <a:off x="8858250" y="457200"/>
          <a:ext cx="9144000" cy="8096250"/>
        </a:xfrm>
        <a:prstGeom prst="line">
          <a:avLst/>
        </a:prstGeom>
        <a:ln w="12700">
          <a:solidFill>
            <a:srgbClr val="FF0000"/>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371475</xdr:colOff>
      <xdr:row>2</xdr:row>
      <xdr:rowOff>47625</xdr:rowOff>
    </xdr:from>
    <xdr:to>
      <xdr:col>53</xdr:col>
      <xdr:colOff>66675</xdr:colOff>
      <xdr:row>40</xdr:row>
      <xdr:rowOff>133350</xdr:rowOff>
    </xdr:to>
    <xdr:cxnSp macro="">
      <xdr:nvCxnSpPr>
        <xdr:cNvPr id="15" name="Straight Connector 14">
          <a:extLst>
            <a:ext uri="{FF2B5EF4-FFF2-40B4-BE49-F238E27FC236}">
              <a16:creationId xmlns:a16="http://schemas.microsoft.com/office/drawing/2014/main" id="{BA004931-34D0-46B8-81B0-873931045521}"/>
            </a:ext>
            <a:ext uri="{147F2762-F138-4A5C-976F-8EAC2B608ADB}">
              <a16:predDERef xmlns:a16="http://schemas.microsoft.com/office/drawing/2014/main" pred="{6C9FC194-2A7E-41F0-B3C0-209479F86EE1}"/>
            </a:ext>
          </a:extLst>
        </xdr:cNvPr>
        <xdr:cNvCxnSpPr>
          <a:cxnSpLocks/>
          <a:endCxn id="19" idx="3"/>
          <a:extLst>
            <a:ext uri="{5F17804C-33F3-41E3-A699-7DCFA2EF7971}">
              <a16:cxnDERefs xmlns:a16="http://schemas.microsoft.com/office/drawing/2014/main" st="{00000000-0000-0000-0000-000000000000}" end="{D2660A66-037F-402E-AF0B-10DFE4C3B88B}"/>
            </a:ext>
          </a:extLst>
        </xdr:cNvCxnSpPr>
      </xdr:nvCxnSpPr>
      <xdr:spPr>
        <a:xfrm flipV="1">
          <a:off x="8905875" y="466725"/>
          <a:ext cx="8839200" cy="8058150"/>
        </a:xfrm>
        <a:prstGeom prst="line">
          <a:avLst/>
        </a:prstGeom>
        <a:ln w="12700">
          <a:solidFill>
            <a:srgbClr val="FF0000"/>
          </a:solidFill>
          <a:prstDash val="solid"/>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600075</xdr:colOff>
      <xdr:row>19</xdr:row>
      <xdr:rowOff>85725</xdr:rowOff>
    </xdr:from>
    <xdr:to>
      <xdr:col>47</xdr:col>
      <xdr:colOff>276225</xdr:colOff>
      <xdr:row>25</xdr:row>
      <xdr:rowOff>28575</xdr:rowOff>
    </xdr:to>
    <xdr:sp macro="" textlink="">
      <xdr:nvSpPr>
        <xdr:cNvPr id="16" name="TextBox 15">
          <a:extLst>
            <a:ext uri="{FF2B5EF4-FFF2-40B4-BE49-F238E27FC236}">
              <a16:creationId xmlns:a16="http://schemas.microsoft.com/office/drawing/2014/main" id="{A571CAAE-06DF-D664-EED5-EC52CA092588}"/>
            </a:ext>
            <a:ext uri="{147F2762-F138-4A5C-976F-8EAC2B608ADB}">
              <a16:predDERef xmlns:a16="http://schemas.microsoft.com/office/drawing/2014/main" pred="{BA004931-34D0-46B8-81B0-873931045521}"/>
            </a:ext>
          </a:extLst>
        </xdr:cNvPr>
        <xdr:cNvSpPr txBox="1"/>
      </xdr:nvSpPr>
      <xdr:spPr>
        <a:xfrm>
          <a:off x="12792075" y="4076700"/>
          <a:ext cx="1504950" cy="12001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600">
              <a:solidFill>
                <a:srgbClr val="FF0000"/>
              </a:solidFill>
              <a:latin typeface="+mn-lt"/>
              <a:ea typeface="+mn-lt"/>
              <a:cs typeface="+mn-lt"/>
            </a:rPr>
            <a:t>DON'T USE (but keep just in case)</a:t>
          </a:r>
        </a:p>
      </xdr:txBody>
    </xdr:sp>
    <xdr:clientData/>
  </xdr:twoCellAnchor>
  <xdr:twoCellAnchor editAs="oneCell">
    <xdr:from>
      <xdr:col>22</xdr:col>
      <xdr:colOff>304800</xdr:colOff>
      <xdr:row>12</xdr:row>
      <xdr:rowOff>66675</xdr:rowOff>
    </xdr:from>
    <xdr:to>
      <xdr:col>30</xdr:col>
      <xdr:colOff>334737</xdr:colOff>
      <xdr:row>35</xdr:row>
      <xdr:rowOff>97297</xdr:rowOff>
    </xdr:to>
    <xdr:pic>
      <xdr:nvPicPr>
        <xdr:cNvPr id="13" name="Picture 12">
          <a:extLst>
            <a:ext uri="{FF2B5EF4-FFF2-40B4-BE49-F238E27FC236}">
              <a16:creationId xmlns:a16="http://schemas.microsoft.com/office/drawing/2014/main" id="{919544FD-3AF4-E63B-29C6-983F1A6BFFD3}"/>
            </a:ext>
            <a:ext uri="{147F2762-F138-4A5C-976F-8EAC2B608ADB}">
              <a16:predDERef xmlns:a16="http://schemas.microsoft.com/office/drawing/2014/main" pred="{A571CAAE-06DF-D664-EED5-EC52CA092588}"/>
            </a:ext>
          </a:extLst>
        </xdr:cNvPr>
        <xdr:cNvPicPr>
          <a:picLocks noChangeAspect="1"/>
        </xdr:cNvPicPr>
      </xdr:nvPicPr>
      <xdr:blipFill>
        <a:blip xmlns:r="http://schemas.openxmlformats.org/officeDocument/2006/relationships" r:embed="rId3"/>
        <a:stretch>
          <a:fillRect/>
        </a:stretch>
      </xdr:blipFill>
      <xdr:spPr>
        <a:xfrm>
          <a:off x="8839200" y="2609850"/>
          <a:ext cx="5029200" cy="5772150"/>
        </a:xfrm>
        <a:prstGeom prst="rect">
          <a:avLst/>
        </a:prstGeom>
      </xdr:spPr>
    </xdr:pic>
    <xdr:clientData/>
  </xdr:twoCellAnchor>
  <xdr:twoCellAnchor editAs="oneCell">
    <xdr:from>
      <xdr:col>31</xdr:col>
      <xdr:colOff>904875</xdr:colOff>
      <xdr:row>12</xdr:row>
      <xdr:rowOff>0</xdr:rowOff>
    </xdr:from>
    <xdr:to>
      <xdr:col>35</xdr:col>
      <xdr:colOff>1019173</xdr:colOff>
      <xdr:row>16</xdr:row>
      <xdr:rowOff>199612</xdr:rowOff>
    </xdr:to>
    <xdr:pic>
      <xdr:nvPicPr>
        <xdr:cNvPr id="18" name="Picture 17">
          <a:extLst>
            <a:ext uri="{FF2B5EF4-FFF2-40B4-BE49-F238E27FC236}">
              <a16:creationId xmlns:a16="http://schemas.microsoft.com/office/drawing/2014/main" id="{2C50839D-3D56-D260-B042-6A077EDB76E7}"/>
            </a:ext>
            <a:ext uri="{147F2762-F138-4A5C-976F-8EAC2B608ADB}">
              <a16:predDERef xmlns:a16="http://schemas.microsoft.com/office/drawing/2014/main" pred="{919544FD-3AF4-E63B-29C6-983F1A6BFFD3}"/>
            </a:ext>
          </a:extLst>
        </xdr:cNvPr>
        <xdr:cNvPicPr>
          <a:picLocks noChangeAspect="1"/>
        </xdr:cNvPicPr>
      </xdr:nvPicPr>
      <xdr:blipFill>
        <a:blip xmlns:r="http://schemas.openxmlformats.org/officeDocument/2006/relationships" r:embed="rId4"/>
        <a:stretch>
          <a:fillRect/>
        </a:stretch>
      </xdr:blipFill>
      <xdr:spPr>
        <a:xfrm>
          <a:off x="14925675" y="2543175"/>
          <a:ext cx="4572000" cy="1524000"/>
        </a:xfrm>
        <a:prstGeom prst="rect">
          <a:avLst/>
        </a:prstGeom>
      </xdr:spPr>
    </xdr:pic>
    <xdr:clientData/>
  </xdr:twoCellAnchor>
  <xdr:twoCellAnchor editAs="oneCell">
    <xdr:from>
      <xdr:col>1</xdr:col>
      <xdr:colOff>277091</xdr:colOff>
      <xdr:row>74</xdr:row>
      <xdr:rowOff>103908</xdr:rowOff>
    </xdr:from>
    <xdr:to>
      <xdr:col>7</xdr:col>
      <xdr:colOff>301336</xdr:colOff>
      <xdr:row>102</xdr:row>
      <xdr:rowOff>104924</xdr:rowOff>
    </xdr:to>
    <xdr:pic>
      <xdr:nvPicPr>
        <xdr:cNvPr id="29" name="Picture 28">
          <a:extLst>
            <a:ext uri="{FF2B5EF4-FFF2-40B4-BE49-F238E27FC236}">
              <a16:creationId xmlns:a16="http://schemas.microsoft.com/office/drawing/2014/main" id="{AA70B107-4EF9-522E-9F94-ABC6EA0194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83227" y="17439408"/>
          <a:ext cx="7772400" cy="5819925"/>
        </a:xfrm>
        <a:prstGeom prst="rect">
          <a:avLst/>
        </a:prstGeom>
        <a:ln>
          <a:solidFill>
            <a:schemeClr val="tx1"/>
          </a:solidFill>
        </a:ln>
      </xdr:spPr>
    </xdr:pic>
    <xdr:clientData/>
  </xdr:twoCellAnchor>
  <xdr:twoCellAnchor editAs="oneCell">
    <xdr:from>
      <xdr:col>9</xdr:col>
      <xdr:colOff>305863</xdr:colOff>
      <xdr:row>74</xdr:row>
      <xdr:rowOff>115364</xdr:rowOff>
    </xdr:from>
    <xdr:to>
      <xdr:col>20</xdr:col>
      <xdr:colOff>294606</xdr:colOff>
      <xdr:row>101</xdr:row>
      <xdr:rowOff>34403</xdr:rowOff>
    </xdr:to>
    <xdr:pic>
      <xdr:nvPicPr>
        <xdr:cNvPr id="31" name="Picture 30">
          <a:extLst>
            <a:ext uri="{FF2B5EF4-FFF2-40B4-BE49-F238E27FC236}">
              <a16:creationId xmlns:a16="http://schemas.microsoft.com/office/drawing/2014/main" id="{061D5EE3-2B9C-891D-4F72-B83D913C33F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03499" y="17450864"/>
          <a:ext cx="7772400" cy="5530130"/>
        </a:xfrm>
        <a:prstGeom prst="rect">
          <a:avLst/>
        </a:prstGeom>
        <a:ln>
          <a:solidFill>
            <a:schemeClr val="tx1"/>
          </a:solidFill>
        </a:ln>
      </xdr:spPr>
    </xdr:pic>
    <xdr:clientData/>
  </xdr:twoCellAnchor>
  <xdr:twoCellAnchor editAs="oneCell">
    <xdr:from>
      <xdr:col>21</xdr:col>
      <xdr:colOff>213409</xdr:colOff>
      <xdr:row>74</xdr:row>
      <xdr:rowOff>161454</xdr:rowOff>
    </xdr:from>
    <xdr:to>
      <xdr:col>32</xdr:col>
      <xdr:colOff>452400</xdr:colOff>
      <xdr:row>101</xdr:row>
      <xdr:rowOff>114120</xdr:rowOff>
    </xdr:to>
    <xdr:pic>
      <xdr:nvPicPr>
        <xdr:cNvPr id="65" name="Picture 64">
          <a:extLst>
            <a:ext uri="{FF2B5EF4-FFF2-40B4-BE49-F238E27FC236}">
              <a16:creationId xmlns:a16="http://schemas.microsoft.com/office/drawing/2014/main" id="{62DB8E59-FCE3-2E97-5D9F-B58E1E1949B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271818" y="17496954"/>
          <a:ext cx="7772400" cy="5563757"/>
        </a:xfrm>
        <a:prstGeom prst="rect">
          <a:avLst/>
        </a:prstGeom>
        <a:ln>
          <a:solidFill>
            <a:schemeClr val="tx1"/>
          </a:solidFill>
        </a:ln>
      </xdr:spPr>
    </xdr:pic>
    <xdr:clientData/>
  </xdr:twoCellAnchor>
  <xdr:twoCellAnchor editAs="oneCell">
    <xdr:from>
      <xdr:col>1</xdr:col>
      <xdr:colOff>276817</xdr:colOff>
      <xdr:row>45</xdr:row>
      <xdr:rowOff>155589</xdr:rowOff>
    </xdr:from>
    <xdr:to>
      <xdr:col>7</xdr:col>
      <xdr:colOff>301062</xdr:colOff>
      <xdr:row>73</xdr:row>
      <xdr:rowOff>48750</xdr:rowOff>
    </xdr:to>
    <xdr:pic>
      <xdr:nvPicPr>
        <xdr:cNvPr id="68" name="Picture 67">
          <a:extLst>
            <a:ext uri="{FF2B5EF4-FFF2-40B4-BE49-F238E27FC236}">
              <a16:creationId xmlns:a16="http://schemas.microsoft.com/office/drawing/2014/main" id="{A6A7818B-E462-6031-6522-38B8BC1C093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82953" y="11464362"/>
          <a:ext cx="7772400" cy="5712070"/>
        </a:xfrm>
        <a:prstGeom prst="rect">
          <a:avLst/>
        </a:prstGeom>
        <a:ln>
          <a:solidFill>
            <a:schemeClr val="tx1"/>
          </a:solidFill>
        </a:ln>
      </xdr:spPr>
    </xdr:pic>
    <xdr:clientData/>
  </xdr:twoCellAnchor>
  <xdr:twoCellAnchor editAs="oneCell">
    <xdr:from>
      <xdr:col>9</xdr:col>
      <xdr:colOff>322908</xdr:colOff>
      <xdr:row>45</xdr:row>
      <xdr:rowOff>149727</xdr:rowOff>
    </xdr:from>
    <xdr:to>
      <xdr:col>20</xdr:col>
      <xdr:colOff>311651</xdr:colOff>
      <xdr:row>72</xdr:row>
      <xdr:rowOff>180246</xdr:rowOff>
    </xdr:to>
    <xdr:pic>
      <xdr:nvPicPr>
        <xdr:cNvPr id="70" name="Picture 69">
          <a:extLst>
            <a:ext uri="{FF2B5EF4-FFF2-40B4-BE49-F238E27FC236}">
              <a16:creationId xmlns:a16="http://schemas.microsoft.com/office/drawing/2014/main" id="{FEAD6E19-7A6D-7856-5E59-1F0DE76DE7C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20544" y="11458500"/>
          <a:ext cx="7772400" cy="5641610"/>
        </a:xfrm>
        <a:prstGeom prst="rect">
          <a:avLst/>
        </a:prstGeom>
        <a:ln>
          <a:solidFill>
            <a:schemeClr val="tx1"/>
          </a:solidFill>
        </a:ln>
      </xdr:spPr>
    </xdr:pic>
    <xdr:clientData/>
  </xdr:twoCellAnchor>
  <xdr:twoCellAnchor editAs="oneCell">
    <xdr:from>
      <xdr:col>21</xdr:col>
      <xdr:colOff>247771</xdr:colOff>
      <xdr:row>45</xdr:row>
      <xdr:rowOff>178499</xdr:rowOff>
    </xdr:from>
    <xdr:to>
      <xdr:col>32</xdr:col>
      <xdr:colOff>486762</xdr:colOff>
      <xdr:row>72</xdr:row>
      <xdr:rowOff>144255</xdr:rowOff>
    </xdr:to>
    <xdr:pic>
      <xdr:nvPicPr>
        <xdr:cNvPr id="72" name="Picture 71">
          <a:extLst>
            <a:ext uri="{FF2B5EF4-FFF2-40B4-BE49-F238E27FC236}">
              <a16:creationId xmlns:a16="http://schemas.microsoft.com/office/drawing/2014/main" id="{024B3B0D-89CD-B22F-1801-876A0D412F9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306180" y="11487272"/>
          <a:ext cx="7772400" cy="5576847"/>
        </a:xfrm>
        <a:prstGeom prst="rect">
          <a:avLst/>
        </a:prstGeom>
        <a:ln>
          <a:solidFill>
            <a:schemeClr val="tx1"/>
          </a:solidFill>
        </a:ln>
      </xdr:spPr>
    </xdr:pic>
    <xdr:clientData/>
  </xdr:twoCellAnchor>
  <xdr:twoCellAnchor editAs="oneCell">
    <xdr:from>
      <xdr:col>32</xdr:col>
      <xdr:colOff>1104900</xdr:colOff>
      <xdr:row>47</xdr:row>
      <xdr:rowOff>85725</xdr:rowOff>
    </xdr:from>
    <xdr:to>
      <xdr:col>58</xdr:col>
      <xdr:colOff>314325</xdr:colOff>
      <xdr:row>82</xdr:row>
      <xdr:rowOff>190500</xdr:rowOff>
    </xdr:to>
    <xdr:pic>
      <xdr:nvPicPr>
        <xdr:cNvPr id="3" name="Picture 2">
          <a:extLst>
            <a:ext uri="{FF2B5EF4-FFF2-40B4-BE49-F238E27FC236}">
              <a16:creationId xmlns:a16="http://schemas.microsoft.com/office/drawing/2014/main" id="{BEA49D1A-D40A-BD2C-682F-617A8021805F}"/>
            </a:ext>
            <a:ext uri="{147F2762-F138-4A5C-976F-8EAC2B608ADB}">
              <a16:predDERef xmlns:a16="http://schemas.microsoft.com/office/drawing/2014/main" pred="{024B3B0D-89CD-B22F-1801-876A0D412F94}"/>
            </a:ext>
          </a:extLst>
        </xdr:cNvPr>
        <xdr:cNvPicPr>
          <a:picLocks noChangeAspect="1"/>
        </xdr:cNvPicPr>
      </xdr:nvPicPr>
      <xdr:blipFill>
        <a:blip xmlns:r="http://schemas.openxmlformats.org/officeDocument/2006/relationships" r:embed="rId11"/>
        <a:stretch>
          <a:fillRect/>
        </a:stretch>
      </xdr:blipFill>
      <xdr:spPr>
        <a:xfrm>
          <a:off x="27889200" y="11287125"/>
          <a:ext cx="17754600" cy="7439025"/>
        </a:xfrm>
        <a:prstGeom prst="rect">
          <a:avLst/>
        </a:prstGeom>
      </xdr:spPr>
    </xdr:pic>
    <xdr:clientData/>
  </xdr:twoCellAnchor>
  <xdr:twoCellAnchor editAs="oneCell">
    <xdr:from>
      <xdr:col>32</xdr:col>
      <xdr:colOff>1104900</xdr:colOff>
      <xdr:row>84</xdr:row>
      <xdr:rowOff>28575</xdr:rowOff>
    </xdr:from>
    <xdr:to>
      <xdr:col>58</xdr:col>
      <xdr:colOff>409575</xdr:colOff>
      <xdr:row>116</xdr:row>
      <xdr:rowOff>200025</xdr:rowOff>
    </xdr:to>
    <xdr:pic>
      <xdr:nvPicPr>
        <xdr:cNvPr id="4" name="Picture 3">
          <a:extLst>
            <a:ext uri="{FF2B5EF4-FFF2-40B4-BE49-F238E27FC236}">
              <a16:creationId xmlns:a16="http://schemas.microsoft.com/office/drawing/2014/main" id="{7B52835E-1652-7D7B-466C-B68187E50276}"/>
            </a:ext>
            <a:ext uri="{147F2762-F138-4A5C-976F-8EAC2B608ADB}">
              <a16:predDERef xmlns:a16="http://schemas.microsoft.com/office/drawing/2014/main" pred="{BEA49D1A-D40A-BD2C-682F-617A8021805F}"/>
            </a:ext>
          </a:extLst>
        </xdr:cNvPr>
        <xdr:cNvPicPr>
          <a:picLocks noChangeAspect="1"/>
        </xdr:cNvPicPr>
      </xdr:nvPicPr>
      <xdr:blipFill>
        <a:blip xmlns:r="http://schemas.openxmlformats.org/officeDocument/2006/relationships" r:embed="rId12"/>
        <a:stretch>
          <a:fillRect/>
        </a:stretch>
      </xdr:blipFill>
      <xdr:spPr>
        <a:xfrm>
          <a:off x="27889200" y="18983325"/>
          <a:ext cx="17849850" cy="687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472168</xdr:colOff>
      <xdr:row>7</xdr:row>
      <xdr:rowOff>78921</xdr:rowOff>
    </xdr:from>
    <xdr:to>
      <xdr:col>9</xdr:col>
      <xdr:colOff>474889</xdr:colOff>
      <xdr:row>53</xdr:row>
      <xdr:rowOff>13607</xdr:rowOff>
    </xdr:to>
    <xdr:pic>
      <xdr:nvPicPr>
        <xdr:cNvPr id="10" name="Picture 4">
          <a:extLst>
            <a:ext uri="{FF2B5EF4-FFF2-40B4-BE49-F238E27FC236}">
              <a16:creationId xmlns:a16="http://schemas.microsoft.com/office/drawing/2014/main" id="{18BB8A13-A92E-2133-B9BA-2EA6A57370C1}"/>
            </a:ext>
            <a:ext uri="{147F2762-F138-4A5C-976F-8EAC2B608ADB}">
              <a16:predDERef xmlns:a16="http://schemas.microsoft.com/office/drawing/2014/main" pred="{A19B4C60-E781-ECEE-F2A8-36592BC9992C}"/>
            </a:ext>
          </a:extLst>
        </xdr:cNvPr>
        <xdr:cNvPicPr>
          <a:picLocks noChangeAspect="1"/>
        </xdr:cNvPicPr>
      </xdr:nvPicPr>
      <xdr:blipFill>
        <a:blip xmlns:r="http://schemas.openxmlformats.org/officeDocument/2006/relationships" r:embed="rId1"/>
        <a:stretch>
          <a:fillRect/>
        </a:stretch>
      </xdr:blipFill>
      <xdr:spPr>
        <a:xfrm>
          <a:off x="472168" y="1915885"/>
          <a:ext cx="6508296" cy="9573986"/>
        </a:xfrm>
        <a:prstGeom prst="rect">
          <a:avLst/>
        </a:prstGeom>
      </xdr:spPr>
    </xdr:pic>
    <xdr:clientData/>
  </xdr:twoCellAnchor>
  <xdr:twoCellAnchor>
    <xdr:from>
      <xdr:col>10</xdr:col>
      <xdr:colOff>0</xdr:colOff>
      <xdr:row>7</xdr:row>
      <xdr:rowOff>66675</xdr:rowOff>
    </xdr:from>
    <xdr:to>
      <xdr:col>15</xdr:col>
      <xdr:colOff>0</xdr:colOff>
      <xdr:row>16</xdr:row>
      <xdr:rowOff>133350</xdr:rowOff>
    </xdr:to>
    <xdr:sp macro="" textlink="">
      <xdr:nvSpPr>
        <xdr:cNvPr id="5" name="TextBox 3">
          <a:extLst>
            <a:ext uri="{FF2B5EF4-FFF2-40B4-BE49-F238E27FC236}">
              <a16:creationId xmlns:a16="http://schemas.microsoft.com/office/drawing/2014/main" id="{84E0ABF2-9420-B6FA-A704-FD943512A214}"/>
            </a:ext>
            <a:ext uri="{147F2762-F138-4A5C-976F-8EAC2B608ADB}">
              <a16:predDERef xmlns:a16="http://schemas.microsoft.com/office/drawing/2014/main" pred="{18BB8A13-A92E-2133-B9BA-2EA6A57370C1}"/>
            </a:ext>
          </a:extLst>
        </xdr:cNvPr>
        <xdr:cNvSpPr txBox="1"/>
      </xdr:nvSpPr>
      <xdr:spPr>
        <a:xfrm>
          <a:off x="7096125" y="1952625"/>
          <a:ext cx="5010150" cy="195262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a:latin typeface="+mn-lt"/>
              <a:ea typeface="+mn-lt"/>
              <a:cs typeface="+mn-lt"/>
            </a:rPr>
            <a:t>CMF calculations using Net reduction in crashes</a:t>
          </a:r>
          <a:endParaRPr lang="en-US" sz="1100">
            <a:latin typeface="+mn-lt"/>
            <a:ea typeface="+mn-lt"/>
            <a:cs typeface="+mn-lt"/>
          </a:endParaRPr>
        </a:p>
        <a:p>
          <a:pPr marL="0" indent="0" algn="l"/>
          <a:endParaRPr lang="en-US" sz="1100">
            <a:latin typeface="+mn-lt"/>
            <a:ea typeface="+mn-lt"/>
            <a:cs typeface="+mn-lt"/>
          </a:endParaRPr>
        </a:p>
        <a:p>
          <a:pPr marL="0" indent="0" algn="l"/>
          <a:r>
            <a:rPr lang="en-US" sz="1100">
              <a:latin typeface="+mn-lt"/>
              <a:ea typeface="+mn-lt"/>
              <a:cs typeface="+mn-lt"/>
            </a:rPr>
            <a:t>CMF - assumed at 0.96:</a:t>
          </a:r>
        </a:p>
        <a:p>
          <a:pPr marL="0" indent="0" algn="l"/>
          <a:endParaRPr lang="en-US" sz="1100">
            <a:latin typeface="+mn-lt"/>
            <a:ea typeface="+mn-lt"/>
            <a:cs typeface="+mn-lt"/>
          </a:endParaRPr>
        </a:p>
        <a:p>
          <a:pPr marL="0" indent="0" algn="l"/>
          <a:r>
            <a:rPr lang="en-US" sz="1100">
              <a:latin typeface="+mn-lt"/>
              <a:ea typeface="+mn-lt"/>
              <a:cs typeface="+mn-lt"/>
            </a:rPr>
            <a:t>CRF=((2045 crashes per year (proposed))/(2045 crashes per year  (existing+committed) ) )^(-1)</a:t>
          </a:r>
        </a:p>
        <a:p>
          <a:pPr marL="0" indent="0" algn="l"/>
          <a:r>
            <a:rPr lang="en-US" sz="1100">
              <a:latin typeface="+mn-lt"/>
              <a:ea typeface="+mn-lt"/>
              <a:cs typeface="+mn-lt"/>
            </a:rPr>
            <a:t>CRF =(33.24/34.54)^(-1)= 1.039 </a:t>
          </a:r>
        </a:p>
        <a:p>
          <a:pPr marL="0" indent="0" algn="l"/>
          <a:endParaRPr lang="en-US" sz="1100">
            <a:latin typeface="+mn-lt"/>
            <a:ea typeface="+mn-lt"/>
            <a:cs typeface="+mn-lt"/>
          </a:endParaRPr>
        </a:p>
        <a:p>
          <a:pPr marL="0" indent="0" algn="l"/>
          <a:r>
            <a:rPr lang="en-US" sz="1100">
              <a:latin typeface="+mn-lt"/>
              <a:ea typeface="+mn-lt"/>
              <a:cs typeface="+mn-lt"/>
            </a:rPr>
            <a:t>CMF=1-CRF</a:t>
          </a:r>
        </a:p>
        <a:p>
          <a:pPr marL="0" indent="0" algn="l"/>
          <a:r>
            <a:rPr lang="en-US" sz="1100">
              <a:latin typeface="+mn-lt"/>
              <a:ea typeface="+mn-lt"/>
              <a:cs typeface="+mn-lt"/>
            </a:rPr>
            <a:t>CMF=1-(3.9/100)=</a:t>
          </a:r>
          <a:r>
            <a:rPr lang="en-US" sz="1100" b="1">
              <a:latin typeface="+mn-lt"/>
              <a:ea typeface="+mn-lt"/>
              <a:cs typeface="+mn-lt"/>
            </a:rPr>
            <a:t>0.961</a:t>
          </a:r>
          <a:endParaRPr lang="en-US" sz="1100">
            <a:latin typeface="+mn-lt"/>
            <a:ea typeface="+mn-lt"/>
            <a:cs typeface="+mn-lt"/>
          </a:endParaRPr>
        </a:p>
        <a:p>
          <a:pPr marL="0" indent="0" algn="l"/>
          <a:endParaRPr lang="en-US" sz="1100">
            <a:latin typeface="+mn-lt"/>
            <a:ea typeface="+mn-lt"/>
            <a:cs typeface="+mn-lt"/>
          </a:endParaRPr>
        </a:p>
      </xdr:txBody>
    </xdr:sp>
    <xdr:clientData/>
  </xdr:twoCellAnchor>
  <xdr:twoCellAnchor editAs="oneCell">
    <xdr:from>
      <xdr:col>10</xdr:col>
      <xdr:colOff>180975</xdr:colOff>
      <xdr:row>18</xdr:row>
      <xdr:rowOff>0</xdr:rowOff>
    </xdr:from>
    <xdr:to>
      <xdr:col>14</xdr:col>
      <xdr:colOff>1143000</xdr:colOff>
      <xdr:row>33</xdr:row>
      <xdr:rowOff>85726</xdr:rowOff>
    </xdr:to>
    <xdr:pic>
      <xdr:nvPicPr>
        <xdr:cNvPr id="36" name="Picture 4">
          <a:extLst>
            <a:ext uri="{FF2B5EF4-FFF2-40B4-BE49-F238E27FC236}">
              <a16:creationId xmlns:a16="http://schemas.microsoft.com/office/drawing/2014/main" id="{F31EA9C2-6688-848F-0E65-9BD5C54C0E00}"/>
            </a:ext>
            <a:ext uri="{147F2762-F138-4A5C-976F-8EAC2B608ADB}">
              <a16:predDERef xmlns:a16="http://schemas.microsoft.com/office/drawing/2014/main" pred="{84E0ABF2-9420-B6FA-A704-FD943512A214}"/>
            </a:ext>
          </a:extLst>
        </xdr:cNvPr>
        <xdr:cNvPicPr>
          <a:picLocks noChangeAspect="1"/>
        </xdr:cNvPicPr>
      </xdr:nvPicPr>
      <xdr:blipFill>
        <a:blip xmlns:r="http://schemas.openxmlformats.org/officeDocument/2006/relationships" r:embed="rId2"/>
        <a:stretch>
          <a:fillRect/>
        </a:stretch>
      </xdr:blipFill>
      <xdr:spPr>
        <a:xfrm>
          <a:off x="7277100" y="4191000"/>
          <a:ext cx="4572000" cy="3228975"/>
        </a:xfrm>
        <a:prstGeom prst="rect">
          <a:avLst/>
        </a:prstGeom>
      </xdr:spPr>
    </xdr:pic>
    <xdr:clientData/>
  </xdr:twoCellAnchor>
  <xdr:twoCellAnchor editAs="oneCell">
    <xdr:from>
      <xdr:col>0</xdr:col>
      <xdr:colOff>361950</xdr:colOff>
      <xdr:row>56</xdr:row>
      <xdr:rowOff>38100</xdr:rowOff>
    </xdr:from>
    <xdr:to>
      <xdr:col>10</xdr:col>
      <xdr:colOff>535081</xdr:colOff>
      <xdr:row>104</xdr:row>
      <xdr:rowOff>67236</xdr:rowOff>
    </xdr:to>
    <xdr:pic>
      <xdr:nvPicPr>
        <xdr:cNvPr id="2" name="Picture 1">
          <a:extLst>
            <a:ext uri="{FF2B5EF4-FFF2-40B4-BE49-F238E27FC236}">
              <a16:creationId xmlns:a16="http://schemas.microsoft.com/office/drawing/2014/main" id="{368F9EAA-02F7-4DA7-A943-0C66F005E9DF}"/>
            </a:ext>
            <a:ext uri="{147F2762-F138-4A5C-976F-8EAC2B608ADB}">
              <a16:predDERef xmlns:a16="http://schemas.microsoft.com/office/drawing/2014/main" pred="{F31EA9C2-6688-848F-0E65-9BD5C54C0E00}"/>
            </a:ext>
          </a:extLst>
        </xdr:cNvPr>
        <xdr:cNvPicPr>
          <a:picLocks noChangeAspect="1"/>
        </xdr:cNvPicPr>
      </xdr:nvPicPr>
      <xdr:blipFill>
        <a:blip xmlns:r="http://schemas.openxmlformats.org/officeDocument/2006/relationships" r:embed="rId3"/>
        <a:stretch>
          <a:fillRect/>
        </a:stretch>
      </xdr:blipFill>
      <xdr:spPr>
        <a:xfrm>
          <a:off x="361950" y="12611100"/>
          <a:ext cx="7269256" cy="10087536"/>
        </a:xfrm>
        <a:prstGeom prst="rect">
          <a:avLst/>
        </a:prstGeom>
      </xdr:spPr>
    </xdr:pic>
    <xdr:clientData/>
  </xdr:twoCellAnchor>
  <xdr:twoCellAnchor>
    <xdr:from>
      <xdr:col>3</xdr:col>
      <xdr:colOff>211231</xdr:colOff>
      <xdr:row>82</xdr:row>
      <xdr:rowOff>175372</xdr:rowOff>
    </xdr:from>
    <xdr:to>
      <xdr:col>9</xdr:col>
      <xdr:colOff>476811</xdr:colOff>
      <xdr:row>85</xdr:row>
      <xdr:rowOff>44264</xdr:rowOff>
    </xdr:to>
    <xdr:sp macro="" textlink="">
      <xdr:nvSpPr>
        <xdr:cNvPr id="3" name="Rectangle 2">
          <a:extLst>
            <a:ext uri="{FF2B5EF4-FFF2-40B4-BE49-F238E27FC236}">
              <a16:creationId xmlns:a16="http://schemas.microsoft.com/office/drawing/2014/main" id="{EB708FA0-15D1-A130-41C6-A9181E224187}"/>
            </a:ext>
            <a:ext uri="{147F2762-F138-4A5C-976F-8EAC2B608ADB}">
              <a16:predDERef xmlns:a16="http://schemas.microsoft.com/office/drawing/2014/main" pred="{368F9EAA-02F7-4DA7-A943-0C66F005E9DF}"/>
            </a:ext>
          </a:extLst>
        </xdr:cNvPr>
        <xdr:cNvSpPr/>
      </xdr:nvSpPr>
      <xdr:spPr>
        <a:xfrm>
          <a:off x="2668681" y="18196672"/>
          <a:ext cx="4313705" cy="497542"/>
        </a:xfrm>
        <a:prstGeom prst="rect">
          <a:avLst/>
        </a:prstGeom>
        <a:noFill/>
        <a:ln w="571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447675</xdr:colOff>
      <xdr:row>11</xdr:row>
      <xdr:rowOff>95250</xdr:rowOff>
    </xdr:from>
    <xdr:to>
      <xdr:col>24</xdr:col>
      <xdr:colOff>142875</xdr:colOff>
      <xdr:row>37</xdr:row>
      <xdr:rowOff>66675</xdr:rowOff>
    </xdr:to>
    <xdr:pic>
      <xdr:nvPicPr>
        <xdr:cNvPr id="2" name="Picture 1">
          <a:extLst>
            <a:ext uri="{FF2B5EF4-FFF2-40B4-BE49-F238E27FC236}">
              <a16:creationId xmlns:a16="http://schemas.microsoft.com/office/drawing/2014/main" id="{A1EDB47A-C8D9-D115-72F4-43D9251CA392}"/>
            </a:ext>
          </a:extLst>
        </xdr:cNvPr>
        <xdr:cNvPicPr>
          <a:picLocks noChangeAspect="1"/>
        </xdr:cNvPicPr>
      </xdr:nvPicPr>
      <xdr:blipFill>
        <a:blip xmlns:r="http://schemas.openxmlformats.org/officeDocument/2006/relationships" r:embed="rId1"/>
        <a:stretch>
          <a:fillRect/>
        </a:stretch>
      </xdr:blipFill>
      <xdr:spPr>
        <a:xfrm>
          <a:off x="8372475" y="2514600"/>
          <a:ext cx="6400800" cy="4924425"/>
        </a:xfrm>
        <a:prstGeom prst="rect">
          <a:avLst/>
        </a:prstGeom>
      </xdr:spPr>
    </xdr:pic>
    <xdr:clientData/>
  </xdr:twoCellAnchor>
  <xdr:twoCellAnchor editAs="oneCell">
    <xdr:from>
      <xdr:col>1</xdr:col>
      <xdr:colOff>0</xdr:colOff>
      <xdr:row>9</xdr:row>
      <xdr:rowOff>0</xdr:rowOff>
    </xdr:from>
    <xdr:to>
      <xdr:col>12</xdr:col>
      <xdr:colOff>571500</xdr:colOff>
      <xdr:row>62</xdr:row>
      <xdr:rowOff>152400</xdr:rowOff>
    </xdr:to>
    <xdr:pic>
      <xdr:nvPicPr>
        <xdr:cNvPr id="3" name="Picture 2">
          <a:extLst>
            <a:ext uri="{FF2B5EF4-FFF2-40B4-BE49-F238E27FC236}">
              <a16:creationId xmlns:a16="http://schemas.microsoft.com/office/drawing/2014/main" id="{B99E6A75-48AF-15CC-6FD4-8916FE0DE96C}"/>
            </a:ext>
            <a:ext uri="{147F2762-F138-4A5C-976F-8EAC2B608ADB}">
              <a16:predDERef xmlns:a16="http://schemas.microsoft.com/office/drawing/2014/main" pred="{A1EDB47A-C8D9-D115-72F4-43D9251CA392}"/>
            </a:ext>
          </a:extLst>
        </xdr:cNvPr>
        <xdr:cNvPicPr>
          <a:picLocks noChangeAspect="1"/>
        </xdr:cNvPicPr>
      </xdr:nvPicPr>
      <xdr:blipFill>
        <a:blip xmlns:r="http://schemas.openxmlformats.org/officeDocument/2006/relationships" r:embed="rId2"/>
        <a:stretch>
          <a:fillRect/>
        </a:stretch>
      </xdr:blipFill>
      <xdr:spPr>
        <a:xfrm>
          <a:off x="609600" y="2038350"/>
          <a:ext cx="7277100" cy="10248900"/>
        </a:xfrm>
        <a:prstGeom prst="rect">
          <a:avLst/>
        </a:prstGeom>
      </xdr:spPr>
    </xdr:pic>
    <xdr:clientData/>
  </xdr:twoCellAnchor>
  <xdr:twoCellAnchor>
    <xdr:from>
      <xdr:col>5</xdr:col>
      <xdr:colOff>38100</xdr:colOff>
      <xdr:row>37</xdr:row>
      <xdr:rowOff>57150</xdr:rowOff>
    </xdr:from>
    <xdr:to>
      <xdr:col>11</xdr:col>
      <xdr:colOff>381000</xdr:colOff>
      <xdr:row>42</xdr:row>
      <xdr:rowOff>57150</xdr:rowOff>
    </xdr:to>
    <xdr:sp macro="" textlink="">
      <xdr:nvSpPr>
        <xdr:cNvPr id="11" name="Oval 3">
          <a:extLst>
            <a:ext uri="{FF2B5EF4-FFF2-40B4-BE49-F238E27FC236}">
              <a16:creationId xmlns:a16="http://schemas.microsoft.com/office/drawing/2014/main" id="{55CDE20D-51E7-3BBA-4325-DD10652FDE56}"/>
            </a:ext>
            <a:ext uri="{147F2762-F138-4A5C-976F-8EAC2B608ADB}">
              <a16:predDERef xmlns:a16="http://schemas.microsoft.com/office/drawing/2014/main" pred="{B99E6A75-48AF-15CC-6FD4-8916FE0DE96C}"/>
            </a:ext>
          </a:extLst>
        </xdr:cNvPr>
        <xdr:cNvSpPr/>
      </xdr:nvSpPr>
      <xdr:spPr>
        <a:xfrm>
          <a:off x="3086100" y="8324850"/>
          <a:ext cx="4000500" cy="952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zoomScale="115" zoomScaleNormal="115" workbookViewId="0">
      <selection activeCell="B9" sqref="B9"/>
    </sheetView>
  </sheetViews>
  <sheetFormatPr defaultColWidth="9.140625" defaultRowHeight="16.5" x14ac:dyDescent="0.3"/>
  <cols>
    <col min="1" max="1" width="9.140625" style="1"/>
    <col min="2" max="2" width="93.7109375" style="1" customWidth="1"/>
    <col min="3" max="16384" width="9.140625" style="1"/>
  </cols>
  <sheetData>
    <row r="1" spans="1:5" ht="17.25" thickBot="1" x14ac:dyDescent="0.35"/>
    <row r="2" spans="1:5" ht="19.5" customHeight="1" thickBot="1" x14ac:dyDescent="0.35">
      <c r="A2" s="2"/>
      <c r="B2" s="15" t="s">
        <v>0</v>
      </c>
      <c r="C2" s="2"/>
      <c r="D2" s="2"/>
      <c r="E2" s="2"/>
    </row>
    <row r="3" spans="1:5" ht="33" x14ac:dyDescent="0.3">
      <c r="A3" s="2"/>
      <c r="B3" s="4" t="s">
        <v>1</v>
      </c>
      <c r="C3" s="2"/>
      <c r="D3" s="2"/>
      <c r="E3" s="2"/>
    </row>
    <row r="4" spans="1:5" ht="33" x14ac:dyDescent="0.3">
      <c r="A4" s="2"/>
      <c r="B4" s="5" t="s">
        <v>2</v>
      </c>
      <c r="C4" s="2"/>
      <c r="D4" s="2"/>
      <c r="E4" s="2"/>
    </row>
    <row r="5" spans="1:5" ht="66.75" thickBot="1" x14ac:dyDescent="0.35">
      <c r="A5" s="2"/>
      <c r="B5" s="6" t="s">
        <v>3</v>
      </c>
      <c r="C5" s="2"/>
      <c r="D5" s="2"/>
      <c r="E5" s="2"/>
    </row>
    <row r="6" spans="1:5" x14ac:dyDescent="0.3">
      <c r="A6" s="2"/>
      <c r="C6" s="2"/>
      <c r="D6" s="2"/>
      <c r="E6" s="2"/>
    </row>
    <row r="7" spans="1:5" x14ac:dyDescent="0.3">
      <c r="A7" s="2"/>
      <c r="C7" s="2"/>
      <c r="D7" s="2"/>
      <c r="E7" s="2"/>
    </row>
    <row r="8" spans="1:5" x14ac:dyDescent="0.3">
      <c r="A8" s="2"/>
      <c r="C8" s="2"/>
      <c r="D8" s="2"/>
      <c r="E8" s="2"/>
    </row>
    <row r="9" spans="1:5" x14ac:dyDescent="0.3">
      <c r="A9" s="2"/>
      <c r="B9" s="2"/>
      <c r="C9" s="2"/>
      <c r="D9" s="2"/>
      <c r="E9" s="2"/>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F5B1-E0ED-4C25-A2BB-7B4419C2381E}">
  <sheetPr>
    <tabColor theme="9" tint="0.39997558519241921"/>
  </sheetPr>
  <dimension ref="B2:Y42"/>
  <sheetViews>
    <sheetView topLeftCell="A25" zoomScale="85" zoomScaleNormal="85" workbookViewId="0">
      <selection activeCell="G12" sqref="G12"/>
    </sheetView>
  </sheetViews>
  <sheetFormatPr defaultRowHeight="15" x14ac:dyDescent="0.25"/>
  <cols>
    <col min="3" max="3" width="22.5703125" style="193" customWidth="1"/>
    <col min="4" max="4" width="18.28515625" customWidth="1"/>
    <col min="5" max="5" width="17.7109375" customWidth="1"/>
  </cols>
  <sheetData>
    <row r="2" spans="2:25" ht="36" customHeight="1" x14ac:dyDescent="0.25">
      <c r="B2" s="451" t="s">
        <v>199</v>
      </c>
      <c r="C2" s="452"/>
      <c r="D2" s="452"/>
      <c r="E2" s="638"/>
    </row>
    <row r="3" spans="2:25" ht="33" customHeight="1" x14ac:dyDescent="0.25">
      <c r="B3" s="223" t="s">
        <v>88</v>
      </c>
      <c r="C3" s="190" t="s">
        <v>200</v>
      </c>
      <c r="D3" s="14" t="s">
        <v>201</v>
      </c>
      <c r="E3" s="217" t="s">
        <v>202</v>
      </c>
    </row>
    <row r="4" spans="2:25" ht="16.5" x14ac:dyDescent="0.3">
      <c r="B4" s="224">
        <v>2019</v>
      </c>
      <c r="C4" s="191"/>
      <c r="D4" s="162"/>
      <c r="E4" s="218">
        <v>0</v>
      </c>
      <c r="G4" s="434" t="s">
        <v>100</v>
      </c>
      <c r="H4" s="435"/>
      <c r="I4" s="435"/>
      <c r="J4" s="435"/>
      <c r="K4" s="435"/>
      <c r="L4" s="435"/>
      <c r="M4" s="435"/>
      <c r="N4" s="435"/>
      <c r="O4" s="435"/>
      <c r="P4" s="435"/>
      <c r="Q4" s="435"/>
      <c r="R4" s="435"/>
      <c r="S4" s="435"/>
      <c r="T4" s="435"/>
      <c r="U4" s="435"/>
      <c r="V4" s="435"/>
      <c r="W4" s="435"/>
      <c r="X4" s="435"/>
      <c r="Y4" s="436"/>
    </row>
    <row r="5" spans="2:25" ht="16.5" x14ac:dyDescent="0.3">
      <c r="B5" s="224">
        <v>2020</v>
      </c>
      <c r="C5" s="191">
        <f>'Traffic Assumptions'!AI8*$K$6</f>
        <v>176.4</v>
      </c>
      <c r="D5" s="162"/>
      <c r="E5" s="218">
        <v>0</v>
      </c>
      <c r="G5" s="527" t="s">
        <v>101</v>
      </c>
      <c r="H5" s="528"/>
      <c r="I5" s="528"/>
      <c r="J5" s="528"/>
      <c r="K5" s="10" t="s">
        <v>102</v>
      </c>
      <c r="L5" s="560" t="s">
        <v>103</v>
      </c>
      <c r="M5" s="528"/>
      <c r="N5" s="528"/>
      <c r="O5" s="528"/>
      <c r="P5" s="528"/>
      <c r="Q5" s="528"/>
      <c r="R5" s="528"/>
      <c r="S5" s="528"/>
      <c r="T5" s="528"/>
      <c r="U5" s="528"/>
      <c r="V5" s="528"/>
      <c r="W5" s="528"/>
      <c r="X5" s="528"/>
      <c r="Y5" s="561"/>
    </row>
    <row r="6" spans="2:25" ht="16.5" x14ac:dyDescent="0.3">
      <c r="B6" s="224">
        <v>2021</v>
      </c>
      <c r="C6" s="191">
        <f>($C$30-$C$5)/25+C5</f>
        <v>179.928</v>
      </c>
      <c r="D6" s="162"/>
      <c r="E6" s="218">
        <v>0</v>
      </c>
      <c r="G6" s="639" t="s">
        <v>203</v>
      </c>
      <c r="H6" s="640"/>
      <c r="I6" s="640"/>
      <c r="J6" s="640"/>
      <c r="K6" s="194">
        <v>0.05</v>
      </c>
      <c r="L6" s="641" t="s">
        <v>204</v>
      </c>
      <c r="M6" s="642"/>
      <c r="N6" s="642"/>
      <c r="O6" s="642"/>
      <c r="P6" s="642"/>
      <c r="Q6" s="642"/>
      <c r="R6" s="642"/>
      <c r="S6" s="642"/>
      <c r="T6" s="642"/>
      <c r="U6" s="642"/>
      <c r="V6" s="642"/>
      <c r="W6" s="642"/>
      <c r="X6" s="642"/>
      <c r="Y6" s="643"/>
    </row>
    <row r="7" spans="2:25" ht="16.5" x14ac:dyDescent="0.3">
      <c r="B7" s="224">
        <v>2022</v>
      </c>
      <c r="C7" s="191">
        <f t="shared" ref="C7:C29" si="0">($C$30-$C$5)/25+C6</f>
        <v>183.45599999999999</v>
      </c>
      <c r="D7" s="162"/>
      <c r="E7" s="218">
        <v>0</v>
      </c>
      <c r="G7" s="556" t="s">
        <v>205</v>
      </c>
      <c r="H7" s="471"/>
      <c r="I7" s="471"/>
      <c r="J7" s="471"/>
      <c r="K7" s="75">
        <v>0.1</v>
      </c>
      <c r="L7" s="628" t="s">
        <v>206</v>
      </c>
      <c r="M7" s="629"/>
      <c r="N7" s="629"/>
      <c r="O7" s="629"/>
      <c r="P7" s="629"/>
      <c r="Q7" s="629"/>
      <c r="R7" s="629"/>
      <c r="S7" s="629"/>
      <c r="T7" s="629"/>
      <c r="U7" s="629"/>
      <c r="V7" s="629"/>
      <c r="W7" s="629"/>
      <c r="X7" s="629"/>
      <c r="Y7" s="630"/>
    </row>
    <row r="8" spans="2:25" ht="16.5" x14ac:dyDescent="0.3">
      <c r="B8" s="224">
        <v>2023</v>
      </c>
      <c r="C8" s="191">
        <f t="shared" si="0"/>
        <v>186.98399999999998</v>
      </c>
      <c r="D8" s="162"/>
      <c r="E8" s="218">
        <v>0</v>
      </c>
      <c r="G8" s="556" t="s">
        <v>207</v>
      </c>
      <c r="H8" s="471"/>
      <c r="I8" s="471"/>
      <c r="J8" s="471"/>
      <c r="K8" s="76">
        <v>10</v>
      </c>
      <c r="L8" s="635" t="s">
        <v>208</v>
      </c>
      <c r="M8" s="636"/>
      <c r="N8" s="636"/>
      <c r="O8" s="636"/>
      <c r="P8" s="636"/>
      <c r="Q8" s="636"/>
      <c r="R8" s="636"/>
      <c r="S8" s="636"/>
      <c r="T8" s="636"/>
      <c r="U8" s="636"/>
      <c r="V8" s="636"/>
      <c r="W8" s="636"/>
      <c r="X8" s="636"/>
      <c r="Y8" s="637"/>
    </row>
    <row r="9" spans="2:25" ht="16.5" x14ac:dyDescent="0.3">
      <c r="B9" s="224">
        <v>2024</v>
      </c>
      <c r="C9" s="191">
        <f t="shared" si="0"/>
        <v>190.51199999999997</v>
      </c>
      <c r="D9" s="162"/>
      <c r="E9" s="218">
        <v>0</v>
      </c>
      <c r="G9" s="584" t="s">
        <v>209</v>
      </c>
      <c r="H9" s="631"/>
      <c r="I9" s="631"/>
      <c r="J9" s="631"/>
      <c r="K9" s="79">
        <v>1.04</v>
      </c>
      <c r="L9" s="632"/>
      <c r="M9" s="633"/>
      <c r="N9" s="633"/>
      <c r="O9" s="633"/>
      <c r="P9" s="633"/>
      <c r="Q9" s="633"/>
      <c r="R9" s="633"/>
      <c r="S9" s="633"/>
      <c r="T9" s="633"/>
      <c r="U9" s="633"/>
      <c r="V9" s="633"/>
      <c r="W9" s="633"/>
      <c r="X9" s="633"/>
      <c r="Y9" s="634"/>
    </row>
    <row r="10" spans="2:25" ht="16.5" x14ac:dyDescent="0.3">
      <c r="B10" s="224">
        <v>2025</v>
      </c>
      <c r="C10" s="191">
        <f t="shared" si="0"/>
        <v>194.03999999999996</v>
      </c>
      <c r="D10" s="162"/>
      <c r="E10" s="218">
        <v>0</v>
      </c>
    </row>
    <row r="11" spans="2:25" ht="16.5" x14ac:dyDescent="0.3">
      <c r="B11" s="224">
        <v>2026</v>
      </c>
      <c r="C11" s="191">
        <f t="shared" si="0"/>
        <v>197.56799999999996</v>
      </c>
      <c r="D11" s="162"/>
      <c r="E11" s="218">
        <v>0</v>
      </c>
    </row>
    <row r="12" spans="2:25" ht="16.5" x14ac:dyDescent="0.3">
      <c r="B12" s="224">
        <v>2027</v>
      </c>
      <c r="C12" s="192">
        <f t="shared" si="0"/>
        <v>201.09599999999995</v>
      </c>
      <c r="D12" s="196">
        <f>$K$7*$K$8*$K$9*C12</f>
        <v>209.13983999999996</v>
      </c>
      <c r="E12" s="218">
        <f>D12/(1.07^(B12-2020))</f>
        <v>130.24178137778466</v>
      </c>
    </row>
    <row r="13" spans="2:25" ht="16.5" x14ac:dyDescent="0.3">
      <c r="B13" s="224">
        <v>2028</v>
      </c>
      <c r="C13" s="192">
        <f t="shared" si="0"/>
        <v>204.62399999999994</v>
      </c>
      <c r="D13" s="196">
        <f t="shared" ref="D13:D41" si="1">$K$7*$K$8*$K$9*C13</f>
        <v>212.80895999999996</v>
      </c>
      <c r="E13" s="218">
        <f t="shared" ref="E13:E41" si="2">D13/(1.07^(B13-2020))</f>
        <v>123.85675225301706</v>
      </c>
    </row>
    <row r="14" spans="2:25" ht="16.5" x14ac:dyDescent="0.3">
      <c r="B14" s="224">
        <v>2029</v>
      </c>
      <c r="C14" s="192">
        <f t="shared" si="0"/>
        <v>208.15199999999993</v>
      </c>
      <c r="D14" s="196">
        <f t="shared" si="1"/>
        <v>216.47807999999992</v>
      </c>
      <c r="E14" s="218">
        <f t="shared" si="2"/>
        <v>117.74973224183056</v>
      </c>
    </row>
    <row r="15" spans="2:25" ht="16.5" x14ac:dyDescent="0.3">
      <c r="B15" s="224">
        <v>2030</v>
      </c>
      <c r="C15" s="192">
        <f t="shared" si="0"/>
        <v>211.67999999999992</v>
      </c>
      <c r="D15" s="196">
        <f t="shared" si="1"/>
        <v>220.14719999999991</v>
      </c>
      <c r="E15" s="218">
        <f t="shared" si="2"/>
        <v>111.9116732854401</v>
      </c>
    </row>
    <row r="16" spans="2:25" ht="16.5" x14ac:dyDescent="0.3">
      <c r="B16" s="224">
        <v>2031</v>
      </c>
      <c r="C16" s="192">
        <f t="shared" si="0"/>
        <v>215.20799999999991</v>
      </c>
      <c r="D16" s="196">
        <f t="shared" si="1"/>
        <v>223.81631999999991</v>
      </c>
      <c r="E16" s="218">
        <f t="shared" si="2"/>
        <v>106.33352134597889</v>
      </c>
    </row>
    <row r="17" spans="2:5" ht="16.5" x14ac:dyDescent="0.3">
      <c r="B17" s="224">
        <v>2032</v>
      </c>
      <c r="C17" s="192">
        <f t="shared" si="0"/>
        <v>218.7359999999999</v>
      </c>
      <c r="D17" s="196">
        <f t="shared" si="1"/>
        <v>227.4854399999999</v>
      </c>
      <c r="E17" s="218">
        <f t="shared" si="2"/>
        <v>101.00625591314069</v>
      </c>
    </row>
    <row r="18" spans="2:5" ht="16.5" x14ac:dyDescent="0.3">
      <c r="B18" s="224">
        <v>2033</v>
      </c>
      <c r="C18" s="192">
        <f t="shared" si="0"/>
        <v>222.2639999999999</v>
      </c>
      <c r="D18" s="196">
        <f t="shared" si="1"/>
        <v>231.15455999999989</v>
      </c>
      <c r="E18" s="218">
        <f t="shared" si="2"/>
        <v>95.920924367317795</v>
      </c>
    </row>
    <row r="19" spans="2:5" ht="16.5" x14ac:dyDescent="0.3">
      <c r="B19" s="224">
        <v>2034</v>
      </c>
      <c r="C19" s="192">
        <f t="shared" si="0"/>
        <v>225.79199999999989</v>
      </c>
      <c r="D19" s="196">
        <f t="shared" si="1"/>
        <v>234.82367999999988</v>
      </c>
      <c r="E19" s="218">
        <f t="shared" si="2"/>
        <v>91.068671703135124</v>
      </c>
    </row>
    <row r="20" spans="2:5" ht="16.5" x14ac:dyDescent="0.3">
      <c r="B20" s="224">
        <v>2035</v>
      </c>
      <c r="C20" s="192">
        <f t="shared" si="0"/>
        <v>229.31999999999988</v>
      </c>
      <c r="D20" s="196">
        <f t="shared" si="1"/>
        <v>238.49279999999987</v>
      </c>
      <c r="E20" s="218">
        <f t="shared" si="2"/>
        <v>86.440766073361317</v>
      </c>
    </row>
    <row r="21" spans="2:5" ht="16.5" x14ac:dyDescent="0.3">
      <c r="B21" s="224">
        <v>2036</v>
      </c>
      <c r="C21" s="192">
        <f t="shared" si="0"/>
        <v>232.84799999999987</v>
      </c>
      <c r="D21" s="196">
        <f t="shared" si="1"/>
        <v>242.16191999999987</v>
      </c>
      <c r="E21" s="218">
        <f t="shared" si="2"/>
        <v>82.028620572851864</v>
      </c>
    </row>
    <row r="22" spans="2:5" ht="16.5" x14ac:dyDescent="0.3">
      <c r="B22" s="224">
        <v>2037</v>
      </c>
      <c r="C22" s="192">
        <f t="shared" si="0"/>
        <v>236.37599999999986</v>
      </c>
      <c r="D22" s="196">
        <f t="shared" si="1"/>
        <v>245.83103999999986</v>
      </c>
      <c r="E22" s="218">
        <f t="shared" si="2"/>
        <v>77.823811645158244</v>
      </c>
    </row>
    <row r="23" spans="2:5" ht="16.5" x14ac:dyDescent="0.3">
      <c r="B23" s="224">
        <v>2038</v>
      </c>
      <c r="C23" s="192">
        <f t="shared" si="0"/>
        <v>239.90399999999985</v>
      </c>
      <c r="D23" s="196">
        <f t="shared" si="1"/>
        <v>249.50015999999985</v>
      </c>
      <c r="E23" s="218">
        <f t="shared" si="2"/>
        <v>73.818094460465332</v>
      </c>
    </row>
    <row r="24" spans="2:5" ht="16.5" x14ac:dyDescent="0.3">
      <c r="B24" s="224">
        <v>2039</v>
      </c>
      <c r="C24" s="192">
        <f t="shared" si="0"/>
        <v>243.43199999999985</v>
      </c>
      <c r="D24" s="196">
        <f t="shared" si="1"/>
        <v>253.16927999999984</v>
      </c>
      <c r="E24" s="218">
        <f t="shared" si="2"/>
        <v>70.003415582354421</v>
      </c>
    </row>
    <row r="25" spans="2:5" ht="16.5" x14ac:dyDescent="0.3">
      <c r="B25" s="224">
        <v>2040</v>
      </c>
      <c r="C25" s="192">
        <f t="shared" si="0"/>
        <v>246.95999999999984</v>
      </c>
      <c r="D25" s="196">
        <f t="shared" si="1"/>
        <v>256.83839999999987</v>
      </c>
      <c r="E25" s="218">
        <f t="shared" si="2"/>
        <v>66.371923212309497</v>
      </c>
    </row>
    <row r="26" spans="2:5" ht="16.5" x14ac:dyDescent="0.3">
      <c r="B26" s="224">
        <v>2041</v>
      </c>
      <c r="C26" s="192">
        <f t="shared" si="0"/>
        <v>250.48799999999983</v>
      </c>
      <c r="D26" s="196">
        <f t="shared" si="1"/>
        <v>260.50751999999983</v>
      </c>
      <c r="E26" s="218">
        <f t="shared" si="2"/>
        <v>62.915975274685898</v>
      </c>
    </row>
    <row r="27" spans="2:5" ht="16.5" x14ac:dyDescent="0.3">
      <c r="B27" s="224">
        <v>2042</v>
      </c>
      <c r="C27" s="192">
        <f t="shared" si="0"/>
        <v>254.01599999999982</v>
      </c>
      <c r="D27" s="196">
        <f t="shared" si="1"/>
        <v>264.17663999999985</v>
      </c>
      <c r="E27" s="218">
        <f t="shared" si="2"/>
        <v>59.628145580852774</v>
      </c>
    </row>
    <row r="28" spans="2:5" ht="16.5" x14ac:dyDescent="0.3">
      <c r="B28" s="224">
        <v>2043</v>
      </c>
      <c r="C28" s="192">
        <f t="shared" si="0"/>
        <v>257.54399999999981</v>
      </c>
      <c r="D28" s="196">
        <f t="shared" si="1"/>
        <v>267.84575999999981</v>
      </c>
      <c r="E28" s="218">
        <f t="shared" si="2"/>
        <v>56.501228289229644</v>
      </c>
    </row>
    <row r="29" spans="2:5" ht="16.5" x14ac:dyDescent="0.3">
      <c r="B29" s="224">
        <v>2044</v>
      </c>
      <c r="C29" s="192">
        <f t="shared" si="0"/>
        <v>261.07199999999983</v>
      </c>
      <c r="D29" s="196">
        <f t="shared" si="1"/>
        <v>271.51487999999983</v>
      </c>
      <c r="E29" s="218">
        <f t="shared" si="2"/>
        <v>53.52824085780302</v>
      </c>
    </row>
    <row r="30" spans="2:5" ht="16.5" x14ac:dyDescent="0.3">
      <c r="B30" s="224">
        <v>2045</v>
      </c>
      <c r="C30" s="192">
        <f>'Traffic Assumptions'!AI10*$K$6</f>
        <v>264.60000000000002</v>
      </c>
      <c r="D30" s="196">
        <f t="shared" si="1"/>
        <v>275.18400000000003</v>
      </c>
      <c r="E30" s="218">
        <f t="shared" si="2"/>
        <v>50.702425667279982</v>
      </c>
    </row>
    <row r="31" spans="2:5" ht="16.5" x14ac:dyDescent="0.3">
      <c r="B31" s="224">
        <v>2046</v>
      </c>
      <c r="C31" s="192">
        <f>($C$30-$C$5)/25+C30</f>
        <v>268.12800000000004</v>
      </c>
      <c r="D31" s="196">
        <f t="shared" si="1"/>
        <v>278.85312000000005</v>
      </c>
      <c r="E31" s="218">
        <f t="shared" si="2"/>
        <v>48.017250476177935</v>
      </c>
    </row>
    <row r="32" spans="2:5" ht="16.5" x14ac:dyDescent="0.3">
      <c r="B32" s="224">
        <v>2047</v>
      </c>
      <c r="C32" s="192">
        <f t="shared" ref="C32:C41" si="3">($C$30-$C$5)/25+C31</f>
        <v>271.65600000000006</v>
      </c>
      <c r="D32" s="196">
        <f t="shared" si="1"/>
        <v>282.52224000000007</v>
      </c>
      <c r="E32" s="218">
        <f t="shared" si="2"/>
        <v>45.46640785373463</v>
      </c>
    </row>
    <row r="33" spans="2:5" ht="16.5" x14ac:dyDescent="0.3">
      <c r="B33" s="224">
        <v>2048</v>
      </c>
      <c r="C33" s="192">
        <f t="shared" si="3"/>
        <v>275.18400000000008</v>
      </c>
      <c r="D33" s="196">
        <f t="shared" si="1"/>
        <v>286.19136000000009</v>
      </c>
      <c r="E33" s="218">
        <f t="shared" si="2"/>
        <v>43.043813722433576</v>
      </c>
    </row>
    <row r="34" spans="2:5" ht="16.5" x14ac:dyDescent="0.3">
      <c r="B34" s="224">
        <v>2049</v>
      </c>
      <c r="C34" s="192">
        <f t="shared" si="3"/>
        <v>278.7120000000001</v>
      </c>
      <c r="D34" s="196">
        <f t="shared" si="1"/>
        <v>289.86048000000011</v>
      </c>
      <c r="E34" s="218">
        <f t="shared" si="2"/>
        <v>40.743605129070843</v>
      </c>
    </row>
    <row r="35" spans="2:5" ht="16.5" x14ac:dyDescent="0.3">
      <c r="B35" s="224">
        <v>2050</v>
      </c>
      <c r="C35" s="192">
        <f t="shared" si="3"/>
        <v>282.24000000000012</v>
      </c>
      <c r="D35" s="196">
        <f t="shared" si="1"/>
        <v>293.52960000000013</v>
      </c>
      <c r="E35" s="218">
        <f t="shared" si="2"/>
        <v>38.5601373515399</v>
      </c>
    </row>
    <row r="36" spans="2:5" ht="16.5" x14ac:dyDescent="0.3">
      <c r="B36" s="224">
        <v>2051</v>
      </c>
      <c r="C36" s="192">
        <f t="shared" si="3"/>
        <v>285.76800000000014</v>
      </c>
      <c r="D36" s="196">
        <f t="shared" si="1"/>
        <v>297.19872000000015</v>
      </c>
      <c r="E36" s="218">
        <f t="shared" si="2"/>
        <v>36.48798043778892</v>
      </c>
    </row>
    <row r="37" spans="2:5" ht="16.5" x14ac:dyDescent="0.3">
      <c r="B37" s="224">
        <v>2052</v>
      </c>
      <c r="C37" s="192">
        <f t="shared" si="3"/>
        <v>289.29600000000016</v>
      </c>
      <c r="D37" s="196">
        <f t="shared" si="1"/>
        <v>300.86784000000017</v>
      </c>
      <c r="E37" s="218">
        <f t="shared" si="2"/>
        <v>34.521915263628614</v>
      </c>
    </row>
    <row r="38" spans="2:5" ht="16.5" x14ac:dyDescent="0.3">
      <c r="B38" s="224">
        <v>2053</v>
      </c>
      <c r="C38" s="192">
        <f t="shared" si="3"/>
        <v>292.82400000000018</v>
      </c>
      <c r="D38" s="196">
        <f t="shared" si="1"/>
        <v>304.53696000000019</v>
      </c>
      <c r="E38" s="218">
        <f t="shared" si="2"/>
        <v>32.656929187157225</v>
      </c>
    </row>
    <row r="39" spans="2:5" ht="16.5" x14ac:dyDescent="0.3">
      <c r="B39" s="224">
        <v>2054</v>
      </c>
      <c r="C39" s="192">
        <f t="shared" si="3"/>
        <v>296.3520000000002</v>
      </c>
      <c r="D39" s="196">
        <f t="shared" si="1"/>
        <v>308.20608000000021</v>
      </c>
      <c r="E39" s="218">
        <f t="shared" si="2"/>
        <v>30.888211369453973</v>
      </c>
    </row>
    <row r="40" spans="2:5" ht="16.5" x14ac:dyDescent="0.3">
      <c r="B40" s="224">
        <v>2055</v>
      </c>
      <c r="C40" s="192">
        <f t="shared" si="3"/>
        <v>299.88000000000022</v>
      </c>
      <c r="D40" s="196">
        <f t="shared" si="1"/>
        <v>311.87520000000023</v>
      </c>
      <c r="E40" s="218">
        <f t="shared" si="2"/>
        <v>29.211147823804936</v>
      </c>
    </row>
    <row r="41" spans="2:5" ht="16.5" x14ac:dyDescent="0.3">
      <c r="B41" s="225">
        <v>2056</v>
      </c>
      <c r="C41" s="192">
        <f t="shared" si="3"/>
        <v>303.40800000000024</v>
      </c>
      <c r="D41" s="196">
        <f t="shared" si="1"/>
        <v>315.54432000000025</v>
      </c>
      <c r="E41" s="219">
        <f t="shared" si="2"/>
        <v>27.621316249007418</v>
      </c>
    </row>
    <row r="42" spans="2:5" ht="16.5" x14ac:dyDescent="0.3">
      <c r="B42" s="625" t="s">
        <v>119</v>
      </c>
      <c r="C42" s="626"/>
      <c r="D42" s="627"/>
      <c r="E42" s="216">
        <f>SUM(E4:E41)</f>
        <v>2025.0706745677946</v>
      </c>
    </row>
  </sheetData>
  <mergeCells count="13">
    <mergeCell ref="B2:E2"/>
    <mergeCell ref="G4:Y4"/>
    <mergeCell ref="G5:J5"/>
    <mergeCell ref="L5:Y5"/>
    <mergeCell ref="G6:J6"/>
    <mergeCell ref="L6:Y6"/>
    <mergeCell ref="B42:D42"/>
    <mergeCell ref="G7:J7"/>
    <mergeCell ref="L7:Y7"/>
    <mergeCell ref="G9:J9"/>
    <mergeCell ref="L9:Y9"/>
    <mergeCell ref="G8:J8"/>
    <mergeCell ref="L8:Y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35D5-5E8E-4104-9B05-B50C157CDFB7}">
  <sheetPr>
    <tabColor theme="9" tint="0.39997558519241921"/>
  </sheetPr>
  <dimension ref="B2:Y42"/>
  <sheetViews>
    <sheetView zoomScale="85" zoomScaleNormal="85" workbookViewId="0">
      <selection activeCell="E42" sqref="B2:E42"/>
    </sheetView>
  </sheetViews>
  <sheetFormatPr defaultRowHeight="15" x14ac:dyDescent="0.25"/>
  <cols>
    <col min="3" max="3" width="22.85546875" style="193" customWidth="1"/>
    <col min="4" max="4" width="17.28515625" customWidth="1"/>
    <col min="5" max="5" width="17.7109375" customWidth="1"/>
    <col min="8" max="8" width="9" customWidth="1"/>
  </cols>
  <sheetData>
    <row r="2" spans="2:25" ht="36" customHeight="1" x14ac:dyDescent="0.25">
      <c r="B2" s="451" t="s">
        <v>210</v>
      </c>
      <c r="C2" s="452"/>
      <c r="D2" s="452"/>
      <c r="E2" s="638"/>
    </row>
    <row r="3" spans="2:25" ht="33" x14ac:dyDescent="0.25">
      <c r="B3" s="223" t="s">
        <v>88</v>
      </c>
      <c r="C3" s="190" t="s">
        <v>211</v>
      </c>
      <c r="D3" s="14" t="s">
        <v>212</v>
      </c>
      <c r="E3" s="217" t="s">
        <v>213</v>
      </c>
    </row>
    <row r="4" spans="2:25" ht="16.5" x14ac:dyDescent="0.3">
      <c r="B4" s="224">
        <v>2019</v>
      </c>
      <c r="C4" s="191"/>
      <c r="D4" s="162"/>
      <c r="E4" s="218">
        <v>0</v>
      </c>
      <c r="G4" s="434" t="s">
        <v>100</v>
      </c>
      <c r="H4" s="435"/>
      <c r="I4" s="435"/>
      <c r="J4" s="435"/>
      <c r="K4" s="435"/>
      <c r="L4" s="435"/>
      <c r="M4" s="435"/>
      <c r="N4" s="435"/>
      <c r="O4" s="435"/>
      <c r="P4" s="435"/>
      <c r="Q4" s="435"/>
      <c r="R4" s="435"/>
      <c r="S4" s="435"/>
      <c r="T4" s="435"/>
      <c r="U4" s="435"/>
      <c r="V4" s="435"/>
      <c r="W4" s="435"/>
      <c r="X4" s="435"/>
      <c r="Y4" s="436"/>
    </row>
    <row r="5" spans="2:25" ht="16.5" x14ac:dyDescent="0.3">
      <c r="B5" s="224">
        <v>2020</v>
      </c>
      <c r="C5" s="191">
        <f>'Traffic Assumptions'!AI8*$K$6</f>
        <v>35.28</v>
      </c>
      <c r="D5" s="162"/>
      <c r="E5" s="218">
        <v>0</v>
      </c>
      <c r="G5" s="527" t="s">
        <v>101</v>
      </c>
      <c r="H5" s="528"/>
      <c r="I5" s="528"/>
      <c r="J5" s="528"/>
      <c r="K5" s="10" t="s">
        <v>102</v>
      </c>
      <c r="L5" s="560" t="s">
        <v>103</v>
      </c>
      <c r="M5" s="528"/>
      <c r="N5" s="528"/>
      <c r="O5" s="528"/>
      <c r="P5" s="528"/>
      <c r="Q5" s="528"/>
      <c r="R5" s="528"/>
      <c r="S5" s="528"/>
      <c r="T5" s="528"/>
      <c r="U5" s="528"/>
      <c r="V5" s="528"/>
      <c r="W5" s="528"/>
      <c r="X5" s="528"/>
      <c r="Y5" s="561"/>
    </row>
    <row r="6" spans="2:25" ht="16.5" x14ac:dyDescent="0.3">
      <c r="B6" s="224">
        <v>2021</v>
      </c>
      <c r="C6" s="191">
        <f>($C$30-$C$5)/25+C5</f>
        <v>35.985599999999998</v>
      </c>
      <c r="D6" s="162"/>
      <c r="E6" s="218">
        <v>0</v>
      </c>
      <c r="G6" s="639" t="s">
        <v>214</v>
      </c>
      <c r="H6" s="640"/>
      <c r="I6" s="640"/>
      <c r="J6" s="640"/>
      <c r="K6" s="194">
        <v>0.01</v>
      </c>
      <c r="L6" s="641" t="s">
        <v>215</v>
      </c>
      <c r="M6" s="642"/>
      <c r="N6" s="642"/>
      <c r="O6" s="642"/>
      <c r="P6" s="642"/>
      <c r="Q6" s="642"/>
      <c r="R6" s="642"/>
      <c r="S6" s="642"/>
      <c r="T6" s="642"/>
      <c r="U6" s="642"/>
      <c r="V6" s="642"/>
      <c r="W6" s="642"/>
      <c r="X6" s="642"/>
      <c r="Y6" s="643"/>
    </row>
    <row r="7" spans="2:25" ht="16.5" x14ac:dyDescent="0.3">
      <c r="B7" s="224">
        <v>2022</v>
      </c>
      <c r="C7" s="191">
        <f t="shared" ref="C7:C41" si="0">($C$30-$C$5)/25+C6</f>
        <v>36.691199999999995</v>
      </c>
      <c r="D7" s="162"/>
      <c r="E7" s="218">
        <v>0</v>
      </c>
      <c r="G7" s="556" t="s">
        <v>216</v>
      </c>
      <c r="H7" s="471"/>
      <c r="I7" s="471"/>
      <c r="J7" s="471"/>
      <c r="K7" s="75">
        <v>1.42</v>
      </c>
      <c r="L7" s="565" t="s">
        <v>217</v>
      </c>
      <c r="M7" s="566"/>
      <c r="N7" s="566"/>
      <c r="O7" s="566"/>
      <c r="P7" s="566"/>
      <c r="Q7" s="566"/>
      <c r="R7" s="566"/>
      <c r="S7" s="566"/>
      <c r="T7" s="566"/>
      <c r="U7" s="566"/>
      <c r="V7" s="566"/>
      <c r="W7" s="566"/>
      <c r="X7" s="566"/>
      <c r="Y7" s="567"/>
    </row>
    <row r="8" spans="2:25" ht="16.5" x14ac:dyDescent="0.3">
      <c r="B8" s="224">
        <v>2023</v>
      </c>
      <c r="C8" s="191">
        <f t="shared" si="0"/>
        <v>37.396799999999992</v>
      </c>
      <c r="D8" s="162"/>
      <c r="E8" s="218">
        <v>0</v>
      </c>
      <c r="G8" s="584" t="s">
        <v>209</v>
      </c>
      <c r="H8" s="631"/>
      <c r="I8" s="631"/>
      <c r="J8" s="631"/>
      <c r="K8" s="79">
        <v>1.04</v>
      </c>
      <c r="L8" s="632"/>
      <c r="M8" s="633"/>
      <c r="N8" s="633"/>
      <c r="O8" s="633"/>
      <c r="P8" s="633"/>
      <c r="Q8" s="633"/>
      <c r="R8" s="633"/>
      <c r="S8" s="633"/>
      <c r="T8" s="633"/>
      <c r="U8" s="633"/>
      <c r="V8" s="633"/>
      <c r="W8" s="633"/>
      <c r="X8" s="633"/>
      <c r="Y8" s="634"/>
    </row>
    <row r="9" spans="2:25" ht="16.5" x14ac:dyDescent="0.3">
      <c r="B9" s="224">
        <v>2024</v>
      </c>
      <c r="C9" s="191">
        <f t="shared" si="0"/>
        <v>38.102399999999989</v>
      </c>
      <c r="D9" s="162"/>
      <c r="E9" s="218">
        <v>0</v>
      </c>
    </row>
    <row r="10" spans="2:25" ht="16.5" x14ac:dyDescent="0.3">
      <c r="B10" s="224">
        <v>2025</v>
      </c>
      <c r="C10" s="191">
        <f t="shared" si="0"/>
        <v>38.807999999999986</v>
      </c>
      <c r="D10" s="162"/>
      <c r="E10" s="218">
        <v>0</v>
      </c>
    </row>
    <row r="11" spans="2:25" ht="16.5" x14ac:dyDescent="0.3">
      <c r="B11" s="224">
        <v>2026</v>
      </c>
      <c r="C11" s="191">
        <f t="shared" si="0"/>
        <v>39.513599999999983</v>
      </c>
      <c r="D11" s="162"/>
      <c r="E11" s="218">
        <v>0</v>
      </c>
    </row>
    <row r="12" spans="2:25" ht="16.5" x14ac:dyDescent="0.3">
      <c r="B12" s="224">
        <v>2027</v>
      </c>
      <c r="C12" s="192">
        <f t="shared" si="0"/>
        <v>40.219199999999979</v>
      </c>
      <c r="D12" s="196">
        <f>$K$7*$K$8*C12</f>
        <v>59.395714559999966</v>
      </c>
      <c r="E12" s="218">
        <f>D12/(1.07^(B12-2020))</f>
        <v>36.98866591129083</v>
      </c>
    </row>
    <row r="13" spans="2:25" ht="16.5" x14ac:dyDescent="0.3">
      <c r="B13" s="224">
        <v>2028</v>
      </c>
      <c r="C13" s="192">
        <f t="shared" si="0"/>
        <v>40.924799999999976</v>
      </c>
      <c r="D13" s="196">
        <f t="shared" ref="D13:D41" si="1">$K$7*$K$8*C13</f>
        <v>60.437744639999963</v>
      </c>
      <c r="E13" s="218">
        <f t="shared" ref="E13:E41" si="2">D13/(1.07^(B13-2020))</f>
        <v>35.175317639856829</v>
      </c>
    </row>
    <row r="14" spans="2:25" ht="16.5" x14ac:dyDescent="0.3">
      <c r="B14" s="224">
        <v>2029</v>
      </c>
      <c r="C14" s="192">
        <f t="shared" si="0"/>
        <v>41.630399999999973</v>
      </c>
      <c r="D14" s="196">
        <f t="shared" si="1"/>
        <v>61.479774719999959</v>
      </c>
      <c r="E14" s="218">
        <f t="shared" si="2"/>
        <v>33.440923956679868</v>
      </c>
    </row>
    <row r="15" spans="2:25" ht="16.5" x14ac:dyDescent="0.3">
      <c r="B15" s="224">
        <v>2030</v>
      </c>
      <c r="C15" s="192">
        <f t="shared" si="0"/>
        <v>42.33599999999997</v>
      </c>
      <c r="D15" s="196">
        <f t="shared" si="1"/>
        <v>62.521804799999948</v>
      </c>
      <c r="E15" s="218">
        <f t="shared" si="2"/>
        <v>31.782915213064975</v>
      </c>
    </row>
    <row r="16" spans="2:25" ht="16.5" x14ac:dyDescent="0.3">
      <c r="B16" s="224">
        <v>2031</v>
      </c>
      <c r="C16" s="192">
        <f t="shared" si="0"/>
        <v>43.041599999999967</v>
      </c>
      <c r="D16" s="196">
        <f t="shared" si="1"/>
        <v>63.563834879999945</v>
      </c>
      <c r="E16" s="218">
        <f t="shared" si="2"/>
        <v>30.198720062257994</v>
      </c>
    </row>
    <row r="17" spans="2:5" ht="16.5" x14ac:dyDescent="0.3">
      <c r="B17" s="224">
        <v>2032</v>
      </c>
      <c r="C17" s="192">
        <f t="shared" si="0"/>
        <v>43.747199999999964</v>
      </c>
      <c r="D17" s="196">
        <f t="shared" si="1"/>
        <v>64.605864959999948</v>
      </c>
      <c r="E17" s="218">
        <f t="shared" si="2"/>
        <v>28.685776679331944</v>
      </c>
    </row>
    <row r="18" spans="2:5" ht="16.5" x14ac:dyDescent="0.3">
      <c r="B18" s="224">
        <v>2033</v>
      </c>
      <c r="C18" s="192">
        <f t="shared" si="0"/>
        <v>44.452799999999961</v>
      </c>
      <c r="D18" s="196">
        <f t="shared" si="1"/>
        <v>65.647895039999938</v>
      </c>
      <c r="E18" s="218">
        <f t="shared" si="2"/>
        <v>27.241542520318241</v>
      </c>
    </row>
    <row r="19" spans="2:5" ht="16.5" x14ac:dyDescent="0.3">
      <c r="B19" s="224">
        <v>2034</v>
      </c>
      <c r="C19" s="192">
        <f t="shared" si="0"/>
        <v>45.158399999999958</v>
      </c>
      <c r="D19" s="196">
        <f t="shared" si="1"/>
        <v>66.689925119999927</v>
      </c>
      <c r="E19" s="218">
        <f t="shared" si="2"/>
        <v>25.863502763690363</v>
      </c>
    </row>
    <row r="20" spans="2:5" ht="16.5" x14ac:dyDescent="0.3">
      <c r="B20" s="224">
        <v>2035</v>
      </c>
      <c r="C20" s="192">
        <f t="shared" si="0"/>
        <v>45.863999999999955</v>
      </c>
      <c r="D20" s="196">
        <f t="shared" si="1"/>
        <v>67.731955199999931</v>
      </c>
      <c r="E20" s="218">
        <f t="shared" si="2"/>
        <v>24.549177564834601</v>
      </c>
    </row>
    <row r="21" spans="2:5" ht="16.5" x14ac:dyDescent="0.3">
      <c r="B21" s="224">
        <v>2036</v>
      </c>
      <c r="C21" s="192">
        <f t="shared" si="0"/>
        <v>46.569599999999951</v>
      </c>
      <c r="D21" s="196">
        <f t="shared" si="1"/>
        <v>68.77398527999992</v>
      </c>
      <c r="E21" s="218">
        <f t="shared" si="2"/>
        <v>23.296128242689914</v>
      </c>
    </row>
    <row r="22" spans="2:5" ht="16.5" x14ac:dyDescent="0.3">
      <c r="B22" s="224">
        <v>2037</v>
      </c>
      <c r="C22" s="192">
        <f t="shared" si="0"/>
        <v>47.275199999999948</v>
      </c>
      <c r="D22" s="196">
        <f t="shared" si="1"/>
        <v>69.816015359999923</v>
      </c>
      <c r="E22" s="218">
        <f t="shared" si="2"/>
        <v>22.101962507224929</v>
      </c>
    </row>
    <row r="23" spans="2:5" ht="16.5" x14ac:dyDescent="0.3">
      <c r="B23" s="224">
        <v>2038</v>
      </c>
      <c r="C23" s="192">
        <f t="shared" si="0"/>
        <v>47.980799999999945</v>
      </c>
      <c r="D23" s="196">
        <f t="shared" si="1"/>
        <v>70.858045439999913</v>
      </c>
      <c r="E23" s="218">
        <f t="shared" si="2"/>
        <v>20.964338826772142</v>
      </c>
    </row>
    <row r="24" spans="2:5" ht="16.5" x14ac:dyDescent="0.3">
      <c r="B24" s="224">
        <v>2039</v>
      </c>
      <c r="C24" s="192">
        <f t="shared" si="0"/>
        <v>48.686399999999942</v>
      </c>
      <c r="D24" s="196">
        <f t="shared" si="1"/>
        <v>71.900075519999916</v>
      </c>
      <c r="E24" s="218">
        <f t="shared" si="2"/>
        <v>19.880970025388645</v>
      </c>
    </row>
    <row r="25" spans="2:5" ht="16.5" x14ac:dyDescent="0.3">
      <c r="B25" s="224">
        <v>2040</v>
      </c>
      <c r="C25" s="192">
        <f t="shared" si="0"/>
        <v>49.391999999999939</v>
      </c>
      <c r="D25" s="196">
        <f t="shared" si="1"/>
        <v>72.942105599999906</v>
      </c>
      <c r="E25" s="218">
        <f t="shared" si="2"/>
        <v>18.849626192295883</v>
      </c>
    </row>
    <row r="26" spans="2:5" ht="16.5" x14ac:dyDescent="0.3">
      <c r="B26" s="224">
        <v>2041</v>
      </c>
      <c r="C26" s="192">
        <f t="shared" si="0"/>
        <v>50.097599999999936</v>
      </c>
      <c r="D26" s="196">
        <f t="shared" si="1"/>
        <v>73.984135679999895</v>
      </c>
      <c r="E26" s="218">
        <f t="shared" si="2"/>
        <v>17.868136978010781</v>
      </c>
    </row>
    <row r="27" spans="2:5" ht="16.5" x14ac:dyDescent="0.3">
      <c r="B27" s="224">
        <v>2042</v>
      </c>
      <c r="C27" s="192">
        <f t="shared" si="0"/>
        <v>50.803199999999933</v>
      </c>
      <c r="D27" s="196">
        <f t="shared" si="1"/>
        <v>75.026165759999898</v>
      </c>
      <c r="E27" s="218">
        <f t="shared" si="2"/>
        <v>16.934393344962174</v>
      </c>
    </row>
    <row r="28" spans="2:5" ht="16.5" x14ac:dyDescent="0.3">
      <c r="B28" s="224">
        <v>2043</v>
      </c>
      <c r="C28" s="192">
        <f t="shared" si="0"/>
        <v>51.50879999999993</v>
      </c>
      <c r="D28" s="196">
        <f t="shared" si="1"/>
        <v>76.068195839999888</v>
      </c>
      <c r="E28" s="218">
        <f t="shared" si="2"/>
        <v>16.046348834141206</v>
      </c>
    </row>
    <row r="29" spans="2:5" ht="16.5" x14ac:dyDescent="0.3">
      <c r="B29" s="224">
        <v>2044</v>
      </c>
      <c r="C29" s="192">
        <f t="shared" si="0"/>
        <v>52.214399999999927</v>
      </c>
      <c r="D29" s="196">
        <f t="shared" si="1"/>
        <v>77.110225919999891</v>
      </c>
      <c r="E29" s="218">
        <f t="shared" si="2"/>
        <v>15.202020403616045</v>
      </c>
    </row>
    <row r="30" spans="2:5" ht="16.5" x14ac:dyDescent="0.3">
      <c r="B30" s="224">
        <v>2045</v>
      </c>
      <c r="C30" s="192">
        <f>'Traffic Assumptions'!AI10*$K$6</f>
        <v>52.92</v>
      </c>
      <c r="D30" s="196">
        <f t="shared" si="1"/>
        <v>78.152255999999994</v>
      </c>
      <c r="E30" s="218">
        <f t="shared" si="2"/>
        <v>14.399488889507513</v>
      </c>
    </row>
    <row r="31" spans="2:5" ht="16.5" x14ac:dyDescent="0.3">
      <c r="B31" s="224">
        <v>2046</v>
      </c>
      <c r="C31" s="192">
        <f t="shared" si="0"/>
        <v>53.625599999999999</v>
      </c>
      <c r="D31" s="196">
        <f t="shared" si="1"/>
        <v>79.194286079999998</v>
      </c>
      <c r="E31" s="218">
        <f t="shared" si="2"/>
        <v>13.636899135234531</v>
      </c>
    </row>
    <row r="32" spans="2:5" ht="16.5" x14ac:dyDescent="0.3">
      <c r="B32" s="224">
        <v>2047</v>
      </c>
      <c r="C32" s="192">
        <f t="shared" si="0"/>
        <v>54.331199999999995</v>
      </c>
      <c r="D32" s="196">
        <f t="shared" si="1"/>
        <v>80.236316159999987</v>
      </c>
      <c r="E32" s="218">
        <f t="shared" si="2"/>
        <v>12.91245983046063</v>
      </c>
    </row>
    <row r="33" spans="2:5" ht="16.5" x14ac:dyDescent="0.3">
      <c r="B33" s="224">
        <v>2048</v>
      </c>
      <c r="C33" s="192">
        <f t="shared" si="0"/>
        <v>55.036799999999992</v>
      </c>
      <c r="D33" s="196">
        <f t="shared" si="1"/>
        <v>81.278346239999976</v>
      </c>
      <c r="E33" s="218">
        <f t="shared" si="2"/>
        <v>12.224443097171129</v>
      </c>
    </row>
    <row r="34" spans="2:5" ht="16.5" x14ac:dyDescent="0.3">
      <c r="B34" s="224">
        <v>2049</v>
      </c>
      <c r="C34" s="192">
        <f t="shared" si="0"/>
        <v>55.742399999999989</v>
      </c>
      <c r="D34" s="196">
        <f t="shared" si="1"/>
        <v>82.32037631999998</v>
      </c>
      <c r="E34" s="218">
        <f t="shared" si="2"/>
        <v>11.571183856656113</v>
      </c>
    </row>
    <row r="35" spans="2:5" ht="16.5" x14ac:dyDescent="0.3">
      <c r="B35" s="224">
        <v>2050</v>
      </c>
      <c r="C35" s="192">
        <f t="shared" si="0"/>
        <v>56.447999999999986</v>
      </c>
      <c r="D35" s="196">
        <f t="shared" si="1"/>
        <v>83.362406399999969</v>
      </c>
      <c r="E35" s="218">
        <f t="shared" si="2"/>
        <v>10.951079007837324</v>
      </c>
    </row>
    <row r="36" spans="2:5" ht="16.5" x14ac:dyDescent="0.3">
      <c r="B36" s="224">
        <v>2051</v>
      </c>
      <c r="C36" s="192">
        <f t="shared" si="0"/>
        <v>57.153599999999983</v>
      </c>
      <c r="D36" s="196">
        <f t="shared" si="1"/>
        <v>84.404436479999973</v>
      </c>
      <c r="E36" s="218">
        <f t="shared" si="2"/>
        <v>10.362586444332045</v>
      </c>
    </row>
    <row r="37" spans="2:5" ht="16.5" x14ac:dyDescent="0.3">
      <c r="B37" s="224">
        <v>2052</v>
      </c>
      <c r="C37" s="192">
        <f t="shared" si="0"/>
        <v>57.85919999999998</v>
      </c>
      <c r="D37" s="196">
        <f t="shared" si="1"/>
        <v>85.446466559999962</v>
      </c>
      <c r="E37" s="218">
        <f t="shared" si="2"/>
        <v>9.8042239348705174</v>
      </c>
    </row>
    <row r="38" spans="2:5" ht="16.5" x14ac:dyDescent="0.3">
      <c r="B38" s="224">
        <v>2053</v>
      </c>
      <c r="C38" s="192">
        <f t="shared" si="0"/>
        <v>58.564799999999977</v>
      </c>
      <c r="D38" s="196">
        <f t="shared" si="1"/>
        <v>86.488496639999966</v>
      </c>
      <c r="E38" s="218">
        <f t="shared" si="2"/>
        <v>9.2745678891526424</v>
      </c>
    </row>
    <row r="39" spans="2:5" ht="16.5" x14ac:dyDescent="0.3">
      <c r="B39" s="224">
        <v>2054</v>
      </c>
      <c r="C39" s="192">
        <f t="shared" si="0"/>
        <v>59.270399999999974</v>
      </c>
      <c r="D39" s="196">
        <f t="shared" si="1"/>
        <v>87.530526719999955</v>
      </c>
      <c r="E39" s="218">
        <f t="shared" si="2"/>
        <v>8.7722520289249175</v>
      </c>
    </row>
    <row r="40" spans="2:5" ht="16.5" x14ac:dyDescent="0.3">
      <c r="B40" s="224">
        <v>2055</v>
      </c>
      <c r="C40" s="192">
        <f t="shared" si="0"/>
        <v>59.975999999999971</v>
      </c>
      <c r="D40" s="196">
        <f t="shared" si="1"/>
        <v>88.572556799999944</v>
      </c>
      <c r="E40" s="218">
        <f t="shared" si="2"/>
        <v>8.29596598196059</v>
      </c>
    </row>
    <row r="41" spans="2:5" ht="16.5" x14ac:dyDescent="0.3">
      <c r="B41" s="225">
        <v>2056</v>
      </c>
      <c r="C41" s="192">
        <f t="shared" si="0"/>
        <v>60.681599999999968</v>
      </c>
      <c r="D41" s="196">
        <f t="shared" si="1"/>
        <v>89.614586879999948</v>
      </c>
      <c r="E41" s="220">
        <f t="shared" si="2"/>
        <v>7.8444538147180962</v>
      </c>
    </row>
    <row r="42" spans="2:5" ht="16.5" x14ac:dyDescent="0.3">
      <c r="B42" s="625" t="s">
        <v>119</v>
      </c>
      <c r="C42" s="510"/>
      <c r="D42" s="644"/>
      <c r="E42" s="221">
        <f>SUM(E4:E41)</f>
        <v>575.12007157725327</v>
      </c>
    </row>
  </sheetData>
  <mergeCells count="11">
    <mergeCell ref="B42:D42"/>
    <mergeCell ref="G8:J8"/>
    <mergeCell ref="L8:Y8"/>
    <mergeCell ref="B2:E2"/>
    <mergeCell ref="G4:Y4"/>
    <mergeCell ref="G5:J5"/>
    <mergeCell ref="L5:Y5"/>
    <mergeCell ref="G6:J6"/>
    <mergeCell ref="L6:Y6"/>
    <mergeCell ref="G7:J7"/>
    <mergeCell ref="L7:Y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F775-5BD7-4E67-8202-8F35FC503B2D}">
  <sheetPr>
    <tabColor theme="9" tint="0.39997558519241921"/>
  </sheetPr>
  <dimension ref="B2:Z42"/>
  <sheetViews>
    <sheetView zoomScale="85" zoomScaleNormal="85" workbookViewId="0">
      <selection activeCell="B2" sqref="B2:F42"/>
    </sheetView>
  </sheetViews>
  <sheetFormatPr defaultRowHeight="15" x14ac:dyDescent="0.25"/>
  <cols>
    <col min="3" max="3" width="22.5703125" customWidth="1"/>
    <col min="4" max="4" width="22.85546875" customWidth="1"/>
    <col min="5" max="6" width="17.7109375" customWidth="1"/>
    <col min="9" max="9" width="9" customWidth="1"/>
  </cols>
  <sheetData>
    <row r="2" spans="2:26" ht="15.75" x14ac:dyDescent="0.25">
      <c r="B2" s="451" t="s">
        <v>218</v>
      </c>
      <c r="C2" s="452"/>
      <c r="D2" s="452"/>
      <c r="E2" s="452"/>
      <c r="F2" s="638"/>
    </row>
    <row r="3" spans="2:26" ht="33.75" customHeight="1" x14ac:dyDescent="0.25">
      <c r="B3" s="223" t="s">
        <v>88</v>
      </c>
      <c r="C3" s="163" t="s">
        <v>200</v>
      </c>
      <c r="D3" s="163" t="s">
        <v>219</v>
      </c>
      <c r="E3" s="14" t="s">
        <v>220</v>
      </c>
      <c r="F3" s="217" t="s">
        <v>221</v>
      </c>
    </row>
    <row r="4" spans="2:26" ht="16.5" x14ac:dyDescent="0.3">
      <c r="B4" s="224">
        <v>2019</v>
      </c>
      <c r="C4" s="164"/>
      <c r="D4" s="164"/>
      <c r="E4" s="162"/>
      <c r="F4" s="218">
        <v>0</v>
      </c>
      <c r="H4" s="434" t="s">
        <v>100</v>
      </c>
      <c r="I4" s="435"/>
      <c r="J4" s="435"/>
      <c r="K4" s="435"/>
      <c r="L4" s="435"/>
      <c r="M4" s="435"/>
      <c r="N4" s="435"/>
      <c r="O4" s="435"/>
      <c r="P4" s="435"/>
      <c r="Q4" s="435"/>
      <c r="R4" s="435"/>
      <c r="S4" s="435"/>
      <c r="T4" s="435"/>
      <c r="U4" s="435"/>
      <c r="V4" s="435"/>
      <c r="W4" s="435"/>
      <c r="X4" s="435"/>
      <c r="Y4" s="435"/>
      <c r="Z4" s="436"/>
    </row>
    <row r="5" spans="2:26" ht="16.5" x14ac:dyDescent="0.3">
      <c r="B5" s="224">
        <v>2020</v>
      </c>
      <c r="C5" s="191">
        <f>'Ped Impvt Benefits'!C5</f>
        <v>176.4</v>
      </c>
      <c r="D5" s="191">
        <f>'Cycling Impvt Benefits'!C5</f>
        <v>35.28</v>
      </c>
      <c r="E5" s="162"/>
      <c r="F5" s="218">
        <v>0</v>
      </c>
      <c r="H5" s="527" t="s">
        <v>101</v>
      </c>
      <c r="I5" s="528"/>
      <c r="J5" s="528"/>
      <c r="K5" s="528"/>
      <c r="L5" s="10" t="s">
        <v>102</v>
      </c>
      <c r="M5" s="560" t="s">
        <v>103</v>
      </c>
      <c r="N5" s="528"/>
      <c r="O5" s="528"/>
      <c r="P5" s="528"/>
      <c r="Q5" s="528"/>
      <c r="R5" s="528"/>
      <c r="S5" s="528"/>
      <c r="T5" s="528"/>
      <c r="U5" s="528"/>
      <c r="V5" s="528"/>
      <c r="W5" s="528"/>
      <c r="X5" s="528"/>
      <c r="Y5" s="528"/>
      <c r="Z5" s="561"/>
    </row>
    <row r="6" spans="2:26" ht="16.5" x14ac:dyDescent="0.3">
      <c r="B6" s="224">
        <v>2021</v>
      </c>
      <c r="C6" s="191">
        <f>'Ped Impvt Benefits'!C6</f>
        <v>179.928</v>
      </c>
      <c r="D6" s="191">
        <f>'Cycling Impvt Benefits'!C6</f>
        <v>35.985599999999998</v>
      </c>
      <c r="E6" s="162"/>
      <c r="F6" s="218">
        <v>0</v>
      </c>
      <c r="H6" s="574" t="s">
        <v>203</v>
      </c>
      <c r="I6" s="575"/>
      <c r="J6" s="575"/>
      <c r="K6" s="601"/>
      <c r="L6" s="194">
        <v>0.05</v>
      </c>
      <c r="M6" s="648" t="s">
        <v>215</v>
      </c>
      <c r="N6" s="649"/>
      <c r="O6" s="649"/>
      <c r="P6" s="649"/>
      <c r="Q6" s="649"/>
      <c r="R6" s="649"/>
      <c r="S6" s="649"/>
      <c r="T6" s="649"/>
      <c r="U6" s="649"/>
      <c r="V6" s="649"/>
      <c r="W6" s="649"/>
      <c r="X6" s="649"/>
      <c r="Y6" s="649"/>
      <c r="Z6" s="650"/>
    </row>
    <row r="7" spans="2:26" ht="16.5" x14ac:dyDescent="0.3">
      <c r="B7" s="224">
        <v>2022</v>
      </c>
      <c r="C7" s="191">
        <f>'Ped Impvt Benefits'!C7</f>
        <v>183.45599999999999</v>
      </c>
      <c r="D7" s="191">
        <f>'Cycling Impvt Benefits'!C7</f>
        <v>36.691199999999995</v>
      </c>
      <c r="E7" s="162"/>
      <c r="F7" s="218">
        <v>0</v>
      </c>
      <c r="H7" s="529" t="s">
        <v>214</v>
      </c>
      <c r="I7" s="474"/>
      <c r="J7" s="474"/>
      <c r="K7" s="474"/>
      <c r="L7" s="195">
        <v>0.01</v>
      </c>
      <c r="M7" s="628" t="s">
        <v>215</v>
      </c>
      <c r="N7" s="629"/>
      <c r="O7" s="629"/>
      <c r="P7" s="629"/>
      <c r="Q7" s="629"/>
      <c r="R7" s="629"/>
      <c r="S7" s="629"/>
      <c r="T7" s="629"/>
      <c r="U7" s="629"/>
      <c r="V7" s="629"/>
      <c r="W7" s="629"/>
      <c r="X7" s="629"/>
      <c r="Y7" s="629"/>
      <c r="Z7" s="630"/>
    </row>
    <row r="8" spans="2:26" ht="16.5" x14ac:dyDescent="0.3">
      <c r="B8" s="224">
        <v>2023</v>
      </c>
      <c r="C8" s="191">
        <f>'Ped Impvt Benefits'!C8</f>
        <v>186.98399999999998</v>
      </c>
      <c r="D8" s="191">
        <f>'Cycling Impvt Benefits'!C8</f>
        <v>37.396799999999992</v>
      </c>
      <c r="E8" s="162"/>
      <c r="F8" s="218">
        <v>0</v>
      </c>
      <c r="H8" s="556" t="s">
        <v>222</v>
      </c>
      <c r="I8" s="471"/>
      <c r="J8" s="471"/>
      <c r="K8" s="471"/>
      <c r="L8" s="75">
        <v>7.08</v>
      </c>
      <c r="M8" s="628" t="s">
        <v>223</v>
      </c>
      <c r="N8" s="629"/>
      <c r="O8" s="629"/>
      <c r="P8" s="629"/>
      <c r="Q8" s="629"/>
      <c r="R8" s="629"/>
      <c r="S8" s="629"/>
      <c r="T8" s="629"/>
      <c r="U8" s="629"/>
      <c r="V8" s="629"/>
      <c r="W8" s="629"/>
      <c r="X8" s="629"/>
      <c r="Y8" s="629"/>
      <c r="Z8" s="630"/>
    </row>
    <row r="9" spans="2:26" ht="16.5" x14ac:dyDescent="0.3">
      <c r="B9" s="224">
        <v>2024</v>
      </c>
      <c r="C9" s="191">
        <f>'Ped Impvt Benefits'!C9</f>
        <v>190.51199999999997</v>
      </c>
      <c r="D9" s="191">
        <f>'Cycling Impvt Benefits'!C9</f>
        <v>38.102399999999989</v>
      </c>
      <c r="E9" s="162"/>
      <c r="F9" s="218">
        <v>0</v>
      </c>
      <c r="H9" s="556" t="s">
        <v>224</v>
      </c>
      <c r="I9" s="471"/>
      <c r="J9" s="471"/>
      <c r="K9" s="471"/>
      <c r="L9" s="75">
        <v>6.31</v>
      </c>
      <c r="M9" s="628" t="s">
        <v>225</v>
      </c>
      <c r="N9" s="629"/>
      <c r="O9" s="629"/>
      <c r="P9" s="629"/>
      <c r="Q9" s="629"/>
      <c r="R9" s="629"/>
      <c r="S9" s="629"/>
      <c r="T9" s="629"/>
      <c r="U9" s="629"/>
      <c r="V9" s="629"/>
      <c r="W9" s="629"/>
      <c r="X9" s="629"/>
      <c r="Y9" s="629"/>
      <c r="Z9" s="630"/>
    </row>
    <row r="10" spans="2:26" ht="16.5" x14ac:dyDescent="0.3">
      <c r="B10" s="224">
        <v>2025</v>
      </c>
      <c r="C10" s="191">
        <f>'Ped Impvt Benefits'!C10</f>
        <v>194.03999999999996</v>
      </c>
      <c r="D10" s="191">
        <f>'Cycling Impvt Benefits'!C10</f>
        <v>38.807999999999986</v>
      </c>
      <c r="E10" s="162"/>
      <c r="F10" s="218">
        <v>0</v>
      </c>
      <c r="H10" s="529" t="s">
        <v>226</v>
      </c>
      <c r="I10" s="474"/>
      <c r="J10" s="474"/>
      <c r="K10" s="474"/>
      <c r="L10" s="77">
        <v>0.68</v>
      </c>
      <c r="M10" s="628" t="s">
        <v>227</v>
      </c>
      <c r="N10" s="629"/>
      <c r="O10" s="629"/>
      <c r="P10" s="629"/>
      <c r="Q10" s="629"/>
      <c r="R10" s="629"/>
      <c r="S10" s="629"/>
      <c r="T10" s="629"/>
      <c r="U10" s="629"/>
      <c r="V10" s="629"/>
      <c r="W10" s="629"/>
      <c r="X10" s="629"/>
      <c r="Y10" s="629"/>
      <c r="Z10" s="630"/>
    </row>
    <row r="11" spans="2:26" ht="16.5" x14ac:dyDescent="0.3">
      <c r="B11" s="224">
        <v>2026</v>
      </c>
      <c r="C11" s="191">
        <f>'Ped Impvt Benefits'!C11</f>
        <v>197.56799999999996</v>
      </c>
      <c r="D11" s="191">
        <f>'Cycling Impvt Benefits'!C11</f>
        <v>39.513599999999983</v>
      </c>
      <c r="E11" s="162"/>
      <c r="F11" s="218">
        <v>0</v>
      </c>
      <c r="H11" s="529" t="s">
        <v>228</v>
      </c>
      <c r="I11" s="474"/>
      <c r="J11" s="474"/>
      <c r="K11" s="474"/>
      <c r="L11" s="78">
        <v>0.59</v>
      </c>
      <c r="M11" s="628" t="s">
        <v>227</v>
      </c>
      <c r="N11" s="629"/>
      <c r="O11" s="629"/>
      <c r="P11" s="629"/>
      <c r="Q11" s="629"/>
      <c r="R11" s="629"/>
      <c r="S11" s="629"/>
      <c r="T11" s="629"/>
      <c r="U11" s="629"/>
      <c r="V11" s="629"/>
      <c r="W11" s="629"/>
      <c r="X11" s="629"/>
      <c r="Y11" s="629"/>
      <c r="Z11" s="630"/>
    </row>
    <row r="12" spans="2:26" ht="16.5" customHeight="1" x14ac:dyDescent="0.3">
      <c r="B12" s="224">
        <v>2027</v>
      </c>
      <c r="C12" s="192">
        <f>'Ped Impvt Benefits'!C12</f>
        <v>201.09599999999995</v>
      </c>
      <c r="D12" s="192">
        <f>'Cycling Impvt Benefits'!C12</f>
        <v>40.219199999999979</v>
      </c>
      <c r="E12" s="196">
        <f>$L$12*($L$8*$L$10*C12+$L$9*$L$11*D12)</f>
        <v>1162.6041877631994</v>
      </c>
      <c r="F12" s="218">
        <f>E12/(1.07^(B12-2020))</f>
        <v>724.01145784347716</v>
      </c>
      <c r="H12" s="584" t="s">
        <v>209</v>
      </c>
      <c r="I12" s="631"/>
      <c r="J12" s="631"/>
      <c r="K12" s="631"/>
      <c r="L12" s="79">
        <v>1.04</v>
      </c>
      <c r="M12" s="645"/>
      <c r="N12" s="646"/>
      <c r="O12" s="646"/>
      <c r="P12" s="646"/>
      <c r="Q12" s="646"/>
      <c r="R12" s="646"/>
      <c r="S12" s="646"/>
      <c r="T12" s="646"/>
      <c r="U12" s="646"/>
      <c r="V12" s="646"/>
      <c r="W12" s="646"/>
      <c r="X12" s="646"/>
      <c r="Y12" s="646"/>
      <c r="Z12" s="647"/>
    </row>
    <row r="13" spans="2:26" ht="16.5" x14ac:dyDescent="0.3">
      <c r="B13" s="224">
        <v>2028</v>
      </c>
      <c r="C13" s="192">
        <f>'Ped Impvt Benefits'!C13</f>
        <v>204.62399999999994</v>
      </c>
      <c r="D13" s="192">
        <f>'Cycling Impvt Benefits'!C13</f>
        <v>40.924799999999976</v>
      </c>
      <c r="E13" s="196">
        <f t="shared" ref="E13:E41" si="0">$L$12*($L$8*$L$10*C13+$L$9*$L$11*D13)</f>
        <v>1183.0007524607997</v>
      </c>
      <c r="F13" s="218">
        <f t="shared" ref="F13:F41" si="1">E13/(1.07^(B13-2020))</f>
        <v>688.51720863947673</v>
      </c>
    </row>
    <row r="14" spans="2:26" ht="16.5" x14ac:dyDescent="0.3">
      <c r="B14" s="224">
        <v>2029</v>
      </c>
      <c r="C14" s="192">
        <f>'Ped Impvt Benefits'!C14</f>
        <v>208.15199999999993</v>
      </c>
      <c r="D14" s="192">
        <f>'Cycling Impvt Benefits'!C14</f>
        <v>41.630399999999973</v>
      </c>
      <c r="E14" s="196">
        <f t="shared" si="0"/>
        <v>1203.3973171583998</v>
      </c>
      <c r="F14" s="218">
        <f t="shared" si="1"/>
        <v>654.56840653769132</v>
      </c>
    </row>
    <row r="15" spans="2:26" ht="16.5" x14ac:dyDescent="0.3">
      <c r="B15" s="224">
        <v>2030</v>
      </c>
      <c r="C15" s="192">
        <f>'Ped Impvt Benefits'!C15</f>
        <v>211.67999999999992</v>
      </c>
      <c r="D15" s="192">
        <f>'Cycling Impvt Benefits'!C15</f>
        <v>42.33599999999997</v>
      </c>
      <c r="E15" s="196">
        <f t="shared" si="0"/>
        <v>1223.7938818559994</v>
      </c>
      <c r="F15" s="218">
        <f t="shared" si="1"/>
        <v>622.11475356029575</v>
      </c>
    </row>
    <row r="16" spans="2:26" ht="16.5" x14ac:dyDescent="0.3">
      <c r="B16" s="224">
        <v>2031</v>
      </c>
      <c r="C16" s="192">
        <f>'Ped Impvt Benefits'!C16</f>
        <v>215.20799999999991</v>
      </c>
      <c r="D16" s="192">
        <f>'Cycling Impvt Benefits'!C16</f>
        <v>43.041599999999967</v>
      </c>
      <c r="E16" s="196">
        <f t="shared" si="0"/>
        <v>1244.1904465535993</v>
      </c>
      <c r="F16" s="218">
        <f t="shared" si="1"/>
        <v>591.1059184918696</v>
      </c>
    </row>
    <row r="17" spans="2:6" ht="16.5" x14ac:dyDescent="0.3">
      <c r="B17" s="224">
        <v>2032</v>
      </c>
      <c r="C17" s="192">
        <f>'Ped Impvt Benefits'!C17</f>
        <v>218.7359999999999</v>
      </c>
      <c r="D17" s="192">
        <f>'Cycling Impvt Benefits'!C17</f>
        <v>43.747199999999964</v>
      </c>
      <c r="E17" s="196">
        <f t="shared" si="0"/>
        <v>1264.5870112511993</v>
      </c>
      <c r="F17" s="218">
        <f t="shared" si="1"/>
        <v>561.4917564960308</v>
      </c>
    </row>
    <row r="18" spans="2:6" ht="16.5" x14ac:dyDescent="0.3">
      <c r="B18" s="224">
        <v>2033</v>
      </c>
      <c r="C18" s="192">
        <f>'Ped Impvt Benefits'!C18</f>
        <v>222.2639999999999</v>
      </c>
      <c r="D18" s="192">
        <f>'Cycling Impvt Benefits'!C18</f>
        <v>44.452799999999961</v>
      </c>
      <c r="E18" s="196">
        <f t="shared" si="0"/>
        <v>1284.9835759487992</v>
      </c>
      <c r="F18" s="218">
        <f t="shared" si="1"/>
        <v>533.22250013943221</v>
      </c>
    </row>
    <row r="19" spans="2:6" ht="16.5" x14ac:dyDescent="0.3">
      <c r="B19" s="224">
        <v>2034</v>
      </c>
      <c r="C19" s="192">
        <f>'Ped Impvt Benefits'!C19</f>
        <v>225.79199999999989</v>
      </c>
      <c r="D19" s="192">
        <f>'Cycling Impvt Benefits'!C19</f>
        <v>45.158399999999958</v>
      </c>
      <c r="E19" s="196">
        <f t="shared" si="0"/>
        <v>1305.3801406463992</v>
      </c>
      <c r="F19" s="218">
        <f t="shared" si="1"/>
        <v>506.24892462429409</v>
      </c>
    </row>
    <row r="20" spans="2:6" ht="16.5" x14ac:dyDescent="0.3">
      <c r="B20" s="224">
        <v>2035</v>
      </c>
      <c r="C20" s="192">
        <f>'Ped Impvt Benefits'!C20</f>
        <v>229.31999999999988</v>
      </c>
      <c r="D20" s="192">
        <f>'Cycling Impvt Benefits'!C20</f>
        <v>45.863999999999955</v>
      </c>
      <c r="E20" s="196">
        <f t="shared" si="0"/>
        <v>1325.7767053439993</v>
      </c>
      <c r="F20" s="218">
        <f t="shared" si="1"/>
        <v>480.52248978649408</v>
      </c>
    </row>
    <row r="21" spans="2:6" ht="16.5" x14ac:dyDescent="0.3">
      <c r="B21" s="224">
        <v>2036</v>
      </c>
      <c r="C21" s="192">
        <f>'Ped Impvt Benefits'!C21</f>
        <v>232.84799999999987</v>
      </c>
      <c r="D21" s="192">
        <f>'Cycling Impvt Benefits'!C21</f>
        <v>46.569599999999951</v>
      </c>
      <c r="E21" s="196">
        <f t="shared" si="0"/>
        <v>1346.1732700415992</v>
      </c>
      <c r="F21" s="218">
        <f t="shared" si="1"/>
        <v>455.99546119207201</v>
      </c>
    </row>
    <row r="22" spans="2:6" ht="16.5" x14ac:dyDescent="0.3">
      <c r="B22" s="224">
        <v>2037</v>
      </c>
      <c r="C22" s="192">
        <f>'Ped Impvt Benefits'!C22</f>
        <v>236.37599999999986</v>
      </c>
      <c r="D22" s="192">
        <f>'Cycling Impvt Benefits'!C22</f>
        <v>47.275199999999948</v>
      </c>
      <c r="E22" s="196">
        <f t="shared" si="0"/>
        <v>1366.569834739199</v>
      </c>
      <c r="F22" s="218">
        <f t="shared" si="1"/>
        <v>432.62101245920167</v>
      </c>
    </row>
    <row r="23" spans="2:6" ht="16.5" x14ac:dyDescent="0.3">
      <c r="B23" s="224">
        <v>2038</v>
      </c>
      <c r="C23" s="192">
        <f>'Ped Impvt Benefits'!C23</f>
        <v>239.90399999999985</v>
      </c>
      <c r="D23" s="192">
        <f>'Cycling Impvt Benefits'!C23</f>
        <v>47.980799999999945</v>
      </c>
      <c r="E23" s="196">
        <f t="shared" si="0"/>
        <v>1386.9663994367991</v>
      </c>
      <c r="F23" s="218">
        <f t="shared" si="1"/>
        <v>410.35331074383754</v>
      </c>
    </row>
    <row r="24" spans="2:6" ht="16.5" x14ac:dyDescent="0.3">
      <c r="B24" s="224">
        <v>2039</v>
      </c>
      <c r="C24" s="192">
        <f>'Ped Impvt Benefits'!C24</f>
        <v>243.43199999999985</v>
      </c>
      <c r="D24" s="192">
        <f>'Cycling Impvt Benefits'!C24</f>
        <v>48.686399999999942</v>
      </c>
      <c r="E24" s="196">
        <f t="shared" si="0"/>
        <v>1407.3629641343989</v>
      </c>
      <c r="F24" s="218">
        <f t="shared" si="1"/>
        <v>389.14758715399654</v>
      </c>
    </row>
    <row r="25" spans="2:6" ht="16.5" x14ac:dyDescent="0.3">
      <c r="B25" s="224">
        <v>2040</v>
      </c>
      <c r="C25" s="192">
        <f>'Ped Impvt Benefits'!C25</f>
        <v>246.95999999999984</v>
      </c>
      <c r="D25" s="192">
        <f>'Cycling Impvt Benefits'!C25</f>
        <v>49.391999999999939</v>
      </c>
      <c r="E25" s="196">
        <f t="shared" si="0"/>
        <v>1427.759528831999</v>
      </c>
      <c r="F25" s="218">
        <f t="shared" si="1"/>
        <v>368.96019369876421</v>
      </c>
    </row>
    <row r="26" spans="2:6" ht="16.5" x14ac:dyDescent="0.3">
      <c r="B26" s="224">
        <v>2041</v>
      </c>
      <c r="C26" s="192">
        <f>'Ped Impvt Benefits'!C26</f>
        <v>250.48799999999983</v>
      </c>
      <c r="D26" s="192">
        <f>'Cycling Impvt Benefits'!C26</f>
        <v>50.097599999999936</v>
      </c>
      <c r="E26" s="196">
        <f t="shared" si="0"/>
        <v>1448.156093529599</v>
      </c>
      <c r="F26" s="218">
        <f t="shared" si="1"/>
        <v>349.74864823247339</v>
      </c>
    </row>
    <row r="27" spans="2:6" ht="16.5" x14ac:dyDescent="0.3">
      <c r="B27" s="224">
        <v>2042</v>
      </c>
      <c r="C27" s="192">
        <f>'Ped Impvt Benefits'!C27</f>
        <v>254.01599999999982</v>
      </c>
      <c r="D27" s="192">
        <f>'Cycling Impvt Benefits'!C27</f>
        <v>50.803199999999933</v>
      </c>
      <c r="E27" s="196">
        <f t="shared" si="0"/>
        <v>1468.5526582271989</v>
      </c>
      <c r="F27" s="218">
        <f t="shared" si="1"/>
        <v>331.4716687210489</v>
      </c>
    </row>
    <row r="28" spans="2:6" ht="16.5" x14ac:dyDescent="0.3">
      <c r="B28" s="224">
        <v>2043</v>
      </c>
      <c r="C28" s="192">
        <f>'Ped Impvt Benefits'!C28</f>
        <v>257.54399999999981</v>
      </c>
      <c r="D28" s="192">
        <f>'Cycling Impvt Benefits'!C28</f>
        <v>51.50879999999993</v>
      </c>
      <c r="E28" s="196">
        <f t="shared" si="0"/>
        <v>1488.9492229247987</v>
      </c>
      <c r="F28" s="218">
        <f t="shared" si="1"/>
        <v>314.08919803526175</v>
      </c>
    </row>
    <row r="29" spans="2:6" ht="16.5" x14ac:dyDescent="0.3">
      <c r="B29" s="224">
        <v>2044</v>
      </c>
      <c r="C29" s="192">
        <f>'Ped Impvt Benefits'!C29</f>
        <v>261.07199999999983</v>
      </c>
      <c r="D29" s="192">
        <f>'Cycling Impvt Benefits'!C29</f>
        <v>52.214399999999927</v>
      </c>
      <c r="E29" s="196">
        <f t="shared" si="0"/>
        <v>1509.3457876223988</v>
      </c>
      <c r="F29" s="218">
        <f t="shared" si="1"/>
        <v>297.56242036370975</v>
      </c>
    </row>
    <row r="30" spans="2:6" ht="16.5" x14ac:dyDescent="0.3">
      <c r="B30" s="224">
        <v>2045</v>
      </c>
      <c r="C30" s="192">
        <f>'Ped Impvt Benefits'!C30</f>
        <v>264.60000000000002</v>
      </c>
      <c r="D30" s="192">
        <f>'Cycling Impvt Benefits'!C30</f>
        <v>52.92</v>
      </c>
      <c r="E30" s="196">
        <f t="shared" si="0"/>
        <v>1529.7423523200002</v>
      </c>
      <c r="F30" s="218">
        <f t="shared" si="1"/>
        <v>281.85377023589609</v>
      </c>
    </row>
    <row r="31" spans="2:6" ht="16.5" x14ac:dyDescent="0.3">
      <c r="B31" s="224">
        <v>2046</v>
      </c>
      <c r="C31" s="192">
        <f>'Ped Impvt Benefits'!C31</f>
        <v>268.12800000000004</v>
      </c>
      <c r="D31" s="192">
        <f>'Cycling Impvt Benefits'!C31</f>
        <v>53.625599999999999</v>
      </c>
      <c r="E31" s="196">
        <f t="shared" si="0"/>
        <v>1550.1389170176003</v>
      </c>
      <c r="F31" s="218">
        <f t="shared" si="1"/>
        <v>266.92693505206364</v>
      </c>
    </row>
    <row r="32" spans="2:6" ht="16.5" x14ac:dyDescent="0.3">
      <c r="B32" s="224">
        <v>2047</v>
      </c>
      <c r="C32" s="192">
        <f>'Ped Impvt Benefits'!C32</f>
        <v>271.65600000000006</v>
      </c>
      <c r="D32" s="192">
        <f>'Cycling Impvt Benefits'!C32</f>
        <v>54.331199999999995</v>
      </c>
      <c r="E32" s="196">
        <f t="shared" si="0"/>
        <v>1570.5354817152004</v>
      </c>
      <c r="F32" s="218">
        <f t="shared" si="1"/>
        <v>252.74685193075376</v>
      </c>
    </row>
    <row r="33" spans="2:6" ht="16.5" x14ac:dyDescent="0.3">
      <c r="B33" s="224">
        <v>2048</v>
      </c>
      <c r="C33" s="192">
        <f>'Ped Impvt Benefits'!C33</f>
        <v>275.18400000000008</v>
      </c>
      <c r="D33" s="192">
        <f>'Cycling Impvt Benefits'!C33</f>
        <v>55.036799999999992</v>
      </c>
      <c r="E33" s="196">
        <f t="shared" si="0"/>
        <v>1590.9320464128002</v>
      </c>
      <c r="F33" s="218">
        <f t="shared" si="1"/>
        <v>239.27969960673377</v>
      </c>
    </row>
    <row r="34" spans="2:6" ht="16.5" x14ac:dyDescent="0.3">
      <c r="B34" s="224">
        <v>2049</v>
      </c>
      <c r="C34" s="192">
        <f>'Ped Impvt Benefits'!C34</f>
        <v>278.7120000000001</v>
      </c>
      <c r="D34" s="192">
        <f>'Cycling Impvt Benefits'!C34</f>
        <v>55.742399999999989</v>
      </c>
      <c r="E34" s="196">
        <f t="shared" si="0"/>
        <v>1611.3286111104005</v>
      </c>
      <c r="F34" s="218">
        <f t="shared" si="1"/>
        <v>226.49288604040223</v>
      </c>
    </row>
    <row r="35" spans="2:6" ht="16.5" x14ac:dyDescent="0.3">
      <c r="B35" s="224">
        <v>2050</v>
      </c>
      <c r="C35" s="192">
        <f>'Ped Impvt Benefits'!C35</f>
        <v>282.24000000000012</v>
      </c>
      <c r="D35" s="192">
        <f>'Cycling Impvt Benefits'!C35</f>
        <v>56.447999999999986</v>
      </c>
      <c r="E35" s="196">
        <f t="shared" si="0"/>
        <v>1631.7251758080006</v>
      </c>
      <c r="F35" s="218">
        <f t="shared" si="1"/>
        <v>214.35503233446326</v>
      </c>
    </row>
    <row r="36" spans="2:6" ht="16.5" x14ac:dyDescent="0.3">
      <c r="B36" s="224">
        <v>2051</v>
      </c>
      <c r="C36" s="192">
        <f>'Ped Impvt Benefits'!C36</f>
        <v>285.76800000000014</v>
      </c>
      <c r="D36" s="192">
        <f>'Cycling Impvt Benefits'!C36</f>
        <v>57.153599999999983</v>
      </c>
      <c r="E36" s="196">
        <f t="shared" si="0"/>
        <v>1652.1217405056007</v>
      </c>
      <c r="F36" s="218">
        <f t="shared" si="1"/>
        <v>202.83595349405982</v>
      </c>
    </row>
    <row r="37" spans="2:6" ht="16.5" x14ac:dyDescent="0.3">
      <c r="B37" s="224">
        <v>2052</v>
      </c>
      <c r="C37" s="192">
        <f>'Ped Impvt Benefits'!C37</f>
        <v>289.29600000000016</v>
      </c>
      <c r="D37" s="192">
        <f>'Cycling Impvt Benefits'!C37</f>
        <v>57.85919999999998</v>
      </c>
      <c r="E37" s="196">
        <f t="shared" si="0"/>
        <v>1672.5183052032007</v>
      </c>
      <c r="F37" s="218">
        <f t="shared" si="1"/>
        <v>191.90663651220618</v>
      </c>
    </row>
    <row r="38" spans="2:6" ht="16.5" x14ac:dyDescent="0.3">
      <c r="B38" s="224">
        <v>2053</v>
      </c>
      <c r="C38" s="192">
        <f>'Ped Impvt Benefits'!C38</f>
        <v>292.82400000000018</v>
      </c>
      <c r="D38" s="192">
        <f>'Cycling Impvt Benefits'!C38</f>
        <v>58.564799999999977</v>
      </c>
      <c r="E38" s="196">
        <f t="shared" si="0"/>
        <v>1692.9148699008008</v>
      </c>
      <c r="F38" s="218">
        <f t="shared" si="1"/>
        <v>181.53921621282325</v>
      </c>
    </row>
    <row r="39" spans="2:6" ht="16.5" x14ac:dyDescent="0.3">
      <c r="B39" s="224">
        <v>2054</v>
      </c>
      <c r="C39" s="192">
        <f>'Ped Impvt Benefits'!C39</f>
        <v>296.3520000000002</v>
      </c>
      <c r="D39" s="192">
        <f>'Cycling Impvt Benefits'!C39</f>
        <v>59.270399999999974</v>
      </c>
      <c r="E39" s="196">
        <f t="shared" si="0"/>
        <v>1713.3114345984011</v>
      </c>
      <c r="F39" s="218">
        <f t="shared" si="1"/>
        <v>171.70694923856723</v>
      </c>
    </row>
    <row r="40" spans="2:6" ht="16.5" x14ac:dyDescent="0.3">
      <c r="B40" s="224">
        <v>2055</v>
      </c>
      <c r="C40" s="192">
        <f>'Ped Impvt Benefits'!C40</f>
        <v>299.88000000000022</v>
      </c>
      <c r="D40" s="192">
        <f>'Cycling Impvt Benefits'!C40</f>
        <v>59.975999999999971</v>
      </c>
      <c r="E40" s="196">
        <f t="shared" si="0"/>
        <v>1733.7079992960012</v>
      </c>
      <c r="F40" s="218">
        <f t="shared" si="1"/>
        <v>162.38418652957515</v>
      </c>
    </row>
    <row r="41" spans="2:6" ht="16.5" x14ac:dyDescent="0.3">
      <c r="B41" s="225">
        <v>2056</v>
      </c>
      <c r="C41" s="192">
        <f>'Ped Impvt Benefits'!C41</f>
        <v>303.40800000000024</v>
      </c>
      <c r="D41" s="192">
        <f>'Cycling Impvt Benefits'!C41</f>
        <v>60.681599999999968</v>
      </c>
      <c r="E41" s="196">
        <f t="shared" si="0"/>
        <v>1754.1045639936012</v>
      </c>
      <c r="F41" s="220">
        <f t="shared" si="1"/>
        <v>153.54634460190724</v>
      </c>
    </row>
    <row r="42" spans="2:6" ht="16.5" x14ac:dyDescent="0.3">
      <c r="B42" s="625" t="s">
        <v>119</v>
      </c>
      <c r="C42" s="510"/>
      <c r="D42" s="510"/>
      <c r="E42" s="644"/>
      <c r="F42" s="221">
        <f>SUM(F4:F41)</f>
        <v>11257.327378508875</v>
      </c>
    </row>
  </sheetData>
  <mergeCells count="19">
    <mergeCell ref="B2:F2"/>
    <mergeCell ref="H4:Z4"/>
    <mergeCell ref="H5:K5"/>
    <mergeCell ref="M5:Z5"/>
    <mergeCell ref="H6:K6"/>
    <mergeCell ref="M6:Z6"/>
    <mergeCell ref="B42:E42"/>
    <mergeCell ref="H7:K7"/>
    <mergeCell ref="M7:Z7"/>
    <mergeCell ref="H8:K8"/>
    <mergeCell ref="M8:Z8"/>
    <mergeCell ref="H12:K12"/>
    <mergeCell ref="M12:Z12"/>
    <mergeCell ref="H9:K9"/>
    <mergeCell ref="M9:Z9"/>
    <mergeCell ref="H10:K10"/>
    <mergeCell ref="M10:Z10"/>
    <mergeCell ref="H11:K11"/>
    <mergeCell ref="M11:Z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02B9-52A8-4677-A75E-2E97E4AC371B}">
  <sheetPr>
    <tabColor theme="9" tint="0.39997558519241921"/>
  </sheetPr>
  <dimension ref="B2:H42"/>
  <sheetViews>
    <sheetView zoomScale="85" zoomScaleNormal="85" workbookViewId="0">
      <selection activeCell="D14" sqref="D14"/>
    </sheetView>
  </sheetViews>
  <sheetFormatPr defaultRowHeight="15" x14ac:dyDescent="0.25"/>
  <cols>
    <col min="2" max="2" width="49.42578125" customWidth="1"/>
    <col min="3" max="3" width="13.5703125" customWidth="1"/>
    <col min="4" max="4" width="93.5703125" customWidth="1"/>
    <col min="7" max="7" width="24.7109375" style="211" customWidth="1"/>
    <col min="8" max="8" width="24.7109375" customWidth="1"/>
  </cols>
  <sheetData>
    <row r="2" spans="2:8" ht="15.75" x14ac:dyDescent="0.25">
      <c r="F2" s="451" t="s">
        <v>229</v>
      </c>
      <c r="G2" s="452"/>
      <c r="H2" s="638"/>
    </row>
    <row r="3" spans="2:8" ht="33" x14ac:dyDescent="0.25">
      <c r="F3" s="223" t="s">
        <v>88</v>
      </c>
      <c r="G3" s="212" t="s">
        <v>230</v>
      </c>
      <c r="H3" s="217" t="s">
        <v>231</v>
      </c>
    </row>
    <row r="4" spans="2:8" ht="16.5" x14ac:dyDescent="0.3">
      <c r="B4" s="614" t="s">
        <v>100</v>
      </c>
      <c r="C4" s="615"/>
      <c r="D4" s="616"/>
      <c r="F4" s="224">
        <v>2019</v>
      </c>
      <c r="G4" s="651" t="s">
        <v>152</v>
      </c>
      <c r="H4" s="218">
        <v>0</v>
      </c>
    </row>
    <row r="5" spans="2:8" ht="16.5" x14ac:dyDescent="0.3">
      <c r="B5" s="198" t="s">
        <v>101</v>
      </c>
      <c r="C5" s="205" t="s">
        <v>102</v>
      </c>
      <c r="D5" s="206" t="s">
        <v>103</v>
      </c>
      <c r="F5" s="224">
        <v>2020</v>
      </c>
      <c r="G5" s="652"/>
      <c r="H5" s="218">
        <v>0</v>
      </c>
    </row>
    <row r="6" spans="2:8" ht="16.5" x14ac:dyDescent="0.3">
      <c r="B6" s="199" t="s">
        <v>232</v>
      </c>
      <c r="C6" s="200">
        <v>11.9</v>
      </c>
      <c r="D6" s="201" t="s">
        <v>233</v>
      </c>
      <c r="F6" s="224">
        <v>2021</v>
      </c>
      <c r="G6" s="652"/>
      <c r="H6" s="218">
        <v>0</v>
      </c>
    </row>
    <row r="7" spans="2:8" ht="16.5" x14ac:dyDescent="0.3">
      <c r="B7" s="202" t="s">
        <v>234</v>
      </c>
      <c r="C7" s="92">
        <v>4.8</v>
      </c>
      <c r="D7" s="203" t="s">
        <v>233</v>
      </c>
      <c r="F7" s="224">
        <v>2022</v>
      </c>
      <c r="G7" s="652"/>
      <c r="H7" s="218">
        <v>0</v>
      </c>
    </row>
    <row r="8" spans="2:8" ht="16.5" x14ac:dyDescent="0.3">
      <c r="B8" s="204" t="s">
        <v>235</v>
      </c>
      <c r="C8" s="93">
        <f>(1+EXP(-0.26+0.106*(C6+1)+0.139*(C6+2)))^-1</f>
        <v>4.5672959304479302E-2</v>
      </c>
      <c r="D8" s="203" t="s">
        <v>236</v>
      </c>
      <c r="F8" s="224">
        <v>2023</v>
      </c>
      <c r="G8" s="652"/>
      <c r="H8" s="218">
        <v>0</v>
      </c>
    </row>
    <row r="9" spans="2:8" ht="16.5" x14ac:dyDescent="0.3">
      <c r="B9" s="204" t="s">
        <v>237</v>
      </c>
      <c r="C9" s="93">
        <f>(1+EXP(-0.26+0.106*(C7+1)+0.139*(C7+2)))^-1</f>
        <v>0.21416501695744139</v>
      </c>
      <c r="D9" s="203" t="s">
        <v>236</v>
      </c>
      <c r="F9" s="224">
        <v>2024</v>
      </c>
      <c r="G9" s="652"/>
      <c r="H9" s="218">
        <v>0</v>
      </c>
    </row>
    <row r="10" spans="2:8" ht="16.5" x14ac:dyDescent="0.3">
      <c r="B10" s="204" t="s">
        <v>238</v>
      </c>
      <c r="C10" s="197">
        <v>0.6</v>
      </c>
      <c r="D10" s="203" t="s">
        <v>239</v>
      </c>
      <c r="F10" s="224">
        <v>2025</v>
      </c>
      <c r="G10" s="652"/>
      <c r="H10" s="218">
        <v>0</v>
      </c>
    </row>
    <row r="11" spans="2:8" ht="16.5" x14ac:dyDescent="0.3">
      <c r="B11" s="207" t="s">
        <v>240</v>
      </c>
      <c r="C11" s="208">
        <v>11600000</v>
      </c>
      <c r="D11" s="209" t="s">
        <v>190</v>
      </c>
      <c r="F11" s="224">
        <v>2026</v>
      </c>
      <c r="G11" s="653"/>
      <c r="H11" s="218">
        <v>0</v>
      </c>
    </row>
    <row r="12" spans="2:8" ht="15" customHeight="1" x14ac:dyDescent="0.3">
      <c r="B12" s="204" t="s">
        <v>241</v>
      </c>
      <c r="C12" s="210">
        <f>C10*(1-C8)</f>
        <v>0.57259622441731239</v>
      </c>
      <c r="D12" s="203" t="s">
        <v>242</v>
      </c>
      <c r="F12" s="224">
        <v>2027</v>
      </c>
      <c r="G12" s="213">
        <f>$C$14*$C$11</f>
        <v>1172704.7212646164</v>
      </c>
      <c r="H12" s="218">
        <f>G12/(1.07^(F12-2020))</f>
        <v>730301.56247438118</v>
      </c>
    </row>
    <row r="13" spans="2:8" ht="16.5" x14ac:dyDescent="0.3">
      <c r="B13" s="204" t="s">
        <v>243</v>
      </c>
      <c r="C13" s="210">
        <f>C10*(1-C9)</f>
        <v>0.47150098982553512</v>
      </c>
      <c r="D13" s="203" t="s">
        <v>244</v>
      </c>
      <c r="F13" s="224">
        <v>2028</v>
      </c>
      <c r="G13" s="213">
        <f t="shared" ref="G13:G41" si="0">$C$14*$C$11</f>
        <v>1172704.7212646164</v>
      </c>
      <c r="H13" s="218">
        <f t="shared" ref="H13:H41" si="1">G13/(1.07^(F13-2020))</f>
        <v>682524.82474241231</v>
      </c>
    </row>
    <row r="14" spans="2:8" ht="16.5" x14ac:dyDescent="0.3">
      <c r="B14" s="187" t="s">
        <v>245</v>
      </c>
      <c r="C14" s="273">
        <f>C12-C13</f>
        <v>0.10109523459177727</v>
      </c>
      <c r="D14" s="274" t="s">
        <v>246</v>
      </c>
      <c r="F14" s="224">
        <v>2029</v>
      </c>
      <c r="G14" s="213">
        <f t="shared" si="0"/>
        <v>1172704.7212646164</v>
      </c>
      <c r="H14" s="218">
        <f t="shared" si="1"/>
        <v>637873.66798356292</v>
      </c>
    </row>
    <row r="15" spans="2:8" ht="16.5" x14ac:dyDescent="0.3">
      <c r="F15" s="224">
        <v>2030</v>
      </c>
      <c r="G15" s="213">
        <f t="shared" si="0"/>
        <v>1172704.7212646164</v>
      </c>
      <c r="H15" s="218">
        <f t="shared" si="1"/>
        <v>596143.6149379093</v>
      </c>
    </row>
    <row r="16" spans="2:8" ht="16.5" x14ac:dyDescent="0.3">
      <c r="F16" s="224">
        <v>2031</v>
      </c>
      <c r="G16" s="213">
        <f t="shared" si="0"/>
        <v>1172704.7212646164</v>
      </c>
      <c r="H16" s="218">
        <f t="shared" si="1"/>
        <v>557143.56536253192</v>
      </c>
    </row>
    <row r="17" spans="6:8" ht="16.5" x14ac:dyDescent="0.3">
      <c r="F17" s="224">
        <v>2032</v>
      </c>
      <c r="G17" s="213">
        <f t="shared" si="0"/>
        <v>1172704.7212646164</v>
      </c>
      <c r="H17" s="218">
        <f t="shared" si="1"/>
        <v>520694.92089956265</v>
      </c>
    </row>
    <row r="18" spans="6:8" ht="16.5" x14ac:dyDescent="0.3">
      <c r="F18" s="224">
        <v>2033</v>
      </c>
      <c r="G18" s="213">
        <f t="shared" si="0"/>
        <v>1172704.7212646164</v>
      </c>
      <c r="H18" s="218">
        <f t="shared" si="1"/>
        <v>486630.76719585294</v>
      </c>
    </row>
    <row r="19" spans="6:8" ht="16.5" x14ac:dyDescent="0.3">
      <c r="F19" s="224">
        <v>2034</v>
      </c>
      <c r="G19" s="213">
        <f t="shared" si="0"/>
        <v>1172704.7212646164</v>
      </c>
      <c r="H19" s="218">
        <f t="shared" si="1"/>
        <v>454795.10952883452</v>
      </c>
    </row>
    <row r="20" spans="6:8" ht="16.5" x14ac:dyDescent="0.3">
      <c r="F20" s="224">
        <v>2035</v>
      </c>
      <c r="G20" s="213">
        <f t="shared" si="0"/>
        <v>1172704.7212646164</v>
      </c>
      <c r="H20" s="218">
        <f t="shared" si="1"/>
        <v>425042.15843816305</v>
      </c>
    </row>
    <row r="21" spans="6:8" ht="16.5" x14ac:dyDescent="0.3">
      <c r="F21" s="224">
        <v>2036</v>
      </c>
      <c r="G21" s="213">
        <f t="shared" si="0"/>
        <v>1172704.7212646164</v>
      </c>
      <c r="H21" s="218">
        <f t="shared" si="1"/>
        <v>397235.66209174122</v>
      </c>
    </row>
    <row r="22" spans="6:8" ht="16.5" x14ac:dyDescent="0.3">
      <c r="F22" s="224">
        <v>2037</v>
      </c>
      <c r="G22" s="213">
        <f t="shared" si="0"/>
        <v>1172704.7212646164</v>
      </c>
      <c r="H22" s="218">
        <f t="shared" si="1"/>
        <v>371248.2823287301</v>
      </c>
    </row>
    <row r="23" spans="6:8" ht="16.5" x14ac:dyDescent="0.3">
      <c r="F23" s="224">
        <v>2038</v>
      </c>
      <c r="G23" s="213">
        <f t="shared" si="0"/>
        <v>1172704.7212646164</v>
      </c>
      <c r="H23" s="218">
        <f t="shared" si="1"/>
        <v>346961.01152217767</v>
      </c>
    </row>
    <row r="24" spans="6:8" ht="16.5" x14ac:dyDescent="0.3">
      <c r="F24" s="224">
        <v>2039</v>
      </c>
      <c r="G24" s="213">
        <f t="shared" si="0"/>
        <v>1172704.7212646164</v>
      </c>
      <c r="H24" s="218">
        <f t="shared" si="1"/>
        <v>324262.62759082025</v>
      </c>
    </row>
    <row r="25" spans="6:8" ht="16.5" x14ac:dyDescent="0.3">
      <c r="F25" s="224">
        <v>2040</v>
      </c>
      <c r="G25" s="213">
        <f t="shared" si="0"/>
        <v>1172704.7212646164</v>
      </c>
      <c r="H25" s="218">
        <f t="shared" si="1"/>
        <v>303049.18466431799</v>
      </c>
    </row>
    <row r="26" spans="6:8" ht="16.5" x14ac:dyDescent="0.3">
      <c r="F26" s="224">
        <v>2041</v>
      </c>
      <c r="G26" s="213">
        <f t="shared" si="0"/>
        <v>1172704.7212646164</v>
      </c>
      <c r="H26" s="218">
        <f t="shared" si="1"/>
        <v>283223.53706945607</v>
      </c>
    </row>
    <row r="27" spans="6:8" ht="16.5" x14ac:dyDescent="0.3">
      <c r="F27" s="224">
        <v>2042</v>
      </c>
      <c r="G27" s="213">
        <f t="shared" si="0"/>
        <v>1172704.7212646164</v>
      </c>
      <c r="H27" s="218">
        <f t="shared" si="1"/>
        <v>264694.89445743558</v>
      </c>
    </row>
    <row r="28" spans="6:8" ht="16.5" x14ac:dyDescent="0.3">
      <c r="F28" s="224">
        <v>2043</v>
      </c>
      <c r="G28" s="213">
        <f t="shared" si="0"/>
        <v>1172704.7212646164</v>
      </c>
      <c r="H28" s="218">
        <f t="shared" si="1"/>
        <v>247378.40603498652</v>
      </c>
    </row>
    <row r="29" spans="6:8" ht="16.5" x14ac:dyDescent="0.3">
      <c r="F29" s="224">
        <v>2044</v>
      </c>
      <c r="G29" s="213">
        <f t="shared" si="0"/>
        <v>1172704.7212646164</v>
      </c>
      <c r="H29" s="218">
        <f t="shared" si="1"/>
        <v>231194.77199531448</v>
      </c>
    </row>
    <row r="30" spans="6:8" ht="16.5" x14ac:dyDescent="0.3">
      <c r="F30" s="224">
        <v>2045</v>
      </c>
      <c r="G30" s="213">
        <f t="shared" si="0"/>
        <v>1172704.7212646164</v>
      </c>
      <c r="H30" s="218">
        <f t="shared" si="1"/>
        <v>216069.88036945279</v>
      </c>
    </row>
    <row r="31" spans="6:8" ht="16.5" x14ac:dyDescent="0.3">
      <c r="F31" s="224">
        <v>2046</v>
      </c>
      <c r="G31" s="213">
        <f t="shared" si="0"/>
        <v>1172704.7212646164</v>
      </c>
      <c r="H31" s="218">
        <f t="shared" si="1"/>
        <v>201934.46763500263</v>
      </c>
    </row>
    <row r="32" spans="6:8" ht="16.5" x14ac:dyDescent="0.3">
      <c r="F32" s="224">
        <v>2047</v>
      </c>
      <c r="G32" s="213">
        <f t="shared" si="0"/>
        <v>1172704.7212646164</v>
      </c>
      <c r="H32" s="218">
        <f t="shared" si="1"/>
        <v>188723.8015280398</v>
      </c>
    </row>
    <row r="33" spans="6:8" ht="16.5" x14ac:dyDescent="0.3">
      <c r="F33" s="224">
        <v>2048</v>
      </c>
      <c r="G33" s="213">
        <f t="shared" si="0"/>
        <v>1172704.7212646164</v>
      </c>
      <c r="H33" s="218">
        <f t="shared" si="1"/>
        <v>176377.38460564471</v>
      </c>
    </row>
    <row r="34" spans="6:8" ht="16.5" x14ac:dyDescent="0.3">
      <c r="F34" s="224">
        <v>2049</v>
      </c>
      <c r="G34" s="213">
        <f t="shared" si="0"/>
        <v>1172704.7212646164</v>
      </c>
      <c r="H34" s="218">
        <f t="shared" si="1"/>
        <v>164838.6772015371</v>
      </c>
    </row>
    <row r="35" spans="6:8" ht="16.5" x14ac:dyDescent="0.3">
      <c r="F35" s="224">
        <v>2050</v>
      </c>
      <c r="G35" s="213">
        <f t="shared" si="0"/>
        <v>1172704.7212646164</v>
      </c>
      <c r="H35" s="218">
        <f t="shared" si="1"/>
        <v>154054.83850610943</v>
      </c>
    </row>
    <row r="36" spans="6:8" ht="16.5" x14ac:dyDescent="0.3">
      <c r="F36" s="224">
        <v>2051</v>
      </c>
      <c r="G36" s="213">
        <f t="shared" si="0"/>
        <v>1172704.7212646164</v>
      </c>
      <c r="H36" s="218">
        <f t="shared" si="1"/>
        <v>143976.48458514898</v>
      </c>
    </row>
    <row r="37" spans="6:8" ht="16.5" x14ac:dyDescent="0.3">
      <c r="F37" s="224">
        <v>2052</v>
      </c>
      <c r="G37" s="213">
        <f t="shared" si="0"/>
        <v>1172704.7212646164</v>
      </c>
      <c r="H37" s="218">
        <f t="shared" si="1"/>
        <v>134557.4622291112</v>
      </c>
    </row>
    <row r="38" spans="6:8" ht="16.5" x14ac:dyDescent="0.3">
      <c r="F38" s="224">
        <v>2053</v>
      </c>
      <c r="G38" s="213">
        <f t="shared" si="0"/>
        <v>1172704.7212646164</v>
      </c>
      <c r="H38" s="218">
        <f t="shared" si="1"/>
        <v>125754.6375973002</v>
      </c>
    </row>
    <row r="39" spans="6:8" ht="16.5" x14ac:dyDescent="0.3">
      <c r="F39" s="224">
        <v>2054</v>
      </c>
      <c r="G39" s="213">
        <f t="shared" si="0"/>
        <v>1172704.7212646164</v>
      </c>
      <c r="H39" s="218">
        <f t="shared" si="1"/>
        <v>117527.69868906561</v>
      </c>
    </row>
    <row r="40" spans="6:8" ht="16.5" x14ac:dyDescent="0.3">
      <c r="F40" s="224">
        <v>2055</v>
      </c>
      <c r="G40" s="213">
        <f t="shared" si="0"/>
        <v>1172704.7212646164</v>
      </c>
      <c r="H40" s="218">
        <f t="shared" si="1"/>
        <v>109838.97073744448</v>
      </c>
    </row>
    <row r="41" spans="6:8" ht="16.5" x14ac:dyDescent="0.3">
      <c r="F41" s="225">
        <v>2056</v>
      </c>
      <c r="G41" s="213">
        <f t="shared" si="0"/>
        <v>1172704.7212646164</v>
      </c>
      <c r="H41" s="218">
        <f t="shared" si="1"/>
        <v>102653.24367985467</v>
      </c>
    </row>
    <row r="42" spans="6:8" ht="16.5" x14ac:dyDescent="0.3">
      <c r="F42" s="625" t="s">
        <v>119</v>
      </c>
      <c r="G42" s="644"/>
      <c r="H42" s="222">
        <f>SUM(H4:H41)</f>
        <v>9696706.1166819017</v>
      </c>
    </row>
  </sheetData>
  <mergeCells count="4">
    <mergeCell ref="F2:H2"/>
    <mergeCell ref="B4:D4"/>
    <mergeCell ref="G4:G11"/>
    <mergeCell ref="F42:G4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D095-0488-494D-AB9C-5CAB082BC4A1}">
  <sheetPr>
    <tabColor theme="9" tint="0.39997558519241921"/>
  </sheetPr>
  <dimension ref="B2:P44"/>
  <sheetViews>
    <sheetView tabSelected="1" topLeftCell="A3" zoomScale="85" zoomScaleNormal="85" workbookViewId="0">
      <selection activeCell="N19" sqref="N19:P19"/>
    </sheetView>
  </sheetViews>
  <sheetFormatPr defaultColWidth="9.140625" defaultRowHeight="16.5" x14ac:dyDescent="0.3"/>
  <cols>
    <col min="1" max="1" width="2.7109375" style="1" customWidth="1"/>
    <col min="2" max="2" width="5.7109375" style="1" bestFit="1" customWidth="1"/>
    <col min="3" max="5" width="9.140625" style="1"/>
    <col min="6" max="6" width="13.85546875" style="1" bestFit="1" customWidth="1"/>
    <col min="7" max="7" width="12.85546875" style="1" bestFit="1" customWidth="1"/>
    <col min="8" max="9" width="9.140625" style="1"/>
    <col min="10" max="10" width="13.85546875" style="1" bestFit="1" customWidth="1"/>
    <col min="11" max="11" width="12.85546875" style="1" bestFit="1" customWidth="1"/>
    <col min="12" max="12" width="13.5703125" style="1" bestFit="1" customWidth="1"/>
    <col min="13" max="13" width="9.140625" style="1"/>
    <col min="14" max="14" width="31.42578125" style="1" bestFit="1" customWidth="1"/>
    <col min="15" max="15" width="11.85546875" style="1" customWidth="1"/>
    <col min="16" max="16" width="42.85546875" style="1" bestFit="1" customWidth="1"/>
    <col min="17" max="16384" width="9.140625" style="1"/>
  </cols>
  <sheetData>
    <row r="2" spans="2:16" ht="16.5" customHeight="1" x14ac:dyDescent="0.3">
      <c r="B2" s="666" t="s">
        <v>88</v>
      </c>
      <c r="C2" s="435" t="s">
        <v>247</v>
      </c>
      <c r="D2" s="435"/>
      <c r="E2" s="435"/>
      <c r="F2" s="435"/>
      <c r="G2" s="436"/>
      <c r="H2" s="378" t="s">
        <v>248</v>
      </c>
      <c r="I2" s="378"/>
      <c r="J2" s="378"/>
      <c r="K2" s="379"/>
      <c r="L2" s="120" t="s">
        <v>249</v>
      </c>
    </row>
    <row r="3" spans="2:16" ht="34.5" x14ac:dyDescent="0.3">
      <c r="B3" s="667"/>
      <c r="C3" s="17" t="s">
        <v>250</v>
      </c>
      <c r="D3" s="17" t="s">
        <v>251</v>
      </c>
      <c r="E3" s="17" t="s">
        <v>252</v>
      </c>
      <c r="F3" s="14" t="s">
        <v>253</v>
      </c>
      <c r="G3" s="11" t="s">
        <v>254</v>
      </c>
      <c r="H3" s="17" t="s">
        <v>250</v>
      </c>
      <c r="I3" s="17" t="s">
        <v>251</v>
      </c>
      <c r="J3" s="14" t="s">
        <v>253</v>
      </c>
      <c r="K3" s="11" t="s">
        <v>254</v>
      </c>
      <c r="L3" s="19" t="s">
        <v>255</v>
      </c>
    </row>
    <row r="4" spans="2:16" ht="16.5" customHeight="1" x14ac:dyDescent="0.3">
      <c r="B4" s="226">
        <v>2019</v>
      </c>
      <c r="C4" s="544" t="s">
        <v>152</v>
      </c>
      <c r="D4" s="544"/>
      <c r="E4" s="544"/>
      <c r="F4" s="544"/>
      <c r="G4" s="545"/>
      <c r="H4" s="543" t="s">
        <v>152</v>
      </c>
      <c r="I4" s="544"/>
      <c r="J4" s="544"/>
      <c r="K4" s="545"/>
      <c r="L4" s="20">
        <v>0</v>
      </c>
      <c r="N4" s="434" t="s">
        <v>100</v>
      </c>
      <c r="O4" s="435"/>
      <c r="P4" s="436"/>
    </row>
    <row r="5" spans="2:16" x14ac:dyDescent="0.3">
      <c r="B5" s="224">
        <v>2020</v>
      </c>
      <c r="C5" s="461"/>
      <c r="D5" s="461"/>
      <c r="E5" s="461"/>
      <c r="F5" s="461"/>
      <c r="G5" s="547"/>
      <c r="H5" s="546"/>
      <c r="I5" s="461"/>
      <c r="J5" s="461"/>
      <c r="K5" s="547"/>
      <c r="L5" s="20">
        <v>0</v>
      </c>
      <c r="N5" s="129" t="s">
        <v>101</v>
      </c>
      <c r="O5" s="130" t="s">
        <v>102</v>
      </c>
      <c r="P5" s="131" t="s">
        <v>103</v>
      </c>
    </row>
    <row r="6" spans="2:16" x14ac:dyDescent="0.3">
      <c r="B6" s="224">
        <v>2021</v>
      </c>
      <c r="C6" s="461"/>
      <c r="D6" s="461"/>
      <c r="E6" s="461"/>
      <c r="F6" s="461"/>
      <c r="G6" s="547"/>
      <c r="H6" s="546"/>
      <c r="I6" s="461"/>
      <c r="J6" s="461"/>
      <c r="K6" s="547"/>
      <c r="L6" s="20">
        <v>0</v>
      </c>
      <c r="N6" s="660" t="s">
        <v>256</v>
      </c>
      <c r="O6" s="661"/>
      <c r="P6" s="662"/>
    </row>
    <row r="7" spans="2:16" x14ac:dyDescent="0.3">
      <c r="B7" s="224">
        <v>2022</v>
      </c>
      <c r="C7" s="461"/>
      <c r="D7" s="461"/>
      <c r="E7" s="461"/>
      <c r="F7" s="461"/>
      <c r="G7" s="547"/>
      <c r="H7" s="546"/>
      <c r="I7" s="461"/>
      <c r="J7" s="461"/>
      <c r="K7" s="547"/>
      <c r="L7" s="20">
        <v>0</v>
      </c>
      <c r="N7" s="121" t="s">
        <v>257</v>
      </c>
      <c r="O7" s="107">
        <v>1</v>
      </c>
      <c r="P7" s="123" t="s">
        <v>258</v>
      </c>
    </row>
    <row r="8" spans="2:16" x14ac:dyDescent="0.3">
      <c r="B8" s="224">
        <v>2023</v>
      </c>
      <c r="C8" s="461"/>
      <c r="D8" s="461"/>
      <c r="E8" s="461"/>
      <c r="F8" s="461"/>
      <c r="G8" s="547"/>
      <c r="H8" s="546"/>
      <c r="I8" s="461"/>
      <c r="J8" s="461"/>
      <c r="K8" s="547"/>
      <c r="L8" s="20">
        <v>0</v>
      </c>
      <c r="N8" s="132" t="s">
        <v>259</v>
      </c>
      <c r="O8" s="134">
        <v>10</v>
      </c>
      <c r="P8" s="123" t="s">
        <v>260</v>
      </c>
    </row>
    <row r="9" spans="2:16" x14ac:dyDescent="0.3">
      <c r="B9" s="224">
        <v>2024</v>
      </c>
      <c r="C9" s="461"/>
      <c r="D9" s="461"/>
      <c r="E9" s="461"/>
      <c r="F9" s="461"/>
      <c r="G9" s="547"/>
      <c r="H9" s="546"/>
      <c r="I9" s="461"/>
      <c r="J9" s="461"/>
      <c r="K9" s="547"/>
      <c r="L9" s="20">
        <v>0</v>
      </c>
      <c r="N9" s="132" t="s">
        <v>261</v>
      </c>
      <c r="O9" s="134">
        <v>75</v>
      </c>
      <c r="P9" s="123" t="s">
        <v>262</v>
      </c>
    </row>
    <row r="10" spans="2:16" x14ac:dyDescent="0.3">
      <c r="B10" s="224">
        <v>2025</v>
      </c>
      <c r="C10" s="461"/>
      <c r="D10" s="461"/>
      <c r="E10" s="461"/>
      <c r="F10" s="461"/>
      <c r="G10" s="547"/>
      <c r="H10" s="546"/>
      <c r="I10" s="461"/>
      <c r="J10" s="461"/>
      <c r="K10" s="547"/>
      <c r="L10" s="20">
        <f>-(K10-G10)</f>
        <v>0</v>
      </c>
      <c r="N10" s="132" t="s">
        <v>263</v>
      </c>
      <c r="O10" s="134">
        <v>175</v>
      </c>
      <c r="P10" s="123" t="s">
        <v>264</v>
      </c>
    </row>
    <row r="11" spans="2:16" x14ac:dyDescent="0.3">
      <c r="B11" s="224">
        <v>2026</v>
      </c>
      <c r="C11" s="549"/>
      <c r="D11" s="549"/>
      <c r="E11" s="549"/>
      <c r="F11" s="549"/>
      <c r="G11" s="550"/>
      <c r="H11" s="548"/>
      <c r="I11" s="549"/>
      <c r="J11" s="549"/>
      <c r="K11" s="550"/>
      <c r="L11" s="20">
        <f t="shared" ref="L11:L38" si="0">-(K11-G11)</f>
        <v>0</v>
      </c>
      <c r="N11" s="663" t="s">
        <v>265</v>
      </c>
      <c r="O11" s="664"/>
      <c r="P11" s="665"/>
    </row>
    <row r="12" spans="2:16" x14ac:dyDescent="0.3">
      <c r="B12" s="224">
        <v>2027</v>
      </c>
      <c r="C12" s="143">
        <f>$O$20</f>
        <v>8482</v>
      </c>
      <c r="D12" s="38">
        <f>$O$21</f>
        <v>84820</v>
      </c>
      <c r="E12" s="38">
        <v>0</v>
      </c>
      <c r="F12" s="38">
        <f t="shared" ref="F12:F41" si="1">SUM(C12:E12)</f>
        <v>93302</v>
      </c>
      <c r="G12" s="25">
        <f t="shared" ref="G12:G41" si="2">F12/1.07^(B12-2020)</f>
        <v>58103.796417316116</v>
      </c>
      <c r="H12" s="38">
        <f>$O$23</f>
        <v>11200</v>
      </c>
      <c r="I12" s="38">
        <v>0</v>
      </c>
      <c r="J12" s="38">
        <f t="shared" ref="J12:J39" si="3">SUM(H12:I12)</f>
        <v>11200</v>
      </c>
      <c r="K12" s="25">
        <f t="shared" ref="K12:K41" si="4">J12/1.07^(B12-2020)</f>
        <v>6974.7971091074205</v>
      </c>
      <c r="L12" s="20">
        <f>-(K12-G12)</f>
        <v>51128.999308208695</v>
      </c>
      <c r="N12" s="121" t="s">
        <v>257</v>
      </c>
      <c r="O12" s="122">
        <v>0.5</v>
      </c>
      <c r="P12" s="123" t="s">
        <v>258</v>
      </c>
    </row>
    <row r="13" spans="2:16" x14ac:dyDescent="0.3">
      <c r="B13" s="224">
        <v>2028</v>
      </c>
      <c r="C13" s="143">
        <f t="shared" ref="C13:C41" si="5">$O$20</f>
        <v>8482</v>
      </c>
      <c r="D13" s="38">
        <v>0</v>
      </c>
      <c r="E13" s="38">
        <v>0</v>
      </c>
      <c r="F13" s="38">
        <f t="shared" si="1"/>
        <v>8482</v>
      </c>
      <c r="G13" s="25">
        <f t="shared" si="2"/>
        <v>4936.601224920656</v>
      </c>
      <c r="H13" s="38">
        <f t="shared" ref="H13:H41" si="6">$O$23</f>
        <v>11200</v>
      </c>
      <c r="I13" s="38">
        <v>0</v>
      </c>
      <c r="J13" s="38">
        <f t="shared" si="3"/>
        <v>11200</v>
      </c>
      <c r="K13" s="25">
        <f t="shared" si="4"/>
        <v>6518.5019711284303</v>
      </c>
      <c r="L13" s="20">
        <f t="shared" si="0"/>
        <v>-1581.9007462077743</v>
      </c>
      <c r="N13" s="132" t="s">
        <v>259</v>
      </c>
      <c r="O13" s="133">
        <v>5</v>
      </c>
      <c r="P13" s="128" t="s">
        <v>266</v>
      </c>
    </row>
    <row r="14" spans="2:16" x14ac:dyDescent="0.3">
      <c r="B14" s="224">
        <v>2029</v>
      </c>
      <c r="C14" s="143">
        <f t="shared" si="5"/>
        <v>8482</v>
      </c>
      <c r="D14" s="38">
        <v>0</v>
      </c>
      <c r="E14" s="38">
        <v>0</v>
      </c>
      <c r="F14" s="38">
        <f t="shared" si="1"/>
        <v>8482</v>
      </c>
      <c r="G14" s="25">
        <f t="shared" si="2"/>
        <v>4613.6460045987433</v>
      </c>
      <c r="H14" s="38">
        <f t="shared" si="6"/>
        <v>11200</v>
      </c>
      <c r="I14" s="38">
        <v>0</v>
      </c>
      <c r="J14" s="38">
        <f t="shared" si="3"/>
        <v>11200</v>
      </c>
      <c r="K14" s="25">
        <f t="shared" si="4"/>
        <v>6092.0579169424573</v>
      </c>
      <c r="L14" s="20">
        <f t="shared" si="0"/>
        <v>-1478.411912343714</v>
      </c>
      <c r="N14" s="132" t="s">
        <v>261</v>
      </c>
      <c r="O14" s="133">
        <v>50</v>
      </c>
      <c r="P14" s="128" t="s">
        <v>267</v>
      </c>
    </row>
    <row r="15" spans="2:16" x14ac:dyDescent="0.3">
      <c r="B15" s="224">
        <v>2030</v>
      </c>
      <c r="C15" s="143">
        <f t="shared" si="5"/>
        <v>8482</v>
      </c>
      <c r="D15" s="38">
        <v>0</v>
      </c>
      <c r="E15" s="38">
        <v>0</v>
      </c>
      <c r="F15" s="38">
        <f t="shared" si="1"/>
        <v>8482</v>
      </c>
      <c r="G15" s="25">
        <f t="shared" si="2"/>
        <v>4311.8186958866763</v>
      </c>
      <c r="H15" s="38">
        <f t="shared" si="6"/>
        <v>11200</v>
      </c>
      <c r="I15" s="38">
        <v>0</v>
      </c>
      <c r="J15" s="38">
        <f t="shared" si="3"/>
        <v>11200</v>
      </c>
      <c r="K15" s="25">
        <f t="shared" si="4"/>
        <v>5693.5120719088391</v>
      </c>
      <c r="L15" s="20">
        <f t="shared" si="0"/>
        <v>-1381.6933760221627</v>
      </c>
      <c r="N15" s="132" t="s">
        <v>263</v>
      </c>
      <c r="O15" s="133">
        <v>175</v>
      </c>
      <c r="P15" s="128" t="s">
        <v>268</v>
      </c>
    </row>
    <row r="16" spans="2:16" x14ac:dyDescent="0.3">
      <c r="B16" s="224">
        <v>2031</v>
      </c>
      <c r="C16" s="143">
        <f t="shared" si="5"/>
        <v>8482</v>
      </c>
      <c r="D16" s="38">
        <v>0</v>
      </c>
      <c r="E16" s="38">
        <v>0</v>
      </c>
      <c r="F16" s="38">
        <f t="shared" si="1"/>
        <v>8482</v>
      </c>
      <c r="G16" s="25">
        <f t="shared" si="2"/>
        <v>4029.7370989595101</v>
      </c>
      <c r="H16" s="38">
        <f t="shared" si="6"/>
        <v>11200</v>
      </c>
      <c r="I16" s="38">
        <v>0</v>
      </c>
      <c r="J16" s="38">
        <f t="shared" si="3"/>
        <v>11200</v>
      </c>
      <c r="K16" s="25">
        <f t="shared" si="4"/>
        <v>5321.0393195409706</v>
      </c>
      <c r="L16" s="20">
        <f t="shared" si="0"/>
        <v>-1291.3022205814605</v>
      </c>
      <c r="N16" s="663" t="s">
        <v>269</v>
      </c>
      <c r="O16" s="664"/>
      <c r="P16" s="665"/>
    </row>
    <row r="17" spans="2:16" x14ac:dyDescent="0.3">
      <c r="B17" s="224">
        <v>2032</v>
      </c>
      <c r="C17" s="143">
        <f t="shared" si="5"/>
        <v>8482</v>
      </c>
      <c r="D17" s="38">
        <v>0</v>
      </c>
      <c r="E17" s="38">
        <v>0</v>
      </c>
      <c r="F17" s="38">
        <f t="shared" si="1"/>
        <v>8482</v>
      </c>
      <c r="G17" s="25">
        <f t="shared" si="2"/>
        <v>3766.1094382799165</v>
      </c>
      <c r="H17" s="38">
        <f t="shared" si="6"/>
        <v>11200</v>
      </c>
      <c r="I17" s="38">
        <v>0</v>
      </c>
      <c r="J17" s="38">
        <f t="shared" si="3"/>
        <v>11200</v>
      </c>
      <c r="K17" s="25">
        <f t="shared" si="4"/>
        <v>4972.9339434962349</v>
      </c>
      <c r="L17" s="20">
        <f t="shared" si="0"/>
        <v>-1206.8245052163184</v>
      </c>
      <c r="N17" s="121" t="s">
        <v>270</v>
      </c>
      <c r="O17" s="124">
        <f>4241*2</f>
        <v>8482</v>
      </c>
      <c r="P17" s="123" t="s">
        <v>271</v>
      </c>
    </row>
    <row r="18" spans="2:16" x14ac:dyDescent="0.3">
      <c r="B18" s="224">
        <v>2033</v>
      </c>
      <c r="C18" s="143">
        <f t="shared" si="5"/>
        <v>8482</v>
      </c>
      <c r="D18" s="38">
        <v>0</v>
      </c>
      <c r="E18" s="38">
        <v>0</v>
      </c>
      <c r="F18" s="38">
        <f t="shared" si="1"/>
        <v>8482</v>
      </c>
      <c r="G18" s="25">
        <f t="shared" si="2"/>
        <v>3519.7284469905762</v>
      </c>
      <c r="H18" s="38">
        <f t="shared" si="6"/>
        <v>11200</v>
      </c>
      <c r="I18" s="38">
        <v>0</v>
      </c>
      <c r="J18" s="38">
        <f t="shared" si="3"/>
        <v>11200</v>
      </c>
      <c r="K18" s="25">
        <f t="shared" si="4"/>
        <v>4647.601816351621</v>
      </c>
      <c r="L18" s="20">
        <f t="shared" si="0"/>
        <v>-1127.8733693610448</v>
      </c>
      <c r="N18" s="121" t="s">
        <v>272</v>
      </c>
      <c r="O18" s="125">
        <f>200*(12*3+10*2)*2</f>
        <v>22400</v>
      </c>
      <c r="P18" s="123" t="s">
        <v>273</v>
      </c>
    </row>
    <row r="19" spans="2:16" x14ac:dyDescent="0.3">
      <c r="B19" s="224">
        <v>2034</v>
      </c>
      <c r="C19" s="143">
        <f t="shared" si="5"/>
        <v>8482</v>
      </c>
      <c r="D19" s="38">
        <v>0</v>
      </c>
      <c r="E19" s="38">
        <v>0</v>
      </c>
      <c r="F19" s="38">
        <f t="shared" si="1"/>
        <v>8482</v>
      </c>
      <c r="G19" s="25">
        <f t="shared" si="2"/>
        <v>3289.46583830895</v>
      </c>
      <c r="H19" s="38">
        <f t="shared" si="6"/>
        <v>11200</v>
      </c>
      <c r="I19" s="38">
        <v>0</v>
      </c>
      <c r="J19" s="38">
        <f t="shared" si="3"/>
        <v>11200</v>
      </c>
      <c r="K19" s="25">
        <f t="shared" si="4"/>
        <v>4343.5530993940392</v>
      </c>
      <c r="L19" s="20">
        <f t="shared" si="0"/>
        <v>-1054.0872610850893</v>
      </c>
      <c r="N19" s="663" t="s">
        <v>274</v>
      </c>
      <c r="O19" s="664"/>
      <c r="P19" s="665"/>
    </row>
    <row r="20" spans="2:16" x14ac:dyDescent="0.3">
      <c r="B20" s="224">
        <v>2035</v>
      </c>
      <c r="C20" s="143">
        <f t="shared" si="5"/>
        <v>8482</v>
      </c>
      <c r="D20" s="38">
        <v>0</v>
      </c>
      <c r="E20" s="38">
        <v>0</v>
      </c>
      <c r="F20" s="38">
        <f t="shared" si="1"/>
        <v>8482</v>
      </c>
      <c r="G20" s="25">
        <f t="shared" si="2"/>
        <v>3074.2671386064949</v>
      </c>
      <c r="H20" s="38">
        <f t="shared" si="6"/>
        <v>11200</v>
      </c>
      <c r="I20" s="38">
        <v>0</v>
      </c>
      <c r="J20" s="38">
        <f t="shared" si="3"/>
        <v>11200</v>
      </c>
      <c r="K20" s="25">
        <f t="shared" si="4"/>
        <v>4059.3954199944283</v>
      </c>
      <c r="L20" s="20">
        <f t="shared" si="0"/>
        <v>-985.12828138793338</v>
      </c>
      <c r="N20" s="100" t="s">
        <v>275</v>
      </c>
      <c r="O20" s="101">
        <f>O7*$O$17</f>
        <v>8482</v>
      </c>
      <c r="P20" s="102" t="s">
        <v>276</v>
      </c>
    </row>
    <row r="21" spans="2:16" x14ac:dyDescent="0.3">
      <c r="B21" s="224">
        <v>2036</v>
      </c>
      <c r="C21" s="143">
        <f t="shared" si="5"/>
        <v>8482</v>
      </c>
      <c r="D21" s="38">
        <v>0</v>
      </c>
      <c r="E21" s="38">
        <v>0</v>
      </c>
      <c r="F21" s="38">
        <f t="shared" si="1"/>
        <v>8482</v>
      </c>
      <c r="G21" s="25">
        <f t="shared" si="2"/>
        <v>2873.1468585107432</v>
      </c>
      <c r="H21" s="38">
        <f t="shared" si="6"/>
        <v>11200</v>
      </c>
      <c r="I21" s="38">
        <v>0</v>
      </c>
      <c r="J21" s="38">
        <f t="shared" si="3"/>
        <v>11200</v>
      </c>
      <c r="K21" s="25">
        <f t="shared" si="4"/>
        <v>3793.8274953218961</v>
      </c>
      <c r="L21" s="20">
        <f t="shared" si="0"/>
        <v>-920.68063681115291</v>
      </c>
      <c r="N21" s="100" t="s">
        <v>277</v>
      </c>
      <c r="O21" s="101">
        <f>O8*$O$17</f>
        <v>84820</v>
      </c>
      <c r="P21" s="102" t="s">
        <v>276</v>
      </c>
    </row>
    <row r="22" spans="2:16" x14ac:dyDescent="0.3">
      <c r="B22" s="224">
        <v>2037</v>
      </c>
      <c r="C22" s="143">
        <f t="shared" si="5"/>
        <v>8482</v>
      </c>
      <c r="D22" s="38">
        <f>$O$21</f>
        <v>84820</v>
      </c>
      <c r="E22" s="38">
        <v>0</v>
      </c>
      <c r="F22" s="38">
        <f t="shared" si="1"/>
        <v>93302</v>
      </c>
      <c r="G22" s="25">
        <f t="shared" si="2"/>
        <v>29537.023779082407</v>
      </c>
      <c r="H22" s="38">
        <f t="shared" si="6"/>
        <v>11200</v>
      </c>
      <c r="I22" s="38">
        <v>0</v>
      </c>
      <c r="J22" s="38">
        <f t="shared" si="3"/>
        <v>11200</v>
      </c>
      <c r="K22" s="25">
        <f t="shared" si="4"/>
        <v>3545.6331731980335</v>
      </c>
      <c r="L22" s="20">
        <f t="shared" si="0"/>
        <v>25991.390605884371</v>
      </c>
      <c r="N22" s="100" t="s">
        <v>278</v>
      </c>
      <c r="O22" s="101">
        <f>O9*$O$17</f>
        <v>636150</v>
      </c>
      <c r="P22" s="102" t="s">
        <v>276</v>
      </c>
    </row>
    <row r="23" spans="2:16" x14ac:dyDescent="0.3">
      <c r="B23" s="224">
        <v>2038</v>
      </c>
      <c r="C23" s="143">
        <f t="shared" si="5"/>
        <v>8482</v>
      </c>
      <c r="D23" s="38">
        <v>0</v>
      </c>
      <c r="E23" s="38">
        <v>0</v>
      </c>
      <c r="F23" s="38">
        <f t="shared" si="1"/>
        <v>8482</v>
      </c>
      <c r="G23" s="25">
        <f t="shared" si="2"/>
        <v>2509.5177382397965</v>
      </c>
      <c r="H23" s="38">
        <f t="shared" si="6"/>
        <v>11200</v>
      </c>
      <c r="I23" s="38">
        <v>0</v>
      </c>
      <c r="J23" s="38">
        <f t="shared" si="3"/>
        <v>11200</v>
      </c>
      <c r="K23" s="25">
        <f t="shared" si="4"/>
        <v>3313.6758628019006</v>
      </c>
      <c r="L23" s="20">
        <f t="shared" si="0"/>
        <v>-804.15812456210415</v>
      </c>
      <c r="N23" s="126" t="s">
        <v>279</v>
      </c>
      <c r="O23" s="127">
        <f>O12*$O$18</f>
        <v>11200</v>
      </c>
      <c r="P23" s="102" t="s">
        <v>276</v>
      </c>
    </row>
    <row r="24" spans="2:16" x14ac:dyDescent="0.3">
      <c r="B24" s="224">
        <v>2039</v>
      </c>
      <c r="C24" s="143">
        <f t="shared" si="5"/>
        <v>8482</v>
      </c>
      <c r="D24" s="38">
        <v>0</v>
      </c>
      <c r="E24" s="38">
        <v>0</v>
      </c>
      <c r="F24" s="38">
        <f t="shared" si="1"/>
        <v>8482</v>
      </c>
      <c r="G24" s="25">
        <f t="shared" si="2"/>
        <v>2345.3436805979404</v>
      </c>
      <c r="H24" s="38">
        <f t="shared" si="6"/>
        <v>11200</v>
      </c>
      <c r="I24" s="38">
        <v>0</v>
      </c>
      <c r="J24" s="38">
        <f t="shared" si="3"/>
        <v>11200</v>
      </c>
      <c r="K24" s="25">
        <f t="shared" si="4"/>
        <v>3096.8933297214021</v>
      </c>
      <c r="L24" s="20">
        <f t="shared" si="0"/>
        <v>-751.54964912346168</v>
      </c>
      <c r="N24" s="159" t="s">
        <v>280</v>
      </c>
      <c r="O24" s="160">
        <f>O13*$O$18</f>
        <v>112000</v>
      </c>
      <c r="P24" s="161" t="s">
        <v>276</v>
      </c>
    </row>
    <row r="25" spans="2:16" x14ac:dyDescent="0.3">
      <c r="B25" s="224">
        <v>2040</v>
      </c>
      <c r="C25" s="143">
        <f t="shared" si="5"/>
        <v>8482</v>
      </c>
      <c r="D25" s="38">
        <v>0</v>
      </c>
      <c r="E25" s="38">
        <v>0</v>
      </c>
      <c r="F25" s="38">
        <f t="shared" si="1"/>
        <v>8482</v>
      </c>
      <c r="G25" s="25">
        <f t="shared" si="2"/>
        <v>2191.9099818672344</v>
      </c>
      <c r="H25" s="38">
        <f t="shared" si="6"/>
        <v>11200</v>
      </c>
      <c r="I25" s="38">
        <v>0</v>
      </c>
      <c r="J25" s="38">
        <f t="shared" si="3"/>
        <v>11200</v>
      </c>
      <c r="K25" s="25">
        <f t="shared" si="4"/>
        <v>2894.2928315153295</v>
      </c>
      <c r="L25" s="20">
        <f t="shared" si="0"/>
        <v>-702.38284964809509</v>
      </c>
      <c r="N25" s="654" t="s">
        <v>120</v>
      </c>
      <c r="O25" s="655"/>
      <c r="P25" s="656"/>
    </row>
    <row r="26" spans="2:16" x14ac:dyDescent="0.3">
      <c r="B26" s="224">
        <v>2041</v>
      </c>
      <c r="C26" s="143">
        <f t="shared" si="5"/>
        <v>8482</v>
      </c>
      <c r="D26" s="38">
        <v>0</v>
      </c>
      <c r="E26" s="38">
        <v>0</v>
      </c>
      <c r="F26" s="38">
        <f t="shared" si="1"/>
        <v>8482</v>
      </c>
      <c r="G26" s="25">
        <f t="shared" si="2"/>
        <v>2048.5140017450785</v>
      </c>
      <c r="H26" s="38">
        <f t="shared" si="6"/>
        <v>11200</v>
      </c>
      <c r="I26" s="38">
        <f>$O$24</f>
        <v>112000</v>
      </c>
      <c r="J26" s="38">
        <f t="shared" si="3"/>
        <v>123200</v>
      </c>
      <c r="K26" s="25">
        <f t="shared" si="4"/>
        <v>29754.412286606188</v>
      </c>
      <c r="L26" s="20">
        <f t="shared" si="0"/>
        <v>-27705.898284861109</v>
      </c>
      <c r="N26" s="657" t="s">
        <v>281</v>
      </c>
      <c r="O26" s="658"/>
      <c r="P26" s="659"/>
    </row>
    <row r="27" spans="2:16" x14ac:dyDescent="0.3">
      <c r="B27" s="224">
        <v>2042</v>
      </c>
      <c r="C27" s="143">
        <f t="shared" si="5"/>
        <v>8482</v>
      </c>
      <c r="D27" s="38">
        <v>0</v>
      </c>
      <c r="E27" s="38">
        <f>O22</f>
        <v>636150</v>
      </c>
      <c r="F27" s="38">
        <f t="shared" si="1"/>
        <v>644632</v>
      </c>
      <c r="G27" s="25">
        <f t="shared" si="2"/>
        <v>145501.92909591214</v>
      </c>
      <c r="H27" s="38">
        <f t="shared" si="6"/>
        <v>11200</v>
      </c>
      <c r="I27" s="38">
        <v>0</v>
      </c>
      <c r="J27" s="38">
        <f t="shared" si="3"/>
        <v>11200</v>
      </c>
      <c r="K27" s="25">
        <f t="shared" si="4"/>
        <v>2527.9874500090218</v>
      </c>
      <c r="L27" s="20">
        <f t="shared" si="0"/>
        <v>142973.94164590313</v>
      </c>
    </row>
    <row r="28" spans="2:16" x14ac:dyDescent="0.3">
      <c r="B28" s="224">
        <v>2043</v>
      </c>
      <c r="C28" s="143">
        <f t="shared" si="5"/>
        <v>8482</v>
      </c>
      <c r="D28" s="38">
        <v>0</v>
      </c>
      <c r="E28" s="38">
        <v>0</v>
      </c>
      <c r="F28" s="38">
        <f t="shared" si="1"/>
        <v>8482</v>
      </c>
      <c r="G28" s="25">
        <f t="shared" si="2"/>
        <v>1789.2514645340891</v>
      </c>
      <c r="H28" s="38">
        <f t="shared" si="6"/>
        <v>11200</v>
      </c>
      <c r="I28" s="38">
        <v>0</v>
      </c>
      <c r="J28" s="38">
        <f t="shared" si="3"/>
        <v>11200</v>
      </c>
      <c r="K28" s="25">
        <f t="shared" si="4"/>
        <v>2362.6050934663758</v>
      </c>
      <c r="L28" s="20">
        <f t="shared" si="0"/>
        <v>-573.35362893228671</v>
      </c>
    </row>
    <row r="29" spans="2:16" x14ac:dyDescent="0.3">
      <c r="B29" s="224">
        <v>2044</v>
      </c>
      <c r="C29" s="143">
        <f t="shared" si="5"/>
        <v>8482</v>
      </c>
      <c r="D29" s="38">
        <v>0</v>
      </c>
      <c r="E29" s="38">
        <v>0</v>
      </c>
      <c r="F29" s="38">
        <f t="shared" si="1"/>
        <v>8482</v>
      </c>
      <c r="G29" s="25">
        <f t="shared" si="2"/>
        <v>1672.1976304056907</v>
      </c>
      <c r="H29" s="38">
        <f t="shared" si="6"/>
        <v>11200</v>
      </c>
      <c r="I29" s="38">
        <v>0</v>
      </c>
      <c r="J29" s="38">
        <f t="shared" si="3"/>
        <v>11200</v>
      </c>
      <c r="K29" s="25">
        <f t="shared" si="4"/>
        <v>2208.042143426519</v>
      </c>
      <c r="L29" s="20">
        <f t="shared" si="0"/>
        <v>-535.84451302082834</v>
      </c>
    </row>
    <row r="30" spans="2:16" x14ac:dyDescent="0.3">
      <c r="B30" s="224">
        <v>2045</v>
      </c>
      <c r="C30" s="143">
        <f t="shared" si="5"/>
        <v>8482</v>
      </c>
      <c r="D30" s="38">
        <v>0</v>
      </c>
      <c r="E30" s="38">
        <v>0</v>
      </c>
      <c r="F30" s="38">
        <f t="shared" si="1"/>
        <v>8482</v>
      </c>
      <c r="G30" s="25">
        <f t="shared" si="2"/>
        <v>1562.8015237436362</v>
      </c>
      <c r="H30" s="38">
        <f t="shared" si="6"/>
        <v>11200</v>
      </c>
      <c r="I30" s="38">
        <v>0</v>
      </c>
      <c r="J30" s="38">
        <f t="shared" si="3"/>
        <v>11200</v>
      </c>
      <c r="K30" s="25">
        <f t="shared" si="4"/>
        <v>2063.5907882490833</v>
      </c>
      <c r="L30" s="20">
        <f t="shared" si="0"/>
        <v>-500.78926450544714</v>
      </c>
    </row>
    <row r="31" spans="2:16" x14ac:dyDescent="0.3">
      <c r="B31" s="224">
        <v>2046</v>
      </c>
      <c r="C31" s="143">
        <f t="shared" si="5"/>
        <v>8482</v>
      </c>
      <c r="D31" s="38">
        <v>0</v>
      </c>
      <c r="E31" s="38">
        <v>0</v>
      </c>
      <c r="F31" s="38">
        <f t="shared" si="1"/>
        <v>8482</v>
      </c>
      <c r="G31" s="25">
        <f t="shared" si="2"/>
        <v>1460.5621717230244</v>
      </c>
      <c r="H31" s="38">
        <f t="shared" si="6"/>
        <v>11200</v>
      </c>
      <c r="I31" s="38">
        <v>0</v>
      </c>
      <c r="J31" s="38">
        <f t="shared" si="3"/>
        <v>11200</v>
      </c>
      <c r="K31" s="25">
        <f t="shared" si="4"/>
        <v>1928.5895217281154</v>
      </c>
      <c r="L31" s="20">
        <f t="shared" si="0"/>
        <v>-468.02735000509097</v>
      </c>
    </row>
    <row r="32" spans="2:16" x14ac:dyDescent="0.3">
      <c r="B32" s="224">
        <v>2047</v>
      </c>
      <c r="C32" s="143">
        <f t="shared" si="5"/>
        <v>8482</v>
      </c>
      <c r="D32" s="38">
        <f>$O$21</f>
        <v>84820</v>
      </c>
      <c r="E32" s="38">
        <v>0</v>
      </c>
      <c r="F32" s="38">
        <f t="shared" si="1"/>
        <v>93302</v>
      </c>
      <c r="G32" s="25">
        <f t="shared" si="2"/>
        <v>15015.125129862865</v>
      </c>
      <c r="H32" s="38">
        <f t="shared" si="6"/>
        <v>11200</v>
      </c>
      <c r="I32" s="38">
        <v>0</v>
      </c>
      <c r="J32" s="38">
        <f t="shared" si="3"/>
        <v>11200</v>
      </c>
      <c r="K32" s="25">
        <f t="shared" si="4"/>
        <v>1802.4201137645935</v>
      </c>
      <c r="L32" s="20">
        <f t="shared" si="0"/>
        <v>13212.705016098271</v>
      </c>
    </row>
    <row r="33" spans="2:12" x14ac:dyDescent="0.3">
      <c r="B33" s="224">
        <v>2048</v>
      </c>
      <c r="C33" s="143">
        <f t="shared" si="5"/>
        <v>8482</v>
      </c>
      <c r="D33" s="38">
        <v>0</v>
      </c>
      <c r="E33" s="38">
        <v>0</v>
      </c>
      <c r="F33" s="38">
        <f t="shared" si="1"/>
        <v>8482</v>
      </c>
      <c r="G33" s="25">
        <f t="shared" si="2"/>
        <v>1275.7115658337186</v>
      </c>
      <c r="H33" s="38">
        <f t="shared" si="6"/>
        <v>11200</v>
      </c>
      <c r="I33" s="38">
        <v>0</v>
      </c>
      <c r="J33" s="38">
        <f t="shared" si="3"/>
        <v>11200</v>
      </c>
      <c r="K33" s="25">
        <f t="shared" si="4"/>
        <v>1684.5047792192465</v>
      </c>
      <c r="L33" s="20">
        <f t="shared" si="0"/>
        <v>-408.79321338552791</v>
      </c>
    </row>
    <row r="34" spans="2:12" x14ac:dyDescent="0.3">
      <c r="B34" s="224">
        <v>2049</v>
      </c>
      <c r="C34" s="143">
        <f t="shared" si="5"/>
        <v>8482</v>
      </c>
      <c r="D34" s="38">
        <v>0</v>
      </c>
      <c r="E34" s="38">
        <v>0</v>
      </c>
      <c r="F34" s="38">
        <f t="shared" si="1"/>
        <v>8482</v>
      </c>
      <c r="G34" s="25">
        <f t="shared" si="2"/>
        <v>1192.2537998445969</v>
      </c>
      <c r="H34" s="38">
        <f t="shared" si="6"/>
        <v>11200</v>
      </c>
      <c r="I34" s="38">
        <v>0</v>
      </c>
      <c r="J34" s="38">
        <f t="shared" si="3"/>
        <v>11200</v>
      </c>
      <c r="K34" s="25">
        <f t="shared" si="4"/>
        <v>1574.3035319806042</v>
      </c>
      <c r="L34" s="20">
        <f t="shared" si="0"/>
        <v>-382.04973213600738</v>
      </c>
    </row>
    <row r="35" spans="2:12" x14ac:dyDescent="0.3">
      <c r="B35" s="224">
        <v>2050</v>
      </c>
      <c r="C35" s="143">
        <f t="shared" si="5"/>
        <v>8482</v>
      </c>
      <c r="D35" s="38">
        <v>0</v>
      </c>
      <c r="E35" s="38">
        <v>0</v>
      </c>
      <c r="F35" s="38">
        <f t="shared" si="1"/>
        <v>8482</v>
      </c>
      <c r="G35" s="25">
        <f t="shared" si="2"/>
        <v>1114.2558877052306</v>
      </c>
      <c r="H35" s="38">
        <f t="shared" si="6"/>
        <v>11200</v>
      </c>
      <c r="I35" s="38">
        <v>0</v>
      </c>
      <c r="J35" s="38">
        <f t="shared" si="3"/>
        <v>11200</v>
      </c>
      <c r="K35" s="25">
        <f t="shared" si="4"/>
        <v>1471.3117121314058</v>
      </c>
      <c r="L35" s="20">
        <f>-(K35-G35)</f>
        <v>-357.05582442617515</v>
      </c>
    </row>
    <row r="36" spans="2:12" x14ac:dyDescent="0.3">
      <c r="B36" s="224">
        <v>2051</v>
      </c>
      <c r="C36" s="143">
        <f t="shared" si="5"/>
        <v>8482</v>
      </c>
      <c r="D36" s="38">
        <v>0</v>
      </c>
      <c r="E36" s="38">
        <v>0</v>
      </c>
      <c r="F36" s="38">
        <f t="shared" si="1"/>
        <v>8482</v>
      </c>
      <c r="G36" s="25">
        <f t="shared" si="2"/>
        <v>1041.3606427151688</v>
      </c>
      <c r="H36" s="38">
        <f t="shared" si="6"/>
        <v>11200</v>
      </c>
      <c r="I36" s="38">
        <v>0</v>
      </c>
      <c r="J36" s="38">
        <f t="shared" si="3"/>
        <v>11200</v>
      </c>
      <c r="K36" s="25">
        <f t="shared" si="4"/>
        <v>1375.057674889164</v>
      </c>
      <c r="L36" s="20">
        <f t="shared" si="0"/>
        <v>-333.69703217399524</v>
      </c>
    </row>
    <row r="37" spans="2:12" x14ac:dyDescent="0.3">
      <c r="B37" s="224">
        <v>2052</v>
      </c>
      <c r="C37" s="143">
        <f t="shared" si="5"/>
        <v>8482</v>
      </c>
      <c r="D37" s="38">
        <v>0</v>
      </c>
      <c r="E37" s="38">
        <v>0</v>
      </c>
      <c r="F37" s="38">
        <f t="shared" si="1"/>
        <v>8482</v>
      </c>
      <c r="G37" s="25">
        <f t="shared" si="2"/>
        <v>973.23424552819517</v>
      </c>
      <c r="H37" s="38">
        <f t="shared" si="6"/>
        <v>11200</v>
      </c>
      <c r="I37" s="38">
        <v>0</v>
      </c>
      <c r="J37" s="38">
        <f t="shared" si="3"/>
        <v>11200</v>
      </c>
      <c r="K37" s="25">
        <f t="shared" si="4"/>
        <v>1285.1006307375367</v>
      </c>
      <c r="L37" s="20">
        <f t="shared" si="0"/>
        <v>-311.8663852093415</v>
      </c>
    </row>
    <row r="38" spans="2:12" x14ac:dyDescent="0.3">
      <c r="B38" s="224">
        <v>2053</v>
      </c>
      <c r="C38" s="143">
        <f t="shared" si="5"/>
        <v>8482</v>
      </c>
      <c r="D38" s="38">
        <v>0</v>
      </c>
      <c r="E38" s="38">
        <v>0</v>
      </c>
      <c r="F38" s="38">
        <f t="shared" si="1"/>
        <v>8482</v>
      </c>
      <c r="G38" s="25">
        <f t="shared" si="2"/>
        <v>909.56471544691135</v>
      </c>
      <c r="H38" s="38">
        <f t="shared" si="6"/>
        <v>11200</v>
      </c>
      <c r="I38" s="38">
        <v>0</v>
      </c>
      <c r="J38" s="38">
        <f t="shared" si="3"/>
        <v>11200</v>
      </c>
      <c r="K38" s="25">
        <f t="shared" si="4"/>
        <v>1201.028626857511</v>
      </c>
      <c r="L38" s="20">
        <f t="shared" si="0"/>
        <v>-291.46391141059962</v>
      </c>
    </row>
    <row r="39" spans="2:12" x14ac:dyDescent="0.3">
      <c r="B39" s="227">
        <v>2054</v>
      </c>
      <c r="C39" s="143">
        <f t="shared" si="5"/>
        <v>8482</v>
      </c>
      <c r="D39" s="38">
        <v>0</v>
      </c>
      <c r="E39" s="38">
        <v>0</v>
      </c>
      <c r="F39" s="38">
        <f t="shared" si="1"/>
        <v>8482</v>
      </c>
      <c r="G39" s="25">
        <f t="shared" si="2"/>
        <v>850.06048172608541</v>
      </c>
      <c r="H39" s="38">
        <f t="shared" si="6"/>
        <v>11200</v>
      </c>
      <c r="I39" s="38">
        <v>0</v>
      </c>
      <c r="J39" s="38">
        <f t="shared" si="3"/>
        <v>11200</v>
      </c>
      <c r="K39" s="25">
        <f t="shared" si="4"/>
        <v>1122.4566606144963</v>
      </c>
      <c r="L39" s="20">
        <f>-(K39-G39)</f>
        <v>-272.39617888841087</v>
      </c>
    </row>
    <row r="40" spans="2:12" x14ac:dyDescent="0.3">
      <c r="B40" s="227">
        <v>2055</v>
      </c>
      <c r="C40" s="143">
        <f t="shared" si="5"/>
        <v>8482</v>
      </c>
      <c r="D40" s="38">
        <v>0</v>
      </c>
      <c r="E40" s="38">
        <v>0</v>
      </c>
      <c r="F40" s="38">
        <f t="shared" si="1"/>
        <v>8482</v>
      </c>
      <c r="G40" s="25">
        <f t="shared" si="2"/>
        <v>794.44904834213582</v>
      </c>
      <c r="H40" s="38">
        <f t="shared" si="6"/>
        <v>11200</v>
      </c>
      <c r="I40" s="38">
        <v>0</v>
      </c>
      <c r="J40" s="38">
        <f t="shared" ref="J40:J41" si="7">SUM(H40:I40)</f>
        <v>11200</v>
      </c>
      <c r="K40" s="25">
        <f t="shared" si="4"/>
        <v>1049.0249164621459</v>
      </c>
      <c r="L40" s="20">
        <f t="shared" ref="L40:L41" si="8">-(K40-G40)</f>
        <v>-254.57586812001011</v>
      </c>
    </row>
    <row r="41" spans="2:12" x14ac:dyDescent="0.3">
      <c r="B41" s="225">
        <v>2056</v>
      </c>
      <c r="C41" s="143">
        <f t="shared" si="5"/>
        <v>8482</v>
      </c>
      <c r="D41" s="38">
        <v>0</v>
      </c>
      <c r="E41" s="38">
        <v>0</v>
      </c>
      <c r="F41" s="38">
        <f t="shared" si="1"/>
        <v>8482</v>
      </c>
      <c r="G41" s="25">
        <f t="shared" si="2"/>
        <v>742.47574611414564</v>
      </c>
      <c r="H41" s="38">
        <f t="shared" si="6"/>
        <v>11200</v>
      </c>
      <c r="I41" s="38">
        <v>0</v>
      </c>
      <c r="J41" s="38">
        <f t="shared" si="7"/>
        <v>11200</v>
      </c>
      <c r="K41" s="25">
        <f t="shared" si="4"/>
        <v>980.39711818892147</v>
      </c>
      <c r="L41" s="20">
        <f t="shared" si="8"/>
        <v>-237.92137207477583</v>
      </c>
    </row>
    <row r="42" spans="2:12" ht="17.25" thickBot="1" x14ac:dyDescent="0.35">
      <c r="B42" s="625" t="s">
        <v>119</v>
      </c>
      <c r="C42" s="510"/>
      <c r="D42" s="510"/>
      <c r="E42" s="510"/>
      <c r="F42" s="510"/>
      <c r="G42" s="510"/>
      <c r="H42" s="510"/>
      <c r="I42" s="510"/>
      <c r="J42" s="510"/>
      <c r="K42" s="511"/>
      <c r="L42" s="21">
        <f>SUM(L4:L41)</f>
        <v>187387.31108459452</v>
      </c>
    </row>
    <row r="43" spans="2:12" ht="17.25" thickBot="1" x14ac:dyDescent="0.35">
      <c r="B43" s="448" t="s">
        <v>120</v>
      </c>
      <c r="C43" s="449"/>
      <c r="D43" s="449"/>
      <c r="E43" s="449"/>
      <c r="F43" s="449"/>
      <c r="G43" s="449"/>
      <c r="H43" s="449"/>
      <c r="I43" s="449"/>
      <c r="J43" s="449"/>
      <c r="K43" s="449"/>
      <c r="L43" s="512"/>
    </row>
    <row r="44" spans="2:12" ht="18.75" thickBot="1" x14ac:dyDescent="0.35">
      <c r="B44" s="442" t="s">
        <v>198</v>
      </c>
      <c r="C44" s="443"/>
      <c r="D44" s="443"/>
      <c r="E44" s="443"/>
      <c r="F44" s="443"/>
      <c r="G44" s="443"/>
      <c r="H44" s="443"/>
      <c r="I44" s="443"/>
      <c r="J44" s="443"/>
      <c r="K44" s="443"/>
      <c r="L44" s="444"/>
    </row>
  </sheetData>
  <mergeCells count="15">
    <mergeCell ref="H2:K2"/>
    <mergeCell ref="B42:K42"/>
    <mergeCell ref="C4:G11"/>
    <mergeCell ref="H4:K11"/>
    <mergeCell ref="C2:G2"/>
    <mergeCell ref="B2:B3"/>
    <mergeCell ref="B43:L43"/>
    <mergeCell ref="B44:L44"/>
    <mergeCell ref="N25:P25"/>
    <mergeCell ref="N26:P26"/>
    <mergeCell ref="N4:P4"/>
    <mergeCell ref="N6:P6"/>
    <mergeCell ref="N11:P11"/>
    <mergeCell ref="N16:P16"/>
    <mergeCell ref="N19:P1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7566B-24B0-490A-82CB-EB10B17CA90E}">
  <sheetPr>
    <tabColor theme="9" tint="0.39997558519241921"/>
  </sheetPr>
  <dimension ref="B1:T42"/>
  <sheetViews>
    <sheetView topLeftCell="A10" zoomScale="85" zoomScaleNormal="85" workbookViewId="0">
      <selection activeCell="B15" sqref="B15:E15"/>
    </sheetView>
  </sheetViews>
  <sheetFormatPr defaultColWidth="9.140625" defaultRowHeight="16.5" x14ac:dyDescent="0.3"/>
  <cols>
    <col min="1" max="1" width="2.7109375" style="1" customWidth="1"/>
    <col min="2" max="5" width="9.140625" style="1"/>
    <col min="6" max="6" width="11.28515625" style="1" customWidth="1"/>
    <col min="7" max="19" width="9.140625" style="1"/>
    <col min="20" max="20" width="17.5703125" style="1" customWidth="1"/>
    <col min="21" max="16384" width="9.140625" style="1"/>
  </cols>
  <sheetData>
    <row r="1" spans="2:20" ht="17.25" thickBot="1" x14ac:dyDescent="0.35"/>
    <row r="2" spans="2:20" ht="17.25" thickBot="1" x14ac:dyDescent="0.35">
      <c r="S2" s="451" t="s">
        <v>282</v>
      </c>
      <c r="T2" s="638"/>
    </row>
    <row r="3" spans="2:20" ht="33.75" thickBot="1" x14ac:dyDescent="0.35">
      <c r="S3" s="9" t="s">
        <v>88</v>
      </c>
      <c r="T3" s="19" t="s">
        <v>283</v>
      </c>
    </row>
    <row r="4" spans="2:20" ht="17.25" thickBot="1" x14ac:dyDescent="0.35">
      <c r="B4" s="434" t="s">
        <v>284</v>
      </c>
      <c r="C4" s="435"/>
      <c r="D4" s="435"/>
      <c r="E4" s="435"/>
      <c r="F4" s="435"/>
      <c r="G4" s="435"/>
      <c r="H4" s="435"/>
      <c r="I4" s="436"/>
      <c r="S4" s="8">
        <v>2019</v>
      </c>
      <c r="T4" s="20">
        <v>0</v>
      </c>
    </row>
    <row r="5" spans="2:20" x14ac:dyDescent="0.3">
      <c r="B5" s="476" t="s">
        <v>285</v>
      </c>
      <c r="C5" s="477"/>
      <c r="D5" s="478"/>
      <c r="E5" s="668" t="s">
        <v>286</v>
      </c>
      <c r="F5" s="669"/>
      <c r="G5" s="669"/>
      <c r="H5" s="669"/>
      <c r="I5" s="670"/>
      <c r="S5" s="8">
        <v>2020</v>
      </c>
      <c r="T5" s="20">
        <v>0</v>
      </c>
    </row>
    <row r="6" spans="2:20" ht="16.5" customHeight="1" thickBot="1" x14ac:dyDescent="0.35">
      <c r="B6" s="671"/>
      <c r="C6" s="672"/>
      <c r="D6" s="673"/>
      <c r="E6" s="40">
        <v>25</v>
      </c>
      <c r="F6" s="41">
        <v>40</v>
      </c>
      <c r="G6" s="41">
        <v>50</v>
      </c>
      <c r="H6" s="41">
        <v>60</v>
      </c>
      <c r="I6" s="42">
        <v>100</v>
      </c>
      <c r="S6" s="8">
        <v>2021</v>
      </c>
      <c r="T6" s="20">
        <v>0</v>
      </c>
    </row>
    <row r="7" spans="2:20" ht="17.25" thickBot="1" x14ac:dyDescent="0.35">
      <c r="B7" s="674">
        <v>30</v>
      </c>
      <c r="C7" s="675"/>
      <c r="D7" s="676"/>
      <c r="E7" s="43">
        <v>0</v>
      </c>
      <c r="F7" s="43">
        <v>0.28000000000000003</v>
      </c>
      <c r="G7" s="43">
        <v>0.44</v>
      </c>
      <c r="H7" s="43">
        <v>0.55000000000000004</v>
      </c>
      <c r="I7" s="44">
        <v>0.77</v>
      </c>
      <c r="S7" s="8">
        <v>2022</v>
      </c>
      <c r="T7" s="20">
        <v>0</v>
      </c>
    </row>
    <row r="8" spans="2:20" x14ac:dyDescent="0.3">
      <c r="B8" s="677" t="s">
        <v>287</v>
      </c>
      <c r="C8" s="678"/>
      <c r="D8" s="678"/>
      <c r="E8" s="678"/>
      <c r="F8" s="678"/>
      <c r="G8" s="678"/>
      <c r="H8" s="678"/>
      <c r="I8" s="679"/>
      <c r="S8" s="8">
        <v>2023</v>
      </c>
      <c r="T8" s="20">
        <v>0</v>
      </c>
    </row>
    <row r="9" spans="2:20" ht="17.25" thickBot="1" x14ac:dyDescent="0.35">
      <c r="B9" s="680"/>
      <c r="C9" s="681"/>
      <c r="D9" s="681"/>
      <c r="E9" s="681"/>
      <c r="F9" s="681"/>
      <c r="G9" s="681"/>
      <c r="H9" s="681"/>
      <c r="I9" s="682"/>
      <c r="S9" s="8">
        <v>2024</v>
      </c>
      <c r="T9" s="20">
        <v>0</v>
      </c>
    </row>
    <row r="10" spans="2:20" ht="17.25" thickBot="1" x14ac:dyDescent="0.35">
      <c r="S10" s="8">
        <v>2025</v>
      </c>
      <c r="T10" s="20">
        <v>0</v>
      </c>
    </row>
    <row r="11" spans="2:20" ht="16.5" customHeight="1" thickBot="1" x14ac:dyDescent="0.35">
      <c r="B11" s="434" t="s">
        <v>100</v>
      </c>
      <c r="C11" s="435"/>
      <c r="D11" s="435"/>
      <c r="E11" s="435"/>
      <c r="F11" s="435"/>
      <c r="G11" s="435"/>
      <c r="H11" s="435"/>
      <c r="I11" s="435"/>
      <c r="J11" s="435"/>
      <c r="K11" s="435"/>
      <c r="L11" s="435"/>
      <c r="M11" s="435"/>
      <c r="N11" s="435"/>
      <c r="O11" s="435"/>
      <c r="P11" s="435"/>
      <c r="Q11" s="436"/>
      <c r="S11" s="8">
        <v>2026</v>
      </c>
      <c r="T11" s="20">
        <v>0</v>
      </c>
    </row>
    <row r="12" spans="2:20" ht="17.25" thickBot="1" x14ac:dyDescent="0.35">
      <c r="B12" s="527" t="s">
        <v>101</v>
      </c>
      <c r="C12" s="528"/>
      <c r="D12" s="528"/>
      <c r="E12" s="600"/>
      <c r="F12" s="10" t="s">
        <v>102</v>
      </c>
      <c r="G12" s="560" t="s">
        <v>103</v>
      </c>
      <c r="H12" s="528"/>
      <c r="I12" s="528"/>
      <c r="J12" s="528"/>
      <c r="K12" s="528"/>
      <c r="L12" s="528"/>
      <c r="M12" s="528"/>
      <c r="N12" s="528"/>
      <c r="O12" s="528"/>
      <c r="P12" s="528"/>
      <c r="Q12" s="561"/>
      <c r="S12" s="8">
        <v>2027</v>
      </c>
      <c r="T12" s="20">
        <v>0</v>
      </c>
    </row>
    <row r="13" spans="2:20" x14ac:dyDescent="0.3">
      <c r="B13" s="574" t="s">
        <v>288</v>
      </c>
      <c r="C13" s="575"/>
      <c r="D13" s="575"/>
      <c r="E13" s="601"/>
      <c r="F13" s="145">
        <v>60</v>
      </c>
      <c r="G13" s="683" t="s">
        <v>289</v>
      </c>
      <c r="H13" s="678"/>
      <c r="I13" s="678"/>
      <c r="J13" s="678"/>
      <c r="K13" s="678"/>
      <c r="L13" s="678"/>
      <c r="M13" s="678"/>
      <c r="N13" s="678"/>
      <c r="O13" s="678"/>
      <c r="P13" s="678"/>
      <c r="Q13" s="679"/>
      <c r="S13" s="8">
        <v>2028</v>
      </c>
      <c r="T13" s="20">
        <v>0</v>
      </c>
    </row>
    <row r="14" spans="2:20" x14ac:dyDescent="0.3">
      <c r="B14" s="556" t="s">
        <v>290</v>
      </c>
      <c r="C14" s="471"/>
      <c r="D14" s="471"/>
      <c r="E14" s="472"/>
      <c r="F14" s="39">
        <v>50</v>
      </c>
      <c r="G14" s="684"/>
      <c r="H14" s="685"/>
      <c r="I14" s="685"/>
      <c r="J14" s="685"/>
      <c r="K14" s="685"/>
      <c r="L14" s="685"/>
      <c r="M14" s="685"/>
      <c r="N14" s="685"/>
      <c r="O14" s="685"/>
      <c r="P14" s="685"/>
      <c r="Q14" s="686"/>
      <c r="S14" s="8">
        <v>2029</v>
      </c>
      <c r="T14" s="20">
        <v>0</v>
      </c>
    </row>
    <row r="15" spans="2:20" x14ac:dyDescent="0.3">
      <c r="B15" s="556" t="s">
        <v>291</v>
      </c>
      <c r="C15" s="471"/>
      <c r="D15" s="471"/>
      <c r="E15" s="472"/>
      <c r="F15" s="39">
        <v>40</v>
      </c>
      <c r="G15" s="684"/>
      <c r="H15" s="685"/>
      <c r="I15" s="685"/>
      <c r="J15" s="685"/>
      <c r="K15" s="685"/>
      <c r="L15" s="685"/>
      <c r="M15" s="685"/>
      <c r="N15" s="685"/>
      <c r="O15" s="685"/>
      <c r="P15" s="685"/>
      <c r="Q15" s="686"/>
      <c r="S15" s="8">
        <v>2030</v>
      </c>
      <c r="T15" s="20">
        <v>0</v>
      </c>
    </row>
    <row r="16" spans="2:20" x14ac:dyDescent="0.3">
      <c r="B16" s="556" t="s">
        <v>292</v>
      </c>
      <c r="C16" s="471"/>
      <c r="D16" s="471"/>
      <c r="E16" s="472"/>
      <c r="F16" s="39">
        <v>25</v>
      </c>
      <c r="G16" s="687"/>
      <c r="H16" s="446"/>
      <c r="I16" s="446"/>
      <c r="J16" s="446"/>
      <c r="K16" s="446"/>
      <c r="L16" s="446"/>
      <c r="M16" s="446"/>
      <c r="N16" s="446"/>
      <c r="O16" s="446"/>
      <c r="P16" s="446"/>
      <c r="Q16" s="447"/>
      <c r="S16" s="8">
        <v>2031</v>
      </c>
      <c r="T16" s="20">
        <v>0</v>
      </c>
    </row>
    <row r="17" spans="2:20" x14ac:dyDescent="0.3">
      <c r="B17" s="556" t="s">
        <v>293</v>
      </c>
      <c r="C17" s="471"/>
      <c r="D17" s="471"/>
      <c r="E17" s="472"/>
      <c r="F17" s="56">
        <f>ROUND(F14*0.5+F15*0.25+F16*0.25,-1)</f>
        <v>40</v>
      </c>
      <c r="G17" s="688" t="s">
        <v>294</v>
      </c>
      <c r="H17" s="419"/>
      <c r="I17" s="419"/>
      <c r="J17" s="419"/>
      <c r="K17" s="419"/>
      <c r="L17" s="419"/>
      <c r="M17" s="419"/>
      <c r="N17" s="419"/>
      <c r="O17" s="419"/>
      <c r="P17" s="419"/>
      <c r="Q17" s="689"/>
      <c r="S17" s="8">
        <v>2032</v>
      </c>
      <c r="T17" s="20">
        <v>0</v>
      </c>
    </row>
    <row r="18" spans="2:20" x14ac:dyDescent="0.3">
      <c r="B18" s="699" t="s">
        <v>295</v>
      </c>
      <c r="C18" s="700"/>
      <c r="D18" s="700"/>
      <c r="E18" s="701"/>
      <c r="F18" s="57">
        <f>F7*'Capital Costs'!D21</f>
        <v>6020000.0000000009</v>
      </c>
      <c r="G18" s="690" t="s">
        <v>296</v>
      </c>
      <c r="H18" s="691"/>
      <c r="I18" s="691"/>
      <c r="J18" s="691"/>
      <c r="K18" s="691"/>
      <c r="L18" s="691"/>
      <c r="M18" s="691"/>
      <c r="N18" s="691"/>
      <c r="O18" s="691"/>
      <c r="P18" s="691"/>
      <c r="Q18" s="692"/>
      <c r="S18" s="8">
        <v>2033</v>
      </c>
      <c r="T18" s="20">
        <v>0</v>
      </c>
    </row>
    <row r="19" spans="2:20" x14ac:dyDescent="0.3">
      <c r="B19" s="556" t="s">
        <v>297</v>
      </c>
      <c r="C19" s="471"/>
      <c r="D19" s="471"/>
      <c r="E19" s="472"/>
      <c r="F19" s="56">
        <f>ROUND(F13,-1)</f>
        <v>60</v>
      </c>
      <c r="G19" s="688"/>
      <c r="H19" s="419"/>
      <c r="I19" s="419"/>
      <c r="J19" s="419"/>
      <c r="K19" s="419"/>
      <c r="L19" s="419"/>
      <c r="M19" s="419"/>
      <c r="N19" s="419"/>
      <c r="O19" s="419"/>
      <c r="P19" s="419"/>
      <c r="Q19" s="689"/>
      <c r="S19" s="8">
        <v>2034</v>
      </c>
      <c r="T19" s="20">
        <v>0</v>
      </c>
    </row>
    <row r="20" spans="2:20" ht="17.25" customHeight="1" thickBot="1" x14ac:dyDescent="0.35">
      <c r="B20" s="696" t="s">
        <v>298</v>
      </c>
      <c r="C20" s="697"/>
      <c r="D20" s="697"/>
      <c r="E20" s="698"/>
      <c r="F20" s="58">
        <f>H7*'Capital Costs'!D22</f>
        <v>3866500.0000000005</v>
      </c>
      <c r="G20" s="693" t="s">
        <v>299</v>
      </c>
      <c r="H20" s="694"/>
      <c r="I20" s="694"/>
      <c r="J20" s="694"/>
      <c r="K20" s="694"/>
      <c r="L20" s="694"/>
      <c r="M20" s="694"/>
      <c r="N20" s="694"/>
      <c r="O20" s="694"/>
      <c r="P20" s="694"/>
      <c r="Q20" s="695"/>
      <c r="S20" s="8">
        <v>2035</v>
      </c>
      <c r="T20" s="20">
        <v>0</v>
      </c>
    </row>
    <row r="21" spans="2:20" x14ac:dyDescent="0.3">
      <c r="S21" s="8">
        <v>2036</v>
      </c>
      <c r="T21" s="20">
        <v>0</v>
      </c>
    </row>
    <row r="22" spans="2:20" x14ac:dyDescent="0.3">
      <c r="S22" s="8">
        <v>2037</v>
      </c>
      <c r="T22" s="20">
        <v>0</v>
      </c>
    </row>
    <row r="23" spans="2:20" x14ac:dyDescent="0.3">
      <c r="S23" s="8">
        <v>2038</v>
      </c>
      <c r="T23" s="20">
        <v>0</v>
      </c>
    </row>
    <row r="24" spans="2:20" x14ac:dyDescent="0.3">
      <c r="S24" s="8">
        <v>2039</v>
      </c>
      <c r="T24" s="20">
        <v>0</v>
      </c>
    </row>
    <row r="25" spans="2:20" x14ac:dyDescent="0.3">
      <c r="S25" s="8">
        <v>2040</v>
      </c>
      <c r="T25" s="20">
        <v>0</v>
      </c>
    </row>
    <row r="26" spans="2:20" x14ac:dyDescent="0.3">
      <c r="S26" s="8">
        <v>2041</v>
      </c>
      <c r="T26" s="20">
        <v>0</v>
      </c>
    </row>
    <row r="27" spans="2:20" x14ac:dyDescent="0.3">
      <c r="S27" s="8">
        <v>2042</v>
      </c>
      <c r="T27" s="20">
        <v>0</v>
      </c>
    </row>
    <row r="28" spans="2:20" x14ac:dyDescent="0.3">
      <c r="S28" s="8">
        <v>2043</v>
      </c>
      <c r="T28" s="20">
        <v>0</v>
      </c>
    </row>
    <row r="29" spans="2:20" x14ac:dyDescent="0.3">
      <c r="S29" s="8">
        <v>2044</v>
      </c>
      <c r="T29" s="20">
        <v>0</v>
      </c>
    </row>
    <row r="30" spans="2:20" x14ac:dyDescent="0.3">
      <c r="S30" s="8">
        <v>2045</v>
      </c>
      <c r="T30" s="20">
        <v>0</v>
      </c>
    </row>
    <row r="31" spans="2:20" x14ac:dyDescent="0.3">
      <c r="S31" s="8">
        <v>2046</v>
      </c>
      <c r="T31" s="20">
        <v>0</v>
      </c>
    </row>
    <row r="32" spans="2:20" x14ac:dyDescent="0.3">
      <c r="S32" s="8">
        <v>2047</v>
      </c>
      <c r="T32" s="20">
        <v>0</v>
      </c>
    </row>
    <row r="33" spans="19:20" x14ac:dyDescent="0.3">
      <c r="S33" s="8">
        <v>2048</v>
      </c>
      <c r="T33" s="20">
        <v>0</v>
      </c>
    </row>
    <row r="34" spans="19:20" x14ac:dyDescent="0.3">
      <c r="S34" s="8">
        <v>2049</v>
      </c>
      <c r="T34" s="20">
        <v>0</v>
      </c>
    </row>
    <row r="35" spans="19:20" x14ac:dyDescent="0.3">
      <c r="S35" s="8">
        <v>2050</v>
      </c>
      <c r="T35" s="20">
        <v>0</v>
      </c>
    </row>
    <row r="36" spans="19:20" x14ac:dyDescent="0.3">
      <c r="S36" s="8">
        <v>2051</v>
      </c>
      <c r="T36" s="20">
        <v>0</v>
      </c>
    </row>
    <row r="37" spans="19:20" x14ac:dyDescent="0.3">
      <c r="S37" s="8">
        <v>2052</v>
      </c>
      <c r="T37" s="20">
        <v>0</v>
      </c>
    </row>
    <row r="38" spans="19:20" x14ac:dyDescent="0.3">
      <c r="S38" s="8">
        <v>2053</v>
      </c>
      <c r="T38" s="20">
        <v>0</v>
      </c>
    </row>
    <row r="39" spans="19:20" x14ac:dyDescent="0.3">
      <c r="S39" s="8">
        <v>2054</v>
      </c>
      <c r="T39" s="20">
        <v>0</v>
      </c>
    </row>
    <row r="40" spans="19:20" x14ac:dyDescent="0.3">
      <c r="S40" s="8">
        <v>2055</v>
      </c>
      <c r="T40" s="20">
        <v>0</v>
      </c>
    </row>
    <row r="41" spans="19:20" x14ac:dyDescent="0.3">
      <c r="S41" s="8">
        <v>2056</v>
      </c>
      <c r="T41" s="20">
        <f>(F18+F20)/1.07^(S41-2020)</f>
        <v>865419.29544417618</v>
      </c>
    </row>
    <row r="42" spans="19:20" ht="17.25" thickBot="1" x14ac:dyDescent="0.35">
      <c r="S42" s="22" t="s">
        <v>119</v>
      </c>
      <c r="T42" s="21">
        <f>SUM(T4:T41)</f>
        <v>865419.29544417618</v>
      </c>
    </row>
  </sheetData>
  <mergeCells count="22">
    <mergeCell ref="G17:Q17"/>
    <mergeCell ref="G18:Q18"/>
    <mergeCell ref="G19:Q19"/>
    <mergeCell ref="G20:Q20"/>
    <mergeCell ref="B15:E15"/>
    <mergeCell ref="B16:E16"/>
    <mergeCell ref="B17:E17"/>
    <mergeCell ref="B20:E20"/>
    <mergeCell ref="B18:E18"/>
    <mergeCell ref="B19:E19"/>
    <mergeCell ref="S2:T2"/>
    <mergeCell ref="B12:E12"/>
    <mergeCell ref="B13:E13"/>
    <mergeCell ref="B14:E14"/>
    <mergeCell ref="E5:I5"/>
    <mergeCell ref="B5:D6"/>
    <mergeCell ref="B4:I4"/>
    <mergeCell ref="B7:D7"/>
    <mergeCell ref="B8:I9"/>
    <mergeCell ref="G13:Q16"/>
    <mergeCell ref="B11:Q11"/>
    <mergeCell ref="G12:Q1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72BD-9F7F-4E50-9291-D219AB68676E}">
  <sheetPr>
    <tabColor rgb="FFFBA597"/>
  </sheetPr>
  <dimension ref="B1:P52"/>
  <sheetViews>
    <sheetView topLeftCell="A25" zoomScale="85" zoomScaleNormal="85" workbookViewId="0">
      <selection activeCell="G52" sqref="G2:P52"/>
    </sheetView>
  </sheetViews>
  <sheetFormatPr defaultColWidth="9.140625" defaultRowHeight="16.5" x14ac:dyDescent="0.3"/>
  <cols>
    <col min="1" max="1" width="2.7109375" style="1" customWidth="1"/>
    <col min="2" max="4" width="15.42578125" style="1" customWidth="1"/>
    <col min="5" max="5" width="14.5703125" style="1" bestFit="1" customWidth="1"/>
    <col min="6" max="6" width="2.7109375" style="1" customWidth="1"/>
    <col min="7" max="7" width="5.7109375" style="1" bestFit="1" customWidth="1"/>
    <col min="8" max="10" width="15" style="1" bestFit="1" customWidth="1"/>
    <col min="11" max="11" width="13.28515625" style="1" customWidth="1"/>
    <col min="12" max="12" width="13.85546875" style="1" customWidth="1"/>
    <col min="13" max="13" width="14.5703125" style="1" customWidth="1"/>
    <col min="14" max="14" width="15.140625" style="1" customWidth="1"/>
    <col min="15" max="15" width="14.5703125" style="1" customWidth="1"/>
    <col min="16" max="16" width="12.28515625" style="348" customWidth="1"/>
    <col min="17" max="16384" width="9.140625" style="1"/>
  </cols>
  <sheetData>
    <row r="1" spans="2:16" ht="17.25" thickBot="1" x14ac:dyDescent="0.35"/>
    <row r="2" spans="2:16" x14ac:dyDescent="0.3">
      <c r="G2" s="451" t="s">
        <v>300</v>
      </c>
      <c r="H2" s="452"/>
      <c r="I2" s="452"/>
      <c r="J2" s="452"/>
      <c r="K2" s="452"/>
      <c r="L2" s="452"/>
      <c r="M2" s="452"/>
      <c r="N2" s="452"/>
      <c r="O2" s="452"/>
      <c r="P2" s="638"/>
    </row>
    <row r="3" spans="2:16" ht="51" x14ac:dyDescent="0.3">
      <c r="G3" s="223" t="s">
        <v>88</v>
      </c>
      <c r="H3" s="17" t="s">
        <v>301</v>
      </c>
      <c r="I3" s="10" t="s">
        <v>302</v>
      </c>
      <c r="J3" s="10" t="s">
        <v>303</v>
      </c>
      <c r="K3" s="10" t="s">
        <v>304</v>
      </c>
      <c r="L3" s="10" t="s">
        <v>305</v>
      </c>
      <c r="M3" s="14" t="s">
        <v>306</v>
      </c>
      <c r="N3" s="10" t="s">
        <v>307</v>
      </c>
      <c r="O3" s="10" t="s">
        <v>308</v>
      </c>
      <c r="P3" s="349" t="s">
        <v>309</v>
      </c>
    </row>
    <row r="4" spans="2:16" x14ac:dyDescent="0.3">
      <c r="G4" s="352">
        <v>2013</v>
      </c>
      <c r="H4" s="353">
        <v>0</v>
      </c>
      <c r="I4" s="354">
        <v>0</v>
      </c>
      <c r="J4" s="354">
        <v>0</v>
      </c>
      <c r="K4" s="354">
        <v>0</v>
      </c>
      <c r="L4" s="354">
        <v>0</v>
      </c>
      <c r="M4" s="354">
        <v>0</v>
      </c>
      <c r="N4" s="355">
        <f t="shared" ref="N4:N15" si="0">SUM(H4:M4)</f>
        <v>0</v>
      </c>
      <c r="O4" s="355">
        <f>N4*1.12</f>
        <v>0</v>
      </c>
      <c r="P4" s="350">
        <f t="shared" ref="P4:P10" si="1">O4</f>
        <v>0</v>
      </c>
    </row>
    <row r="5" spans="2:16" x14ac:dyDescent="0.3">
      <c r="G5" s="352">
        <v>2014</v>
      </c>
      <c r="H5" s="353">
        <v>0</v>
      </c>
      <c r="I5" s="354">
        <v>0</v>
      </c>
      <c r="J5" s="354">
        <v>0</v>
      </c>
      <c r="K5" s="354">
        <v>0</v>
      </c>
      <c r="L5" s="354">
        <v>0</v>
      </c>
      <c r="M5" s="354">
        <v>0</v>
      </c>
      <c r="N5" s="355">
        <f t="shared" si="0"/>
        <v>0</v>
      </c>
      <c r="O5" s="355">
        <f>N5*1.1</f>
        <v>0</v>
      </c>
      <c r="P5" s="350">
        <f t="shared" si="1"/>
        <v>0</v>
      </c>
    </row>
    <row r="6" spans="2:16" x14ac:dyDescent="0.3">
      <c r="G6" s="352">
        <v>2015</v>
      </c>
      <c r="H6" s="353">
        <v>0</v>
      </c>
      <c r="I6" s="354">
        <v>0</v>
      </c>
      <c r="J6" s="354">
        <v>0</v>
      </c>
      <c r="K6" s="354">
        <v>0</v>
      </c>
      <c r="L6" s="354">
        <v>0</v>
      </c>
      <c r="M6" s="354">
        <v>0</v>
      </c>
      <c r="N6" s="355">
        <f t="shared" si="0"/>
        <v>0</v>
      </c>
      <c r="O6" s="355">
        <f>N6*1.09</f>
        <v>0</v>
      </c>
      <c r="P6" s="350">
        <f t="shared" si="1"/>
        <v>0</v>
      </c>
    </row>
    <row r="7" spans="2:16" x14ac:dyDescent="0.3">
      <c r="G7" s="352">
        <v>2016</v>
      </c>
      <c r="H7" s="353">
        <v>0</v>
      </c>
      <c r="I7" s="354">
        <v>0</v>
      </c>
      <c r="J7" s="354">
        <v>0</v>
      </c>
      <c r="K7" s="354">
        <v>0</v>
      </c>
      <c r="L7" s="354">
        <v>0</v>
      </c>
      <c r="M7" s="354">
        <v>0</v>
      </c>
      <c r="N7" s="355">
        <f t="shared" si="0"/>
        <v>0</v>
      </c>
      <c r="O7" s="355">
        <f>N7*1.07</f>
        <v>0</v>
      </c>
      <c r="P7" s="350">
        <f t="shared" si="1"/>
        <v>0</v>
      </c>
    </row>
    <row r="8" spans="2:16" x14ac:dyDescent="0.3">
      <c r="G8" s="352">
        <v>2017</v>
      </c>
      <c r="H8" s="353">
        <v>0</v>
      </c>
      <c r="I8" s="354">
        <v>0</v>
      </c>
      <c r="J8" s="354">
        <v>0</v>
      </c>
      <c r="K8" s="354">
        <v>0</v>
      </c>
      <c r="L8" s="354">
        <v>0</v>
      </c>
      <c r="M8" s="354">
        <v>0</v>
      </c>
      <c r="N8" s="355">
        <f t="shared" si="0"/>
        <v>0</v>
      </c>
      <c r="O8" s="355">
        <f>N8*1.05</f>
        <v>0</v>
      </c>
      <c r="P8" s="350">
        <f t="shared" si="1"/>
        <v>0</v>
      </c>
    </row>
    <row r="9" spans="2:16" x14ac:dyDescent="0.3">
      <c r="G9" s="352">
        <v>2018</v>
      </c>
      <c r="H9" s="353">
        <v>0</v>
      </c>
      <c r="I9" s="354">
        <v>0</v>
      </c>
      <c r="J9" s="354">
        <v>0</v>
      </c>
      <c r="K9" s="354">
        <v>0</v>
      </c>
      <c r="L9" s="354">
        <v>0</v>
      </c>
      <c r="M9" s="354">
        <v>0</v>
      </c>
      <c r="N9" s="355">
        <f t="shared" si="0"/>
        <v>0</v>
      </c>
      <c r="O9" s="355">
        <f>N9*1.03</f>
        <v>0</v>
      </c>
      <c r="P9" s="350">
        <f t="shared" si="1"/>
        <v>0</v>
      </c>
    </row>
    <row r="10" spans="2:16" x14ac:dyDescent="0.3">
      <c r="B10" s="434" t="s">
        <v>310</v>
      </c>
      <c r="C10" s="435"/>
      <c r="D10" s="435"/>
      <c r="E10" s="436"/>
      <c r="G10" s="352">
        <v>2019</v>
      </c>
      <c r="H10" s="353">
        <v>100000</v>
      </c>
      <c r="I10" s="354">
        <v>0</v>
      </c>
      <c r="J10" s="354">
        <v>0</v>
      </c>
      <c r="K10" s="354">
        <v>0</v>
      </c>
      <c r="L10" s="354">
        <v>0</v>
      </c>
      <c r="M10" s="354">
        <v>0</v>
      </c>
      <c r="N10" s="355">
        <f t="shared" si="0"/>
        <v>100000</v>
      </c>
      <c r="O10" s="355">
        <f>N10*1.01</f>
        <v>101000</v>
      </c>
      <c r="P10" s="350">
        <f t="shared" si="1"/>
        <v>101000</v>
      </c>
    </row>
    <row r="11" spans="2:16" x14ac:dyDescent="0.3">
      <c r="B11" s="527" t="s">
        <v>311</v>
      </c>
      <c r="C11" s="600"/>
      <c r="D11" s="13" t="s">
        <v>312</v>
      </c>
      <c r="E11" s="11" t="s">
        <v>313</v>
      </c>
      <c r="G11" s="352">
        <v>2020</v>
      </c>
      <c r="H11" s="353">
        <v>0</v>
      </c>
      <c r="I11" s="354">
        <v>0</v>
      </c>
      <c r="J11" s="354">
        <v>0</v>
      </c>
      <c r="K11" s="354">
        <v>0</v>
      </c>
      <c r="L11" s="354">
        <v>0</v>
      </c>
      <c r="M11" s="354">
        <v>0</v>
      </c>
      <c r="N11" s="355">
        <f t="shared" si="0"/>
        <v>0</v>
      </c>
      <c r="O11" s="355">
        <f t="shared" ref="O11:O15" si="2">N11</f>
        <v>0</v>
      </c>
      <c r="P11" s="350">
        <f>O11</f>
        <v>0</v>
      </c>
    </row>
    <row r="12" spans="2:16" x14ac:dyDescent="0.3">
      <c r="B12" s="702" t="s">
        <v>314</v>
      </c>
      <c r="C12" s="703"/>
      <c r="D12" s="66">
        <f>H10</f>
        <v>100000</v>
      </c>
      <c r="E12" s="67"/>
      <c r="G12" s="352">
        <v>2021</v>
      </c>
      <c r="H12" s="353">
        <v>0</v>
      </c>
      <c r="I12" s="354">
        <v>50000</v>
      </c>
      <c r="J12" s="354">
        <v>300000</v>
      </c>
      <c r="K12" s="354">
        <v>0</v>
      </c>
      <c r="L12" s="354">
        <v>0</v>
      </c>
      <c r="M12" s="354">
        <v>0</v>
      </c>
      <c r="N12" s="355">
        <f t="shared" si="0"/>
        <v>350000</v>
      </c>
      <c r="O12" s="355">
        <f t="shared" si="2"/>
        <v>350000</v>
      </c>
      <c r="P12" s="350">
        <f>O12/1.07^(G12-2020)</f>
        <v>327102.80373831774</v>
      </c>
    </row>
    <row r="13" spans="2:16" x14ac:dyDescent="0.3">
      <c r="B13" s="704" t="s">
        <v>315</v>
      </c>
      <c r="C13" s="705"/>
      <c r="D13" s="68">
        <f>I12+I13</f>
        <v>90000</v>
      </c>
      <c r="E13" s="69"/>
      <c r="G13" s="352">
        <v>2022</v>
      </c>
      <c r="H13" s="353">
        <v>0</v>
      </c>
      <c r="I13" s="354">
        <v>40000</v>
      </c>
      <c r="J13" s="354">
        <v>300000</v>
      </c>
      <c r="K13" s="354">
        <v>600000</v>
      </c>
      <c r="L13" s="354">
        <v>0</v>
      </c>
      <c r="M13" s="354">
        <v>0</v>
      </c>
      <c r="N13" s="355">
        <f t="shared" si="0"/>
        <v>940000</v>
      </c>
      <c r="O13" s="355">
        <f t="shared" si="2"/>
        <v>940000</v>
      </c>
      <c r="P13" s="350">
        <f>O13/1.07^(G13-2020)</f>
        <v>821032.40457681892</v>
      </c>
    </row>
    <row r="14" spans="2:16" x14ac:dyDescent="0.3">
      <c r="B14" s="704" t="s">
        <v>316</v>
      </c>
      <c r="C14" s="705"/>
      <c r="D14" s="68">
        <f>J12+J13</f>
        <v>600000</v>
      </c>
      <c r="E14" s="69">
        <f>J14</f>
        <v>300000</v>
      </c>
      <c r="G14" s="352">
        <v>2023</v>
      </c>
      <c r="H14" s="353">
        <v>0</v>
      </c>
      <c r="I14" s="354">
        <v>0</v>
      </c>
      <c r="J14" s="354">
        <v>300000</v>
      </c>
      <c r="K14" s="354">
        <v>2600000</v>
      </c>
      <c r="L14" s="354">
        <v>0</v>
      </c>
      <c r="M14" s="354">
        <v>0</v>
      </c>
      <c r="N14" s="355">
        <f t="shared" si="0"/>
        <v>2900000</v>
      </c>
      <c r="O14" s="355">
        <f t="shared" si="2"/>
        <v>2900000</v>
      </c>
      <c r="P14" s="350">
        <f t="shared" ref="P14:P17" si="3">O14/1.07^(G14-2020)</f>
        <v>2367263.8429834708</v>
      </c>
    </row>
    <row r="15" spans="2:16" x14ac:dyDescent="0.3">
      <c r="B15" s="704" t="s">
        <v>304</v>
      </c>
      <c r="C15" s="705"/>
      <c r="D15" s="68">
        <f>K13</f>
        <v>600000</v>
      </c>
      <c r="E15" s="69">
        <f>K14</f>
        <v>2600000</v>
      </c>
      <c r="G15" s="352">
        <v>2024</v>
      </c>
      <c r="H15" s="353">
        <v>0</v>
      </c>
      <c r="I15" s="354">
        <v>0</v>
      </c>
      <c r="J15" s="354">
        <v>0</v>
      </c>
      <c r="K15" s="354">
        <v>0</v>
      </c>
      <c r="L15" s="354">
        <v>0</v>
      </c>
      <c r="M15" s="354">
        <v>0</v>
      </c>
      <c r="N15" s="355">
        <f t="shared" si="0"/>
        <v>0</v>
      </c>
      <c r="O15" s="355">
        <f t="shared" si="2"/>
        <v>0</v>
      </c>
      <c r="P15" s="350">
        <f>O15/1.07^(G15-2020)</f>
        <v>0</v>
      </c>
    </row>
    <row r="16" spans="2:16" x14ac:dyDescent="0.3">
      <c r="B16" s="704" t="s">
        <v>317</v>
      </c>
      <c r="C16" s="705"/>
      <c r="D16" s="70"/>
      <c r="E16" s="71">
        <f>L16+L17</f>
        <v>2000000</v>
      </c>
      <c r="G16" s="352">
        <v>2025</v>
      </c>
      <c r="H16" s="353">
        <v>0</v>
      </c>
      <c r="I16" s="354">
        <v>0</v>
      </c>
      <c r="J16" s="354">
        <v>0</v>
      </c>
      <c r="K16" s="354">
        <v>0</v>
      </c>
      <c r="L16" s="354">
        <f>2000000*(7.06/37.12)</f>
        <v>380387.93103448278</v>
      </c>
      <c r="M16" s="354">
        <f>N16-L16</f>
        <v>6679612.068965517</v>
      </c>
      <c r="N16" s="355">
        <v>7060000</v>
      </c>
      <c r="O16" s="355">
        <f t="shared" ref="O16:O45" si="4">N16</f>
        <v>7060000</v>
      </c>
      <c r="P16" s="350">
        <f t="shared" si="3"/>
        <v>5033682.4271546984</v>
      </c>
    </row>
    <row r="17" spans="2:16" x14ac:dyDescent="0.3">
      <c r="B17" s="715" t="s">
        <v>318</v>
      </c>
      <c r="C17" s="716"/>
      <c r="D17" s="72"/>
      <c r="E17" s="73">
        <f>M16+M17</f>
        <v>35120000</v>
      </c>
      <c r="G17" s="352">
        <v>2026</v>
      </c>
      <c r="H17" s="353">
        <v>0</v>
      </c>
      <c r="I17" s="354">
        <v>0</v>
      </c>
      <c r="J17" s="354">
        <v>0</v>
      </c>
      <c r="K17" s="354">
        <v>0</v>
      </c>
      <c r="L17" s="354">
        <f>2000000-L16</f>
        <v>1619612.0689655172</v>
      </c>
      <c r="M17" s="354">
        <f>N17-L17</f>
        <v>28440387.931034483</v>
      </c>
      <c r="N17" s="355">
        <v>30060000</v>
      </c>
      <c r="O17" s="355">
        <f>N17</f>
        <v>30060000</v>
      </c>
      <c r="P17" s="350">
        <f t="shared" si="3"/>
        <v>20030247.247924365</v>
      </c>
    </row>
    <row r="18" spans="2:16" x14ac:dyDescent="0.3">
      <c r="G18" s="352">
        <v>2027</v>
      </c>
      <c r="H18" s="353">
        <v>0</v>
      </c>
      <c r="I18" s="354">
        <v>0</v>
      </c>
      <c r="J18" s="354">
        <v>0</v>
      </c>
      <c r="K18" s="354">
        <v>0</v>
      </c>
      <c r="L18" s="354">
        <v>0</v>
      </c>
      <c r="M18" s="356">
        <v>0</v>
      </c>
      <c r="N18" s="357">
        <f t="shared" ref="N16:N27" si="5">SUM(H18:M18)</f>
        <v>0</v>
      </c>
      <c r="O18" s="357">
        <f t="shared" si="4"/>
        <v>0</v>
      </c>
      <c r="P18" s="350">
        <f t="shared" ref="P18:P45" si="6">O18/1.07^(G18-2020)</f>
        <v>0</v>
      </c>
    </row>
    <row r="19" spans="2:16" x14ac:dyDescent="0.3">
      <c r="B19" s="434" t="s">
        <v>319</v>
      </c>
      <c r="C19" s="435"/>
      <c r="D19" s="436"/>
      <c r="G19" s="352">
        <v>2028</v>
      </c>
      <c r="H19" s="353">
        <v>0</v>
      </c>
      <c r="I19" s="354">
        <v>0</v>
      </c>
      <c r="J19" s="354">
        <v>0</v>
      </c>
      <c r="K19" s="354">
        <v>0</v>
      </c>
      <c r="L19" s="354">
        <v>0</v>
      </c>
      <c r="M19" s="356">
        <v>0</v>
      </c>
      <c r="N19" s="357">
        <f t="shared" si="5"/>
        <v>0</v>
      </c>
      <c r="O19" s="357">
        <f t="shared" si="4"/>
        <v>0</v>
      </c>
      <c r="P19" s="350">
        <f t="shared" si="6"/>
        <v>0</v>
      </c>
    </row>
    <row r="20" spans="2:16" x14ac:dyDescent="0.3">
      <c r="B20" s="527" t="s">
        <v>311</v>
      </c>
      <c r="C20" s="600"/>
      <c r="D20" s="11" t="s">
        <v>313</v>
      </c>
      <c r="G20" s="352">
        <v>2029</v>
      </c>
      <c r="H20" s="353">
        <v>0</v>
      </c>
      <c r="I20" s="354">
        <v>0</v>
      </c>
      <c r="J20" s="354">
        <v>0</v>
      </c>
      <c r="K20" s="354">
        <v>0</v>
      </c>
      <c r="L20" s="354">
        <v>0</v>
      </c>
      <c r="M20" s="356">
        <v>0</v>
      </c>
      <c r="N20" s="357">
        <f t="shared" si="5"/>
        <v>0</v>
      </c>
      <c r="O20" s="357">
        <f t="shared" si="4"/>
        <v>0</v>
      </c>
      <c r="P20" s="350">
        <f t="shared" si="6"/>
        <v>0</v>
      </c>
    </row>
    <row r="21" spans="2:16" x14ac:dyDescent="0.3">
      <c r="B21" s="702" t="s">
        <v>320</v>
      </c>
      <c r="C21" s="703"/>
      <c r="D21" s="67">
        <v>21500000</v>
      </c>
      <c r="G21" s="352">
        <v>2030</v>
      </c>
      <c r="H21" s="353">
        <v>0</v>
      </c>
      <c r="I21" s="354">
        <v>0</v>
      </c>
      <c r="J21" s="354">
        <v>0</v>
      </c>
      <c r="K21" s="354">
        <v>0</v>
      </c>
      <c r="L21" s="354">
        <v>0</v>
      </c>
      <c r="M21" s="356">
        <v>0</v>
      </c>
      <c r="N21" s="357">
        <f t="shared" si="5"/>
        <v>0</v>
      </c>
      <c r="O21" s="357">
        <f t="shared" si="4"/>
        <v>0</v>
      </c>
      <c r="P21" s="350">
        <f t="shared" si="6"/>
        <v>0</v>
      </c>
    </row>
    <row r="22" spans="2:16" x14ac:dyDescent="0.3">
      <c r="B22" s="720" t="s">
        <v>321</v>
      </c>
      <c r="C22" s="721"/>
      <c r="D22" s="71">
        <f>6100000+930000</f>
        <v>7030000</v>
      </c>
      <c r="G22" s="352">
        <v>2031</v>
      </c>
      <c r="H22" s="353">
        <v>0</v>
      </c>
      <c r="I22" s="354">
        <v>0</v>
      </c>
      <c r="J22" s="354">
        <v>0</v>
      </c>
      <c r="K22" s="354">
        <v>0</v>
      </c>
      <c r="L22" s="354">
        <v>0</v>
      </c>
      <c r="M22" s="356">
        <v>0</v>
      </c>
      <c r="N22" s="357">
        <f t="shared" si="5"/>
        <v>0</v>
      </c>
      <c r="O22" s="357">
        <f t="shared" si="4"/>
        <v>0</v>
      </c>
      <c r="P22" s="350">
        <f t="shared" si="6"/>
        <v>0</v>
      </c>
    </row>
    <row r="23" spans="2:16" x14ac:dyDescent="0.3">
      <c r="B23" s="704" t="s">
        <v>322</v>
      </c>
      <c r="C23" s="705"/>
      <c r="D23" s="69">
        <v>4830000</v>
      </c>
      <c r="G23" s="352">
        <v>2032</v>
      </c>
      <c r="H23" s="353">
        <v>0</v>
      </c>
      <c r="I23" s="354">
        <v>0</v>
      </c>
      <c r="J23" s="354">
        <v>0</v>
      </c>
      <c r="K23" s="354">
        <v>0</v>
      </c>
      <c r="L23" s="354">
        <v>0</v>
      </c>
      <c r="M23" s="356">
        <v>0</v>
      </c>
      <c r="N23" s="357">
        <f t="shared" si="5"/>
        <v>0</v>
      </c>
      <c r="O23" s="357">
        <f t="shared" si="4"/>
        <v>0</v>
      </c>
      <c r="P23" s="350">
        <f t="shared" si="6"/>
        <v>0</v>
      </c>
    </row>
    <row r="24" spans="2:16" x14ac:dyDescent="0.3">
      <c r="B24" s="704" t="s">
        <v>323</v>
      </c>
      <c r="C24" s="705"/>
      <c r="D24" s="69">
        <f>340000+1420000</f>
        <v>1760000</v>
      </c>
      <c r="G24" s="352">
        <v>2033</v>
      </c>
      <c r="H24" s="353">
        <v>0</v>
      </c>
      <c r="I24" s="354">
        <v>0</v>
      </c>
      <c r="J24" s="354">
        <v>0</v>
      </c>
      <c r="K24" s="354">
        <v>0</v>
      </c>
      <c r="L24" s="354">
        <v>0</v>
      </c>
      <c r="M24" s="356">
        <v>0</v>
      </c>
      <c r="N24" s="357">
        <f t="shared" si="5"/>
        <v>0</v>
      </c>
      <c r="O24" s="357">
        <f t="shared" si="4"/>
        <v>0</v>
      </c>
      <c r="P24" s="350">
        <f t="shared" si="6"/>
        <v>0</v>
      </c>
    </row>
    <row r="25" spans="2:16" x14ac:dyDescent="0.3">
      <c r="B25" s="623" t="s">
        <v>324</v>
      </c>
      <c r="C25" s="624"/>
      <c r="D25" s="119">
        <f>SUM(D21:D24)</f>
        <v>35120000</v>
      </c>
      <c r="G25" s="352">
        <v>2034</v>
      </c>
      <c r="H25" s="353">
        <v>0</v>
      </c>
      <c r="I25" s="354">
        <v>0</v>
      </c>
      <c r="J25" s="354">
        <v>0</v>
      </c>
      <c r="K25" s="354">
        <v>0</v>
      </c>
      <c r="L25" s="354">
        <v>0</v>
      </c>
      <c r="M25" s="356">
        <v>0</v>
      </c>
      <c r="N25" s="357">
        <f t="shared" si="5"/>
        <v>0</v>
      </c>
      <c r="O25" s="357">
        <f t="shared" si="4"/>
        <v>0</v>
      </c>
      <c r="P25" s="350">
        <f t="shared" si="6"/>
        <v>0</v>
      </c>
    </row>
    <row r="26" spans="2:16" x14ac:dyDescent="0.3">
      <c r="G26" s="352">
        <v>2035</v>
      </c>
      <c r="H26" s="353">
        <v>0</v>
      </c>
      <c r="I26" s="354">
        <v>0</v>
      </c>
      <c r="J26" s="354">
        <v>0</v>
      </c>
      <c r="K26" s="354">
        <v>0</v>
      </c>
      <c r="L26" s="354">
        <v>0</v>
      </c>
      <c r="M26" s="356">
        <v>0</v>
      </c>
      <c r="N26" s="357">
        <f t="shared" si="5"/>
        <v>0</v>
      </c>
      <c r="O26" s="357">
        <f t="shared" si="4"/>
        <v>0</v>
      </c>
      <c r="P26" s="350">
        <f t="shared" si="6"/>
        <v>0</v>
      </c>
    </row>
    <row r="27" spans="2:16" x14ac:dyDescent="0.3">
      <c r="G27" s="352">
        <v>2036</v>
      </c>
      <c r="H27" s="353">
        <v>0</v>
      </c>
      <c r="I27" s="354">
        <v>0</v>
      </c>
      <c r="J27" s="354">
        <v>0</v>
      </c>
      <c r="K27" s="354">
        <v>0</v>
      </c>
      <c r="L27" s="354">
        <v>0</v>
      </c>
      <c r="M27" s="356">
        <v>0</v>
      </c>
      <c r="N27" s="357">
        <f t="shared" si="5"/>
        <v>0</v>
      </c>
      <c r="O27" s="357">
        <f t="shared" si="4"/>
        <v>0</v>
      </c>
      <c r="P27" s="350">
        <f t="shared" si="6"/>
        <v>0</v>
      </c>
    </row>
    <row r="28" spans="2:16" x14ac:dyDescent="0.3">
      <c r="G28" s="352">
        <v>2037</v>
      </c>
      <c r="H28" s="353">
        <v>0</v>
      </c>
      <c r="I28" s="354">
        <v>0</v>
      </c>
      <c r="J28" s="354">
        <v>0</v>
      </c>
      <c r="K28" s="354">
        <v>0</v>
      </c>
      <c r="L28" s="354">
        <v>0</v>
      </c>
      <c r="M28" s="356">
        <v>0</v>
      </c>
      <c r="N28" s="357">
        <f t="shared" ref="N28:N45" si="7">SUM(H28:M28)</f>
        <v>0</v>
      </c>
      <c r="O28" s="357">
        <f t="shared" si="4"/>
        <v>0</v>
      </c>
      <c r="P28" s="350">
        <f t="shared" si="6"/>
        <v>0</v>
      </c>
    </row>
    <row r="29" spans="2:16" x14ac:dyDescent="0.3">
      <c r="G29" s="352">
        <v>2038</v>
      </c>
      <c r="H29" s="353">
        <v>0</v>
      </c>
      <c r="I29" s="354">
        <v>0</v>
      </c>
      <c r="J29" s="354">
        <v>0</v>
      </c>
      <c r="K29" s="354">
        <v>0</v>
      </c>
      <c r="L29" s="354">
        <v>0</v>
      </c>
      <c r="M29" s="356">
        <v>0</v>
      </c>
      <c r="N29" s="357">
        <f t="shared" si="7"/>
        <v>0</v>
      </c>
      <c r="O29" s="357">
        <f t="shared" si="4"/>
        <v>0</v>
      </c>
      <c r="P29" s="350">
        <f t="shared" si="6"/>
        <v>0</v>
      </c>
    </row>
    <row r="30" spans="2:16" x14ac:dyDescent="0.3">
      <c r="G30" s="352">
        <v>2039</v>
      </c>
      <c r="H30" s="353">
        <v>0</v>
      </c>
      <c r="I30" s="354">
        <v>0</v>
      </c>
      <c r="J30" s="354">
        <v>0</v>
      </c>
      <c r="K30" s="354">
        <v>0</v>
      </c>
      <c r="L30" s="354">
        <v>0</v>
      </c>
      <c r="M30" s="356">
        <v>0</v>
      </c>
      <c r="N30" s="357">
        <f t="shared" si="7"/>
        <v>0</v>
      </c>
      <c r="O30" s="357">
        <f t="shared" si="4"/>
        <v>0</v>
      </c>
      <c r="P30" s="350">
        <f t="shared" si="6"/>
        <v>0</v>
      </c>
    </row>
    <row r="31" spans="2:16" x14ac:dyDescent="0.3">
      <c r="G31" s="352">
        <v>2040</v>
      </c>
      <c r="H31" s="353">
        <v>0</v>
      </c>
      <c r="I31" s="354">
        <v>0</v>
      </c>
      <c r="J31" s="354">
        <v>0</v>
      </c>
      <c r="K31" s="354">
        <v>0</v>
      </c>
      <c r="L31" s="354">
        <v>0</v>
      </c>
      <c r="M31" s="356">
        <v>0</v>
      </c>
      <c r="N31" s="357">
        <f t="shared" si="7"/>
        <v>0</v>
      </c>
      <c r="O31" s="357">
        <f t="shared" si="4"/>
        <v>0</v>
      </c>
      <c r="P31" s="350">
        <f t="shared" si="6"/>
        <v>0</v>
      </c>
    </row>
    <row r="32" spans="2:16" x14ac:dyDescent="0.3">
      <c r="G32" s="352">
        <v>2041</v>
      </c>
      <c r="H32" s="353">
        <v>0</v>
      </c>
      <c r="I32" s="354">
        <v>0</v>
      </c>
      <c r="J32" s="354">
        <v>0</v>
      </c>
      <c r="K32" s="354">
        <v>0</v>
      </c>
      <c r="L32" s="354">
        <v>0</v>
      </c>
      <c r="M32" s="356">
        <v>0</v>
      </c>
      <c r="N32" s="357">
        <f t="shared" si="7"/>
        <v>0</v>
      </c>
      <c r="O32" s="357">
        <f t="shared" si="4"/>
        <v>0</v>
      </c>
      <c r="P32" s="350">
        <f t="shared" si="6"/>
        <v>0</v>
      </c>
    </row>
    <row r="33" spans="7:16" x14ac:dyDescent="0.3">
      <c r="G33" s="352">
        <v>2042</v>
      </c>
      <c r="H33" s="353">
        <v>0</v>
      </c>
      <c r="I33" s="354">
        <v>0</v>
      </c>
      <c r="J33" s="354">
        <v>0</v>
      </c>
      <c r="K33" s="354">
        <v>0</v>
      </c>
      <c r="L33" s="354">
        <v>0</v>
      </c>
      <c r="M33" s="356">
        <v>0</v>
      </c>
      <c r="N33" s="357">
        <f t="shared" si="7"/>
        <v>0</v>
      </c>
      <c r="O33" s="357">
        <f t="shared" si="4"/>
        <v>0</v>
      </c>
      <c r="P33" s="350">
        <f t="shared" si="6"/>
        <v>0</v>
      </c>
    </row>
    <row r="34" spans="7:16" x14ac:dyDescent="0.3">
      <c r="G34" s="352">
        <v>2043</v>
      </c>
      <c r="H34" s="353">
        <v>0</v>
      </c>
      <c r="I34" s="354">
        <v>0</v>
      </c>
      <c r="J34" s="354">
        <v>0</v>
      </c>
      <c r="K34" s="354">
        <v>0</v>
      </c>
      <c r="L34" s="354">
        <v>0</v>
      </c>
      <c r="M34" s="356">
        <v>0</v>
      </c>
      <c r="N34" s="357">
        <f t="shared" si="7"/>
        <v>0</v>
      </c>
      <c r="O34" s="357">
        <f t="shared" si="4"/>
        <v>0</v>
      </c>
      <c r="P34" s="350">
        <f t="shared" si="6"/>
        <v>0</v>
      </c>
    </row>
    <row r="35" spans="7:16" x14ac:dyDescent="0.3">
      <c r="G35" s="352">
        <v>2044</v>
      </c>
      <c r="H35" s="353">
        <v>0</v>
      </c>
      <c r="I35" s="354">
        <v>0</v>
      </c>
      <c r="J35" s="354">
        <v>0</v>
      </c>
      <c r="K35" s="354">
        <v>0</v>
      </c>
      <c r="L35" s="354">
        <v>0</v>
      </c>
      <c r="M35" s="356">
        <v>0</v>
      </c>
      <c r="N35" s="357">
        <f t="shared" si="7"/>
        <v>0</v>
      </c>
      <c r="O35" s="357">
        <f t="shared" si="4"/>
        <v>0</v>
      </c>
      <c r="P35" s="350">
        <f t="shared" si="6"/>
        <v>0</v>
      </c>
    </row>
    <row r="36" spans="7:16" x14ac:dyDescent="0.3">
      <c r="G36" s="352">
        <v>2045</v>
      </c>
      <c r="H36" s="353">
        <v>0</v>
      </c>
      <c r="I36" s="354">
        <v>0</v>
      </c>
      <c r="J36" s="354">
        <v>0</v>
      </c>
      <c r="K36" s="354">
        <v>0</v>
      </c>
      <c r="L36" s="354">
        <v>0</v>
      </c>
      <c r="M36" s="356">
        <v>0</v>
      </c>
      <c r="N36" s="357">
        <f t="shared" si="7"/>
        <v>0</v>
      </c>
      <c r="O36" s="357">
        <f t="shared" si="4"/>
        <v>0</v>
      </c>
      <c r="P36" s="350">
        <f t="shared" si="6"/>
        <v>0</v>
      </c>
    </row>
    <row r="37" spans="7:16" x14ac:dyDescent="0.3">
      <c r="G37" s="352">
        <v>2046</v>
      </c>
      <c r="H37" s="353">
        <v>0</v>
      </c>
      <c r="I37" s="354">
        <v>0</v>
      </c>
      <c r="J37" s="354">
        <v>0</v>
      </c>
      <c r="K37" s="354">
        <v>0</v>
      </c>
      <c r="L37" s="354">
        <v>0</v>
      </c>
      <c r="M37" s="356">
        <v>0</v>
      </c>
      <c r="N37" s="357">
        <f t="shared" si="7"/>
        <v>0</v>
      </c>
      <c r="O37" s="357">
        <f t="shared" si="4"/>
        <v>0</v>
      </c>
      <c r="P37" s="350">
        <f t="shared" si="6"/>
        <v>0</v>
      </c>
    </row>
    <row r="38" spans="7:16" x14ac:dyDescent="0.3">
      <c r="G38" s="352">
        <v>2047</v>
      </c>
      <c r="H38" s="353">
        <v>0</v>
      </c>
      <c r="I38" s="354">
        <v>0</v>
      </c>
      <c r="J38" s="354">
        <v>0</v>
      </c>
      <c r="K38" s="354">
        <v>0</v>
      </c>
      <c r="L38" s="354">
        <v>0</v>
      </c>
      <c r="M38" s="356">
        <v>0</v>
      </c>
      <c r="N38" s="357">
        <f t="shared" si="7"/>
        <v>0</v>
      </c>
      <c r="O38" s="357">
        <f t="shared" si="4"/>
        <v>0</v>
      </c>
      <c r="P38" s="350">
        <f t="shared" si="6"/>
        <v>0</v>
      </c>
    </row>
    <row r="39" spans="7:16" x14ac:dyDescent="0.3">
      <c r="G39" s="352">
        <v>2048</v>
      </c>
      <c r="H39" s="353">
        <v>0</v>
      </c>
      <c r="I39" s="354">
        <v>0</v>
      </c>
      <c r="J39" s="354">
        <v>0</v>
      </c>
      <c r="K39" s="354">
        <v>0</v>
      </c>
      <c r="L39" s="354">
        <v>0</v>
      </c>
      <c r="M39" s="356">
        <v>0</v>
      </c>
      <c r="N39" s="357">
        <f t="shared" si="7"/>
        <v>0</v>
      </c>
      <c r="O39" s="357">
        <f t="shared" si="4"/>
        <v>0</v>
      </c>
      <c r="P39" s="350">
        <f t="shared" si="6"/>
        <v>0</v>
      </c>
    </row>
    <row r="40" spans="7:16" x14ac:dyDescent="0.3">
      <c r="G40" s="352">
        <v>2049</v>
      </c>
      <c r="H40" s="353">
        <v>0</v>
      </c>
      <c r="I40" s="354">
        <v>0</v>
      </c>
      <c r="J40" s="354">
        <v>0</v>
      </c>
      <c r="K40" s="354">
        <v>0</v>
      </c>
      <c r="L40" s="354">
        <v>0</v>
      </c>
      <c r="M40" s="356">
        <v>0</v>
      </c>
      <c r="N40" s="357">
        <f t="shared" si="7"/>
        <v>0</v>
      </c>
      <c r="O40" s="357">
        <f t="shared" si="4"/>
        <v>0</v>
      </c>
      <c r="P40" s="350">
        <f t="shared" si="6"/>
        <v>0</v>
      </c>
    </row>
    <row r="41" spans="7:16" x14ac:dyDescent="0.3">
      <c r="G41" s="352">
        <v>2050</v>
      </c>
      <c r="H41" s="353">
        <v>0</v>
      </c>
      <c r="I41" s="354">
        <v>0</v>
      </c>
      <c r="J41" s="354">
        <v>0</v>
      </c>
      <c r="K41" s="354">
        <v>0</v>
      </c>
      <c r="L41" s="354">
        <v>0</v>
      </c>
      <c r="M41" s="356">
        <v>0</v>
      </c>
      <c r="N41" s="357">
        <f t="shared" si="7"/>
        <v>0</v>
      </c>
      <c r="O41" s="357">
        <f t="shared" si="4"/>
        <v>0</v>
      </c>
      <c r="P41" s="350">
        <f t="shared" si="6"/>
        <v>0</v>
      </c>
    </row>
    <row r="42" spans="7:16" x14ac:dyDescent="0.3">
      <c r="G42" s="352">
        <v>2051</v>
      </c>
      <c r="H42" s="353">
        <v>0</v>
      </c>
      <c r="I42" s="354">
        <v>0</v>
      </c>
      <c r="J42" s="354">
        <v>0</v>
      </c>
      <c r="K42" s="354">
        <v>0</v>
      </c>
      <c r="L42" s="354">
        <v>0</v>
      </c>
      <c r="M42" s="356">
        <v>0</v>
      </c>
      <c r="N42" s="357">
        <f t="shared" si="7"/>
        <v>0</v>
      </c>
      <c r="O42" s="357">
        <f t="shared" si="4"/>
        <v>0</v>
      </c>
      <c r="P42" s="350">
        <f t="shared" si="6"/>
        <v>0</v>
      </c>
    </row>
    <row r="43" spans="7:16" x14ac:dyDescent="0.3">
      <c r="G43" s="352">
        <v>2052</v>
      </c>
      <c r="H43" s="353">
        <v>0</v>
      </c>
      <c r="I43" s="354">
        <v>0</v>
      </c>
      <c r="J43" s="354">
        <v>0</v>
      </c>
      <c r="K43" s="354">
        <v>0</v>
      </c>
      <c r="L43" s="354">
        <v>0</v>
      </c>
      <c r="M43" s="356">
        <v>0</v>
      </c>
      <c r="N43" s="357">
        <f t="shared" si="7"/>
        <v>0</v>
      </c>
      <c r="O43" s="357">
        <f t="shared" si="4"/>
        <v>0</v>
      </c>
      <c r="P43" s="350">
        <f t="shared" si="6"/>
        <v>0</v>
      </c>
    </row>
    <row r="44" spans="7:16" x14ac:dyDescent="0.3">
      <c r="G44" s="352">
        <v>2053</v>
      </c>
      <c r="H44" s="353">
        <v>0</v>
      </c>
      <c r="I44" s="354">
        <v>0</v>
      </c>
      <c r="J44" s="354">
        <v>0</v>
      </c>
      <c r="K44" s="354">
        <v>0</v>
      </c>
      <c r="L44" s="354">
        <v>0</v>
      </c>
      <c r="M44" s="356">
        <v>0</v>
      </c>
      <c r="N44" s="357">
        <f t="shared" si="7"/>
        <v>0</v>
      </c>
      <c r="O44" s="357">
        <f t="shared" si="4"/>
        <v>0</v>
      </c>
      <c r="P44" s="350">
        <f t="shared" si="6"/>
        <v>0</v>
      </c>
    </row>
    <row r="45" spans="7:16" x14ac:dyDescent="0.3">
      <c r="G45" s="352">
        <v>2054</v>
      </c>
      <c r="H45" s="353">
        <v>0</v>
      </c>
      <c r="I45" s="354">
        <v>0</v>
      </c>
      <c r="J45" s="354">
        <v>0</v>
      </c>
      <c r="K45" s="354">
        <v>0</v>
      </c>
      <c r="L45" s="354">
        <v>0</v>
      </c>
      <c r="M45" s="356">
        <v>0</v>
      </c>
      <c r="N45" s="357">
        <f t="shared" si="7"/>
        <v>0</v>
      </c>
      <c r="O45" s="357">
        <f t="shared" si="4"/>
        <v>0</v>
      </c>
      <c r="P45" s="350">
        <f t="shared" si="6"/>
        <v>0</v>
      </c>
    </row>
    <row r="46" spans="7:16" x14ac:dyDescent="0.3">
      <c r="G46" s="352">
        <v>2055</v>
      </c>
      <c r="H46" s="353">
        <v>0</v>
      </c>
      <c r="I46" s="354">
        <v>0</v>
      </c>
      <c r="J46" s="354">
        <v>0</v>
      </c>
      <c r="K46" s="354">
        <v>0</v>
      </c>
      <c r="L46" s="354">
        <v>0</v>
      </c>
      <c r="M46" s="356">
        <v>0</v>
      </c>
      <c r="N46" s="357">
        <f t="shared" ref="N46:N47" si="8">SUM(H46:M46)</f>
        <v>0</v>
      </c>
      <c r="O46" s="357">
        <f t="shared" ref="O46:O47" si="9">N46</f>
        <v>0</v>
      </c>
      <c r="P46" s="350">
        <f t="shared" ref="P46:P47" si="10">O46/1.07^(G46-2020)</f>
        <v>0</v>
      </c>
    </row>
    <row r="47" spans="7:16" x14ac:dyDescent="0.3">
      <c r="G47" s="358">
        <v>2056</v>
      </c>
      <c r="H47" s="353">
        <v>0</v>
      </c>
      <c r="I47" s="354">
        <v>0</v>
      </c>
      <c r="J47" s="354">
        <v>0</v>
      </c>
      <c r="K47" s="354">
        <v>0</v>
      </c>
      <c r="L47" s="354">
        <v>0</v>
      </c>
      <c r="M47" s="356">
        <v>0</v>
      </c>
      <c r="N47" s="357">
        <f t="shared" si="8"/>
        <v>0</v>
      </c>
      <c r="O47" s="357">
        <f t="shared" si="9"/>
        <v>0</v>
      </c>
      <c r="P47" s="350">
        <f t="shared" si="10"/>
        <v>0</v>
      </c>
    </row>
    <row r="48" spans="7:16" x14ac:dyDescent="0.3">
      <c r="G48" s="625" t="s">
        <v>119</v>
      </c>
      <c r="H48" s="510"/>
      <c r="I48" s="510"/>
      <c r="J48" s="510"/>
      <c r="K48" s="510"/>
      <c r="L48" s="510"/>
      <c r="M48" s="510"/>
      <c r="N48" s="510"/>
      <c r="O48" s="510"/>
      <c r="P48" s="351">
        <f>SUM(P10:P47)</f>
        <v>28680328.72637767</v>
      </c>
    </row>
    <row r="49" spans="7:16" x14ac:dyDescent="0.3">
      <c r="G49" s="712" t="s">
        <v>325</v>
      </c>
      <c r="H49" s="713"/>
      <c r="I49" s="713"/>
      <c r="J49" s="713"/>
      <c r="K49" s="713"/>
      <c r="L49" s="713"/>
      <c r="M49" s="713"/>
      <c r="N49" s="713"/>
      <c r="O49" s="713"/>
      <c r="P49" s="714"/>
    </row>
    <row r="50" spans="7:16" ht="18" x14ac:dyDescent="0.3">
      <c r="G50" s="706" t="s">
        <v>326</v>
      </c>
      <c r="H50" s="707"/>
      <c r="I50" s="707"/>
      <c r="J50" s="707"/>
      <c r="K50" s="707"/>
      <c r="L50" s="707"/>
      <c r="M50" s="707"/>
      <c r="N50" s="707"/>
      <c r="O50" s="707"/>
      <c r="P50" s="708"/>
    </row>
    <row r="51" spans="7:16" ht="18" x14ac:dyDescent="0.3">
      <c r="G51" s="717" t="s">
        <v>327</v>
      </c>
      <c r="H51" s="718"/>
      <c r="I51" s="718"/>
      <c r="J51" s="718"/>
      <c r="K51" s="718"/>
      <c r="L51" s="718"/>
      <c r="M51" s="718"/>
      <c r="N51" s="718"/>
      <c r="O51" s="718"/>
      <c r="P51" s="719"/>
    </row>
    <row r="52" spans="7:16" ht="18.75" thickBot="1" x14ac:dyDescent="0.35">
      <c r="G52" s="709" t="s">
        <v>328</v>
      </c>
      <c r="H52" s="710"/>
      <c r="I52" s="710"/>
      <c r="J52" s="710"/>
      <c r="K52" s="710"/>
      <c r="L52" s="710"/>
      <c r="M52" s="710"/>
      <c r="N52" s="710"/>
      <c r="O52" s="710"/>
      <c r="P52" s="711"/>
    </row>
  </sheetData>
  <mergeCells count="21">
    <mergeCell ref="B25:C25"/>
    <mergeCell ref="G50:P50"/>
    <mergeCell ref="G48:O48"/>
    <mergeCell ref="G52:P52"/>
    <mergeCell ref="B14:C14"/>
    <mergeCell ref="B20:C20"/>
    <mergeCell ref="B21:C21"/>
    <mergeCell ref="G49:P49"/>
    <mergeCell ref="B17:C17"/>
    <mergeCell ref="B19:D19"/>
    <mergeCell ref="G51:P51"/>
    <mergeCell ref="B16:C16"/>
    <mergeCell ref="B22:C22"/>
    <mergeCell ref="B23:C23"/>
    <mergeCell ref="B24:C24"/>
    <mergeCell ref="B12:C12"/>
    <mergeCell ref="B13:C13"/>
    <mergeCell ref="B15:C15"/>
    <mergeCell ref="G2:P2"/>
    <mergeCell ref="B10:E10"/>
    <mergeCell ref="B11:C1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72C89-C72B-4DFF-AF6B-4AC5549108EE}">
  <sheetPr>
    <tabColor theme="4" tint="0.39997558519241921"/>
  </sheetPr>
  <dimension ref="B1:M46"/>
  <sheetViews>
    <sheetView zoomScale="85" zoomScaleNormal="85" workbookViewId="0">
      <pane ySplit="3" topLeftCell="A4" activePane="bottomLeft" state="frozen"/>
      <selection pane="bottomLeft" activeCell="M46" sqref="B2:M46"/>
    </sheetView>
  </sheetViews>
  <sheetFormatPr defaultColWidth="9.140625" defaultRowHeight="16.5" x14ac:dyDescent="0.3"/>
  <cols>
    <col min="1" max="2" width="9.140625" style="1"/>
    <col min="3" max="12" width="19.140625" style="1" customWidth="1"/>
    <col min="13" max="13" width="17.7109375" style="1" customWidth="1"/>
    <col min="14" max="16384" width="9.140625" style="1"/>
  </cols>
  <sheetData>
    <row r="1" spans="2:13" ht="17.25" thickBot="1" x14ac:dyDescent="0.35"/>
    <row r="2" spans="2:13" ht="17.25" customHeight="1" thickBot="1" x14ac:dyDescent="0.35">
      <c r="B2" s="434" t="s">
        <v>329</v>
      </c>
      <c r="C2" s="435"/>
      <c r="D2" s="435"/>
      <c r="E2" s="435"/>
      <c r="F2" s="435"/>
      <c r="G2" s="435"/>
      <c r="H2" s="435"/>
      <c r="I2" s="435"/>
      <c r="J2" s="435"/>
      <c r="K2" s="435"/>
      <c r="L2" s="435"/>
      <c r="M2" s="436"/>
    </row>
    <row r="3" spans="2:13" ht="33.75" thickBot="1" x14ac:dyDescent="0.35">
      <c r="B3" s="9" t="s">
        <v>88</v>
      </c>
      <c r="C3" s="45" t="s">
        <v>330</v>
      </c>
      <c r="D3" s="45" t="s">
        <v>331</v>
      </c>
      <c r="E3" s="45" t="s">
        <v>332</v>
      </c>
      <c r="F3" s="45" t="s">
        <v>333</v>
      </c>
      <c r="G3" s="45" t="s">
        <v>202</v>
      </c>
      <c r="H3" s="97" t="s">
        <v>334</v>
      </c>
      <c r="I3" s="45" t="s">
        <v>221</v>
      </c>
      <c r="J3" s="97" t="s">
        <v>335</v>
      </c>
      <c r="K3" s="45" t="s">
        <v>336</v>
      </c>
      <c r="L3" s="19" t="s">
        <v>283</v>
      </c>
      <c r="M3" s="48" t="s">
        <v>309</v>
      </c>
    </row>
    <row r="4" spans="2:13" x14ac:dyDescent="0.3">
      <c r="B4" s="8">
        <v>2019</v>
      </c>
      <c r="C4" s="50">
        <v>0</v>
      </c>
      <c r="D4" s="50">
        <v>0</v>
      </c>
      <c r="E4" s="50">
        <v>0</v>
      </c>
      <c r="F4" s="50">
        <v>0</v>
      </c>
      <c r="G4" s="50">
        <v>0</v>
      </c>
      <c r="H4" s="50">
        <v>0</v>
      </c>
      <c r="I4" s="50">
        <v>0</v>
      </c>
      <c r="J4" s="50">
        <v>0</v>
      </c>
      <c r="K4" s="50">
        <v>0</v>
      </c>
      <c r="L4" s="98">
        <v>0</v>
      </c>
      <c r="M4" s="64">
        <f>'Capital Costs'!P10</f>
        <v>101000</v>
      </c>
    </row>
    <row r="5" spans="2:13" x14ac:dyDescent="0.3">
      <c r="B5" s="8">
        <v>2020</v>
      </c>
      <c r="C5" s="50">
        <v>0</v>
      </c>
      <c r="D5" s="50">
        <v>0</v>
      </c>
      <c r="E5" s="50">
        <v>0</v>
      </c>
      <c r="F5" s="50">
        <v>0</v>
      </c>
      <c r="G5" s="50">
        <v>0</v>
      </c>
      <c r="H5" s="50">
        <v>0</v>
      </c>
      <c r="I5" s="50">
        <v>0</v>
      </c>
      <c r="J5" s="50">
        <v>0</v>
      </c>
      <c r="K5" s="50">
        <v>0</v>
      </c>
      <c r="L5" s="98">
        <v>0</v>
      </c>
      <c r="M5" s="64">
        <f>'Capital Costs'!P11</f>
        <v>0</v>
      </c>
    </row>
    <row r="6" spans="2:13" x14ac:dyDescent="0.3">
      <c r="B6" s="8">
        <v>2021</v>
      </c>
      <c r="C6" s="50">
        <v>0</v>
      </c>
      <c r="D6" s="50">
        <v>0</v>
      </c>
      <c r="E6" s="50">
        <v>0</v>
      </c>
      <c r="F6" s="50">
        <v>0</v>
      </c>
      <c r="G6" s="50">
        <v>0</v>
      </c>
      <c r="H6" s="50">
        <v>0</v>
      </c>
      <c r="I6" s="50">
        <v>0</v>
      </c>
      <c r="J6" s="50">
        <v>0</v>
      </c>
      <c r="K6" s="50">
        <v>0</v>
      </c>
      <c r="L6" s="98">
        <v>0</v>
      </c>
      <c r="M6" s="64">
        <f>'Capital Costs'!P12</f>
        <v>327102.80373831774</v>
      </c>
    </row>
    <row r="7" spans="2:13" x14ac:dyDescent="0.3">
      <c r="B7" s="8">
        <v>2022</v>
      </c>
      <c r="C7" s="50">
        <v>0</v>
      </c>
      <c r="D7" s="50">
        <v>0</v>
      </c>
      <c r="E7" s="50">
        <v>0</v>
      </c>
      <c r="F7" s="50">
        <v>0</v>
      </c>
      <c r="G7" s="50">
        <v>0</v>
      </c>
      <c r="H7" s="50">
        <v>0</v>
      </c>
      <c r="I7" s="50">
        <v>0</v>
      </c>
      <c r="J7" s="50">
        <v>0</v>
      </c>
      <c r="K7" s="50">
        <v>0</v>
      </c>
      <c r="L7" s="98">
        <v>0</v>
      </c>
      <c r="M7" s="64">
        <f>'Capital Costs'!P13</f>
        <v>821032.40457681892</v>
      </c>
    </row>
    <row r="8" spans="2:13" x14ac:dyDescent="0.3">
      <c r="B8" s="8">
        <v>2023</v>
      </c>
      <c r="C8" s="50">
        <v>0</v>
      </c>
      <c r="D8" s="50">
        <v>0</v>
      </c>
      <c r="E8" s="50">
        <v>0</v>
      </c>
      <c r="F8" s="50">
        <v>0</v>
      </c>
      <c r="G8" s="50">
        <v>0</v>
      </c>
      <c r="H8" s="50">
        <v>0</v>
      </c>
      <c r="I8" s="50">
        <v>0</v>
      </c>
      <c r="J8" s="50">
        <v>0</v>
      </c>
      <c r="K8" s="50">
        <v>0</v>
      </c>
      <c r="L8" s="98">
        <v>0</v>
      </c>
      <c r="M8" s="64">
        <f>'Capital Costs'!P14</f>
        <v>2367263.8429834708</v>
      </c>
    </row>
    <row r="9" spans="2:13" x14ac:dyDescent="0.3">
      <c r="B9" s="8">
        <v>2024</v>
      </c>
      <c r="C9" s="50">
        <v>0</v>
      </c>
      <c r="D9" s="50">
        <v>0</v>
      </c>
      <c r="E9" s="50">
        <v>0</v>
      </c>
      <c r="F9" s="50">
        <v>0</v>
      </c>
      <c r="G9" s="50">
        <v>0</v>
      </c>
      <c r="H9" s="50">
        <v>0</v>
      </c>
      <c r="I9" s="50">
        <v>0</v>
      </c>
      <c r="J9" s="50">
        <v>0</v>
      </c>
      <c r="K9" s="50">
        <v>0</v>
      </c>
      <c r="L9" s="98">
        <v>0</v>
      </c>
      <c r="M9" s="64">
        <f>'Capital Costs'!P15</f>
        <v>0</v>
      </c>
    </row>
    <row r="10" spans="2:13" x14ac:dyDescent="0.3">
      <c r="B10" s="8">
        <v>2025</v>
      </c>
      <c r="C10" s="50">
        <f>'Travel Time Savings'!S10</f>
        <v>0</v>
      </c>
      <c r="D10" s="50">
        <f>'Vehicle Operating Cost Savings'!I10</f>
        <v>0</v>
      </c>
      <c r="E10" s="50">
        <f>'Emissions Savings'!W10</f>
        <v>0</v>
      </c>
      <c r="F10" s="50">
        <f>'Safety Benefits'!M10</f>
        <v>0</v>
      </c>
      <c r="G10" s="50">
        <f>'Ped Impvt Benefits'!E10</f>
        <v>0</v>
      </c>
      <c r="H10" s="50">
        <f>'Cycling Impvt Benefits'!E10</f>
        <v>0</v>
      </c>
      <c r="I10" s="50">
        <f>'Health Benefits'!F10</f>
        <v>0</v>
      </c>
      <c r="J10" s="50">
        <f>'Emergency Services Benefits'!H10</f>
        <v>0</v>
      </c>
      <c r="K10" s="50">
        <f>'O&amp;M'!L10</f>
        <v>0</v>
      </c>
      <c r="L10" s="98">
        <f>'Residual Value'!T10</f>
        <v>0</v>
      </c>
      <c r="M10" s="64">
        <f>'Capital Costs'!P16</f>
        <v>5033682.4271546984</v>
      </c>
    </row>
    <row r="11" spans="2:13" x14ac:dyDescent="0.3">
      <c r="B11" s="8">
        <v>2026</v>
      </c>
      <c r="C11" s="50">
        <f>'Travel Time Savings'!S11</f>
        <v>0</v>
      </c>
      <c r="D11" s="50">
        <f>'Vehicle Operating Cost Savings'!I11</f>
        <v>0</v>
      </c>
      <c r="E11" s="50">
        <f>'Emissions Savings'!W11</f>
        <v>0</v>
      </c>
      <c r="F11" s="50">
        <f>'Safety Benefits'!M11</f>
        <v>0</v>
      </c>
      <c r="G11" s="50">
        <f>'Ped Impvt Benefits'!E11</f>
        <v>0</v>
      </c>
      <c r="H11" s="50">
        <f>'Cycling Impvt Benefits'!E11</f>
        <v>0</v>
      </c>
      <c r="I11" s="50">
        <f>'Health Benefits'!F11</f>
        <v>0</v>
      </c>
      <c r="J11" s="50">
        <f>'Emergency Services Benefits'!H11</f>
        <v>0</v>
      </c>
      <c r="K11" s="50">
        <f>'O&amp;M'!L11</f>
        <v>0</v>
      </c>
      <c r="L11" s="98">
        <f>'Residual Value'!T11</f>
        <v>0</v>
      </c>
      <c r="M11" s="64">
        <f>'Capital Costs'!P17</f>
        <v>20030247.247924365</v>
      </c>
    </row>
    <row r="12" spans="2:13" x14ac:dyDescent="0.3">
      <c r="B12" s="8">
        <v>2027</v>
      </c>
      <c r="C12" s="50">
        <f>'Travel Time Savings'!S12</f>
        <v>279697.88496928365</v>
      </c>
      <c r="D12" s="50">
        <f>'Vehicle Operating Cost Savings'!I12</f>
        <v>-11212.920244939045</v>
      </c>
      <c r="E12" s="50">
        <f>'Emissions Savings'!W12</f>
        <v>-1110.0040268286157</v>
      </c>
      <c r="F12" s="50">
        <f>'Safety Benefits'!M12</f>
        <v>77322.600751564838</v>
      </c>
      <c r="G12" s="50">
        <f>'Ped Impvt Benefits'!E12</f>
        <v>130.24178137778466</v>
      </c>
      <c r="H12" s="50">
        <f>'Cycling Impvt Benefits'!E12</f>
        <v>36.98866591129083</v>
      </c>
      <c r="I12" s="50">
        <f>'Health Benefits'!F12</f>
        <v>724.01145784347716</v>
      </c>
      <c r="J12" s="50">
        <f>'Emergency Services Benefits'!H12</f>
        <v>730301.56247438118</v>
      </c>
      <c r="K12" s="50">
        <f>'O&amp;M'!L12</f>
        <v>51128.999308208695</v>
      </c>
      <c r="L12" s="98">
        <f>'Residual Value'!T12</f>
        <v>0</v>
      </c>
      <c r="M12" s="64">
        <f>'Capital Costs'!P18</f>
        <v>0</v>
      </c>
    </row>
    <row r="13" spans="2:13" x14ac:dyDescent="0.3">
      <c r="B13" s="8">
        <v>2028</v>
      </c>
      <c r="C13" s="50">
        <f>'Travel Time Savings'!S13</f>
        <v>263320.35412148648</v>
      </c>
      <c r="D13" s="50">
        <f>'Vehicle Operating Cost Savings'!I13</f>
        <v>-10532.024839091764</v>
      </c>
      <c r="E13" s="50">
        <f>'Emissions Savings'!W13</f>
        <v>-1213.5892000427909</v>
      </c>
      <c r="F13" s="50">
        <f>'Safety Benefits'!M13</f>
        <v>72264.112851929618</v>
      </c>
      <c r="G13" s="50">
        <f>'Ped Impvt Benefits'!E13</f>
        <v>123.85675225301706</v>
      </c>
      <c r="H13" s="50">
        <f>'Cycling Impvt Benefits'!E13</f>
        <v>35.175317639856829</v>
      </c>
      <c r="I13" s="50">
        <f>'Health Benefits'!F13</f>
        <v>688.51720863947673</v>
      </c>
      <c r="J13" s="50">
        <f>'Emergency Services Benefits'!H13</f>
        <v>682524.82474241231</v>
      </c>
      <c r="K13" s="50">
        <f>'O&amp;M'!L13</f>
        <v>-1581.9007462077743</v>
      </c>
      <c r="L13" s="98">
        <f>'Residual Value'!T13</f>
        <v>0</v>
      </c>
      <c r="M13" s="64">
        <f>'Capital Costs'!P19</f>
        <v>0</v>
      </c>
    </row>
    <row r="14" spans="2:13" x14ac:dyDescent="0.3">
      <c r="B14" s="8">
        <v>2029</v>
      </c>
      <c r="C14" s="50">
        <f>'Travel Time Savings'!S14</f>
        <v>247894.5105092283</v>
      </c>
      <c r="D14" s="50">
        <f>'Vehicle Operating Cost Savings'!I14</f>
        <v>-9892.476249557847</v>
      </c>
      <c r="E14" s="50">
        <f>'Emissions Savings'!W14</f>
        <v>-1188.3740520681185</v>
      </c>
      <c r="F14" s="50">
        <f>'Safety Benefits'!M14</f>
        <v>67536.554067224031</v>
      </c>
      <c r="G14" s="50">
        <f>'Ped Impvt Benefits'!E14</f>
        <v>117.74973224183056</v>
      </c>
      <c r="H14" s="50">
        <f>'Cycling Impvt Benefits'!E14</f>
        <v>33.440923956679868</v>
      </c>
      <c r="I14" s="50">
        <f>'Health Benefits'!F14</f>
        <v>654.56840653769132</v>
      </c>
      <c r="J14" s="50">
        <f>'Emergency Services Benefits'!H14</f>
        <v>637873.66798356292</v>
      </c>
      <c r="K14" s="50">
        <f>'O&amp;M'!L14</f>
        <v>-1478.411912343714</v>
      </c>
      <c r="L14" s="98">
        <f>'Residual Value'!T14</f>
        <v>0</v>
      </c>
      <c r="M14" s="64">
        <f>'Capital Costs'!P20</f>
        <v>0</v>
      </c>
    </row>
    <row r="15" spans="2:13" x14ac:dyDescent="0.3">
      <c r="B15" s="8">
        <v>2030</v>
      </c>
      <c r="C15" s="50">
        <f>'Travel Time Savings'!S15</f>
        <v>233365.56954830908</v>
      </c>
      <c r="D15" s="50">
        <f>'Vehicle Operating Cost Savings'!I15</f>
        <v>-9291.7637247525945</v>
      </c>
      <c r="E15" s="50">
        <f>'Emissions Savings'!W15</f>
        <v>-1164.5401284636057</v>
      </c>
      <c r="F15" s="50">
        <f>'Safety Benefits'!M15</f>
        <v>63118.274829181377</v>
      </c>
      <c r="G15" s="50">
        <f>'Ped Impvt Benefits'!E15</f>
        <v>111.9116732854401</v>
      </c>
      <c r="H15" s="50">
        <f>'Cycling Impvt Benefits'!E15</f>
        <v>31.782915213064975</v>
      </c>
      <c r="I15" s="50">
        <f>'Health Benefits'!F15</f>
        <v>622.11475356029575</v>
      </c>
      <c r="J15" s="50">
        <f>'Emergency Services Benefits'!H15</f>
        <v>596143.6149379093</v>
      </c>
      <c r="K15" s="50">
        <f>'O&amp;M'!L15</f>
        <v>-1381.6933760221627</v>
      </c>
      <c r="L15" s="98">
        <f>'Residual Value'!T15</f>
        <v>0</v>
      </c>
      <c r="M15" s="64">
        <f>'Capital Costs'!P21</f>
        <v>0</v>
      </c>
    </row>
    <row r="16" spans="2:13" x14ac:dyDescent="0.3">
      <c r="B16" s="8">
        <v>2031</v>
      </c>
      <c r="C16" s="50">
        <f>'Travel Time Savings'!S16</f>
        <v>219681.86339975876</v>
      </c>
      <c r="D16" s="50">
        <f>'Vehicle Operating Cost Savings'!I16</f>
        <v>-8727.5289764266108</v>
      </c>
      <c r="E16" s="50">
        <f>'Emissions Savings'!W16</f>
        <v>-1135.8206732773733</v>
      </c>
      <c r="F16" s="50">
        <f>'Safety Benefits'!M16</f>
        <v>58989.041896431241</v>
      </c>
      <c r="G16" s="50">
        <f>'Ped Impvt Benefits'!E16</f>
        <v>106.33352134597889</v>
      </c>
      <c r="H16" s="50">
        <f>'Cycling Impvt Benefits'!E16</f>
        <v>30.198720062257994</v>
      </c>
      <c r="I16" s="50">
        <f>'Health Benefits'!F16</f>
        <v>591.1059184918696</v>
      </c>
      <c r="J16" s="50">
        <f>'Emergency Services Benefits'!H16</f>
        <v>557143.56536253192</v>
      </c>
      <c r="K16" s="50">
        <f>'O&amp;M'!L16</f>
        <v>-1291.3022205814605</v>
      </c>
      <c r="L16" s="98">
        <f>'Residual Value'!T16</f>
        <v>0</v>
      </c>
      <c r="M16" s="64">
        <f>'Capital Costs'!P22</f>
        <v>0</v>
      </c>
    </row>
    <row r="17" spans="2:13" x14ac:dyDescent="0.3">
      <c r="B17" s="8">
        <v>2032</v>
      </c>
      <c r="C17" s="50">
        <f>'Travel Time Savings'!S17</f>
        <v>206794.66632060613</v>
      </c>
      <c r="D17" s="50">
        <f>'Vehicle Operating Cost Savings'!I17</f>
        <v>-8197.556921454574</v>
      </c>
      <c r="E17" s="50">
        <f>'Emissions Savings'!W17</f>
        <v>-1108.2886043100109</v>
      </c>
      <c r="F17" s="50">
        <f>'Safety Benefits'!M17</f>
        <v>55129.945697599323</v>
      </c>
      <c r="G17" s="50">
        <f>'Ped Impvt Benefits'!E17</f>
        <v>101.00625591314069</v>
      </c>
      <c r="H17" s="50">
        <f>'Cycling Impvt Benefits'!E17</f>
        <v>28.685776679331944</v>
      </c>
      <c r="I17" s="50">
        <f>'Health Benefits'!F17</f>
        <v>561.4917564960308</v>
      </c>
      <c r="J17" s="50">
        <f>'Emergency Services Benefits'!H17</f>
        <v>520694.92089956265</v>
      </c>
      <c r="K17" s="50">
        <f>'O&amp;M'!L17</f>
        <v>-1206.8245052163184</v>
      </c>
      <c r="L17" s="98">
        <f>'Residual Value'!T17</f>
        <v>0</v>
      </c>
      <c r="M17" s="64">
        <f>'Capital Costs'!P23</f>
        <v>0</v>
      </c>
    </row>
    <row r="18" spans="2:13" x14ac:dyDescent="0.3">
      <c r="B18" s="8">
        <v>2033</v>
      </c>
      <c r="C18" s="50">
        <f>'Travel Time Savings'!S18</f>
        <v>194658.02960693793</v>
      </c>
      <c r="D18" s="50">
        <f>'Vehicle Operating Cost Savings'!I18</f>
        <v>-7699.766985821233</v>
      </c>
      <c r="E18" s="50">
        <f>'Emissions Savings'!W18</f>
        <v>-1081.874118506357</v>
      </c>
      <c r="F18" s="50">
        <f>'Safety Benefits'!M18</f>
        <v>51523.313736073906</v>
      </c>
      <c r="G18" s="50">
        <f>'Ped Impvt Benefits'!E18</f>
        <v>95.920924367317795</v>
      </c>
      <c r="H18" s="50">
        <f>'Cycling Impvt Benefits'!E18</f>
        <v>27.241542520318241</v>
      </c>
      <c r="I18" s="50">
        <f>'Health Benefits'!F18</f>
        <v>533.22250013943221</v>
      </c>
      <c r="J18" s="50">
        <f>'Emergency Services Benefits'!H18</f>
        <v>486630.76719585294</v>
      </c>
      <c r="K18" s="50">
        <f>'O&amp;M'!L18</f>
        <v>-1127.8733693610448</v>
      </c>
      <c r="L18" s="98">
        <f>'Residual Value'!T18</f>
        <v>0</v>
      </c>
      <c r="M18" s="64">
        <f>'Capital Costs'!P24</f>
        <v>0</v>
      </c>
    </row>
    <row r="19" spans="2:13" x14ac:dyDescent="0.3">
      <c r="B19" s="8">
        <v>2034</v>
      </c>
      <c r="C19" s="50">
        <f>'Travel Time Savings'!S19</f>
        <v>183228.62561678706</v>
      </c>
      <c r="D19" s="50">
        <f>'Vehicle Operating Cost Savings'!I19</f>
        <v>-7232.2049366657884</v>
      </c>
      <c r="E19" s="50">
        <f>'Emissions Savings'!W19</f>
        <v>-1056.5118672408598</v>
      </c>
      <c r="F19" s="50">
        <f>'Safety Benefits'!M19</f>
        <v>48152.629659882281</v>
      </c>
      <c r="G19" s="50">
        <f>'Ped Impvt Benefits'!E19</f>
        <v>91.068671703135124</v>
      </c>
      <c r="H19" s="50">
        <f>'Cycling Impvt Benefits'!E19</f>
        <v>25.863502763690363</v>
      </c>
      <c r="I19" s="50">
        <f>'Health Benefits'!F19</f>
        <v>506.24892462429409</v>
      </c>
      <c r="J19" s="50">
        <f>'Emergency Services Benefits'!H19</f>
        <v>454795.10952883452</v>
      </c>
      <c r="K19" s="50">
        <f>'O&amp;M'!L19</f>
        <v>-1054.0872610850893</v>
      </c>
      <c r="L19" s="98">
        <f>'Residual Value'!T19</f>
        <v>0</v>
      </c>
      <c r="M19" s="64">
        <f>'Capital Costs'!P25</f>
        <v>0</v>
      </c>
    </row>
    <row r="20" spans="2:13" x14ac:dyDescent="0.3">
      <c r="B20" s="8">
        <v>2035</v>
      </c>
      <c r="C20" s="50">
        <f>'Travel Time Savings'!S20</f>
        <v>172465.60038667778</v>
      </c>
      <c r="D20" s="50">
        <f>'Vehicle Operating Cost Savings'!I20</f>
        <v>-6793.0352103186851</v>
      </c>
      <c r="E20" s="50">
        <f>'Emissions Savings'!W20</f>
        <v>-1032.1406740135592</v>
      </c>
      <c r="F20" s="50">
        <f>'Safety Benefits'!M20</f>
        <v>45002.457626058254</v>
      </c>
      <c r="G20" s="50">
        <f>'Ped Impvt Benefits'!E20</f>
        <v>86.440766073361317</v>
      </c>
      <c r="H20" s="50">
        <f>'Cycling Impvt Benefits'!E20</f>
        <v>24.549177564834601</v>
      </c>
      <c r="I20" s="50">
        <f>'Health Benefits'!F20</f>
        <v>480.52248978649408</v>
      </c>
      <c r="J20" s="50">
        <f>'Emergency Services Benefits'!H20</f>
        <v>425042.15843816305</v>
      </c>
      <c r="K20" s="50">
        <f>'O&amp;M'!L20</f>
        <v>-985.12828138793338</v>
      </c>
      <c r="L20" s="98">
        <f>'Residual Value'!T20</f>
        <v>0</v>
      </c>
      <c r="M20" s="64">
        <f>'Capital Costs'!P26</f>
        <v>0</v>
      </c>
    </row>
    <row r="21" spans="2:13" x14ac:dyDescent="0.3">
      <c r="B21" s="8">
        <v>2036</v>
      </c>
      <c r="C21" s="50">
        <f>'Travel Time Savings'!S21</f>
        <v>162330.43438068827</v>
      </c>
      <c r="D21" s="50">
        <f>'Vehicle Operating Cost Savings'!I21</f>
        <v>-6380.5337062120752</v>
      </c>
      <c r="E21" s="50">
        <f>'Emissions Savings'!W21</f>
        <v>-1019.8993198813887</v>
      </c>
      <c r="F21" s="50">
        <f>'Safety Benefits'!M21</f>
        <v>42058.371613138472</v>
      </c>
      <c r="G21" s="50">
        <f>'Ped Impvt Benefits'!E21</f>
        <v>82.028620572851864</v>
      </c>
      <c r="H21" s="50">
        <f>'Cycling Impvt Benefits'!E21</f>
        <v>23.296128242689914</v>
      </c>
      <c r="I21" s="50">
        <f>'Health Benefits'!F21</f>
        <v>455.99546119207201</v>
      </c>
      <c r="J21" s="50">
        <f>'Emergency Services Benefits'!H21</f>
        <v>397235.66209174122</v>
      </c>
      <c r="K21" s="50">
        <f>'O&amp;M'!L21</f>
        <v>-920.68063681115291</v>
      </c>
      <c r="L21" s="98">
        <f>'Residual Value'!T21</f>
        <v>0</v>
      </c>
      <c r="M21" s="64">
        <f>'Capital Costs'!P27</f>
        <v>0</v>
      </c>
    </row>
    <row r="22" spans="2:13" x14ac:dyDescent="0.3">
      <c r="B22" s="8">
        <v>2037</v>
      </c>
      <c r="C22" s="50">
        <f>'Travel Time Savings'!S22</f>
        <v>152786.81093470586</v>
      </c>
      <c r="D22" s="50">
        <f>'Vehicle Operating Cost Savings'!I22</f>
        <v>-5993.0810183741842</v>
      </c>
      <c r="E22" s="50">
        <f>'Emissions Savings'!W22</f>
        <v>-997.07061898675283</v>
      </c>
      <c r="F22" s="50">
        <f>'Safety Benefits'!M22</f>
        <v>39306.889358073357</v>
      </c>
      <c r="G22" s="50">
        <f>'Ped Impvt Benefits'!E22</f>
        <v>77.823811645158244</v>
      </c>
      <c r="H22" s="50">
        <f>'Cycling Impvt Benefits'!E22</f>
        <v>22.101962507224929</v>
      </c>
      <c r="I22" s="50">
        <f>'Health Benefits'!F22</f>
        <v>432.62101245920167</v>
      </c>
      <c r="J22" s="50">
        <f>'Emergency Services Benefits'!H22</f>
        <v>371248.2823287301</v>
      </c>
      <c r="K22" s="50">
        <f>'O&amp;M'!L22</f>
        <v>25991.390605884371</v>
      </c>
      <c r="L22" s="98">
        <f>'Residual Value'!T22</f>
        <v>0</v>
      </c>
      <c r="M22" s="64">
        <f>'Capital Costs'!P28</f>
        <v>0</v>
      </c>
    </row>
    <row r="23" spans="2:13" x14ac:dyDescent="0.3">
      <c r="B23" s="8">
        <v>2038</v>
      </c>
      <c r="C23" s="50">
        <f>'Travel Time Savings'!S23</f>
        <v>143800.49198121112</v>
      </c>
      <c r="D23" s="50">
        <f>'Vehicle Operating Cost Savings'!I23</f>
        <v>-5629.156077935645</v>
      </c>
      <c r="E23" s="50">
        <f>'Emissions Savings'!W23</f>
        <v>-975.07849633721048</v>
      </c>
      <c r="F23" s="50">
        <f>'Safety Benefits'!M23</f>
        <v>36735.410615021829</v>
      </c>
      <c r="G23" s="50">
        <f>'Ped Impvt Benefits'!E23</f>
        <v>73.818094460465332</v>
      </c>
      <c r="H23" s="50">
        <f>'Cycling Impvt Benefits'!E23</f>
        <v>20.964338826772142</v>
      </c>
      <c r="I23" s="50">
        <f>'Health Benefits'!F23</f>
        <v>410.35331074383754</v>
      </c>
      <c r="J23" s="50">
        <f>'Emergency Services Benefits'!H23</f>
        <v>346961.01152217767</v>
      </c>
      <c r="K23" s="50">
        <f>'O&amp;M'!L23</f>
        <v>-804.15812456210415</v>
      </c>
      <c r="L23" s="98">
        <f>'Residual Value'!T23</f>
        <v>0</v>
      </c>
      <c r="M23" s="64">
        <f>'Capital Costs'!P29</f>
        <v>0</v>
      </c>
    </row>
    <row r="24" spans="2:13" x14ac:dyDescent="0.3">
      <c r="B24" s="8">
        <v>2039</v>
      </c>
      <c r="C24" s="50">
        <f>'Travel Time Savings'!S24</f>
        <v>135339.20066147516</v>
      </c>
      <c r="D24" s="50">
        <f>'Vehicle Operating Cost Savings'!I24</f>
        <v>-5287.3301816894236</v>
      </c>
      <c r="E24" s="50">
        <f>'Emissions Savings'!W24</f>
        <v>-953.87581720998901</v>
      </c>
      <c r="F24" s="50">
        <f>'Safety Benefits'!M24</f>
        <v>34332.15945329133</v>
      </c>
      <c r="G24" s="50">
        <f>'Ped Impvt Benefits'!E24</f>
        <v>70.003415582354421</v>
      </c>
      <c r="H24" s="50">
        <f>'Cycling Impvt Benefits'!E24</f>
        <v>19.880970025388645</v>
      </c>
      <c r="I24" s="50">
        <f>'Health Benefits'!F24</f>
        <v>389.14758715399654</v>
      </c>
      <c r="J24" s="50">
        <f>'Emergency Services Benefits'!H24</f>
        <v>324262.62759082025</v>
      </c>
      <c r="K24" s="50">
        <f>'O&amp;M'!L24</f>
        <v>-751.54964912346168</v>
      </c>
      <c r="L24" s="98">
        <f>'Residual Value'!T24</f>
        <v>0</v>
      </c>
      <c r="M24" s="64">
        <f>'Capital Costs'!P30</f>
        <v>0</v>
      </c>
    </row>
    <row r="25" spans="2:13" x14ac:dyDescent="0.3">
      <c r="B25" s="8">
        <v>2040</v>
      </c>
      <c r="C25" s="50">
        <f>'Travel Time Savings'!S25</f>
        <v>127372.51045255146</v>
      </c>
      <c r="D25" s="50">
        <f>'Vehicle Operating Cost Savings'!I25</f>
        <v>-4966.2613832615634</v>
      </c>
      <c r="E25" s="50">
        <f>'Emissions Savings'!W25</f>
        <v>-933.41845450270444</v>
      </c>
      <c r="F25" s="50">
        <f>'Safety Benefits'!M25</f>
        <v>32086.130330178887</v>
      </c>
      <c r="G25" s="50">
        <f>'Ped Impvt Benefits'!E25</f>
        <v>66.371923212309497</v>
      </c>
      <c r="H25" s="50">
        <f>'Cycling Impvt Benefits'!E25</f>
        <v>18.849626192295883</v>
      </c>
      <c r="I25" s="50">
        <f>'Health Benefits'!F25</f>
        <v>368.96019369876421</v>
      </c>
      <c r="J25" s="50">
        <f>'Emergency Services Benefits'!H25</f>
        <v>303049.18466431799</v>
      </c>
      <c r="K25" s="50">
        <f>'O&amp;M'!L25</f>
        <v>-702.38284964809509</v>
      </c>
      <c r="L25" s="98">
        <f>'Residual Value'!T25</f>
        <v>0</v>
      </c>
      <c r="M25" s="64">
        <f>'Capital Costs'!P31</f>
        <v>0</v>
      </c>
    </row>
    <row r="26" spans="2:13" x14ac:dyDescent="0.3">
      <c r="B26" s="8">
        <v>2041</v>
      </c>
      <c r="C26" s="50">
        <f>'Travel Time Savings'!S26</f>
        <v>119871.74045591752</v>
      </c>
      <c r="D26" s="50">
        <f>'Vehicle Operating Cost Savings'!I26</f>
        <v>-4664.6892248734921</v>
      </c>
      <c r="E26" s="50">
        <f>'Emissions Savings'!W26</f>
        <v>-913.66509689150485</v>
      </c>
      <c r="F26" s="50">
        <f>'Safety Benefits'!M26</f>
        <v>29987.037691756035</v>
      </c>
      <c r="G26" s="50">
        <f>'Ped Impvt Benefits'!E26</f>
        <v>62.915975274685898</v>
      </c>
      <c r="H26" s="50">
        <f>'Cycling Impvt Benefits'!E26</f>
        <v>17.868136978010781</v>
      </c>
      <c r="I26" s="50">
        <f>'Health Benefits'!F26</f>
        <v>349.74864823247339</v>
      </c>
      <c r="J26" s="50">
        <f>'Emergency Services Benefits'!H26</f>
        <v>283223.53706945607</v>
      </c>
      <c r="K26" s="50">
        <f>'O&amp;M'!L26</f>
        <v>-27705.898284861109</v>
      </c>
      <c r="L26" s="98">
        <f>'Residual Value'!T26</f>
        <v>0</v>
      </c>
      <c r="M26" s="64">
        <f>'Capital Costs'!P32</f>
        <v>0</v>
      </c>
    </row>
    <row r="27" spans="2:13" x14ac:dyDescent="0.3">
      <c r="B27" s="8">
        <v>2042</v>
      </c>
      <c r="C27" s="50">
        <f>'Travel Time Savings'!S27</f>
        <v>112809.85651314148</v>
      </c>
      <c r="D27" s="50">
        <f>'Vehicle Operating Cost Savings'!I27</f>
        <v>-4381.4297890137523</v>
      </c>
      <c r="E27" s="50">
        <f>'Emissions Savings'!W27</f>
        <v>-894.57706899963591</v>
      </c>
      <c r="F27" s="50">
        <f>'Safety Benefits'!M27</f>
        <v>28025.268870799919</v>
      </c>
      <c r="G27" s="50">
        <f>'Ped Impvt Benefits'!E27</f>
        <v>59.628145580852774</v>
      </c>
      <c r="H27" s="50">
        <f>'Cycling Impvt Benefits'!E27</f>
        <v>16.934393344962174</v>
      </c>
      <c r="I27" s="50">
        <f>'Health Benefits'!F27</f>
        <v>331.4716687210489</v>
      </c>
      <c r="J27" s="50">
        <f>'Emergency Services Benefits'!H27</f>
        <v>264694.89445743558</v>
      </c>
      <c r="K27" s="50">
        <f>'O&amp;M'!L27</f>
        <v>142973.94164590313</v>
      </c>
      <c r="L27" s="98">
        <f>'Residual Value'!T27</f>
        <v>0</v>
      </c>
      <c r="M27" s="64">
        <f>'Capital Costs'!P33</f>
        <v>0</v>
      </c>
    </row>
    <row r="28" spans="2:13" x14ac:dyDescent="0.3">
      <c r="B28" s="8">
        <v>2043</v>
      </c>
      <c r="C28" s="50">
        <f>'Travel Time Savings'!S28</f>
        <v>106161.37783153562</v>
      </c>
      <c r="D28" s="50">
        <f>'Vehicle Operating Cost Savings'!I28</f>
        <v>-4115.3710505929203</v>
      </c>
      <c r="E28" s="50">
        <f>'Emissions Savings'!W28</f>
        <v>-885.54666481979439</v>
      </c>
      <c r="F28" s="50">
        <f>'Safety Benefits'!M28</f>
        <v>26191.840066168224</v>
      </c>
      <c r="G28" s="50">
        <f>'Ped Impvt Benefits'!E28</f>
        <v>56.501228289229644</v>
      </c>
      <c r="H28" s="50">
        <f>'Cycling Impvt Benefits'!E28</f>
        <v>16.046348834141206</v>
      </c>
      <c r="I28" s="50">
        <f>'Health Benefits'!F28</f>
        <v>314.08919803526175</v>
      </c>
      <c r="J28" s="50">
        <f>'Emergency Services Benefits'!H28</f>
        <v>247378.40603498652</v>
      </c>
      <c r="K28" s="50">
        <f>'O&amp;M'!L28</f>
        <v>-573.35362893228671</v>
      </c>
      <c r="L28" s="98">
        <f>'Residual Value'!T28</f>
        <v>0</v>
      </c>
      <c r="M28" s="64">
        <f>'Capital Costs'!P34</f>
        <v>0</v>
      </c>
    </row>
    <row r="29" spans="2:13" x14ac:dyDescent="0.3">
      <c r="B29" s="8">
        <v>2044</v>
      </c>
      <c r="C29" s="50">
        <f>'Travel Time Savings'!S29</f>
        <v>99902.288819471738</v>
      </c>
      <c r="D29" s="50">
        <f>'Vehicle Operating Cost Savings'!I29</f>
        <v>-3865.4685113351056</v>
      </c>
      <c r="E29" s="50">
        <f>'Emissions Savings'!W29</f>
        <v>-867.45436464713885</v>
      </c>
      <c r="F29" s="50">
        <f>'Safety Benefits'!M29</f>
        <v>24478.355202026316</v>
      </c>
      <c r="G29" s="50">
        <f>'Ped Impvt Benefits'!E29</f>
        <v>53.52824085780302</v>
      </c>
      <c r="H29" s="50">
        <f>'Cycling Impvt Benefits'!E29</f>
        <v>15.202020403616045</v>
      </c>
      <c r="I29" s="50">
        <f>'Health Benefits'!F29</f>
        <v>297.56242036370975</v>
      </c>
      <c r="J29" s="50">
        <f>'Emergency Services Benefits'!H29</f>
        <v>231194.77199531448</v>
      </c>
      <c r="K29" s="50">
        <f>'O&amp;M'!L29</f>
        <v>-535.84451302082834</v>
      </c>
      <c r="L29" s="98">
        <f>'Residual Value'!T29</f>
        <v>0</v>
      </c>
      <c r="M29" s="64">
        <f>'Capital Costs'!P35</f>
        <v>0</v>
      </c>
    </row>
    <row r="30" spans="2:13" x14ac:dyDescent="0.3">
      <c r="B30" s="8">
        <v>2045</v>
      </c>
      <c r="C30" s="50">
        <f>'Travel Time Savings'!S30</f>
        <v>94009.955846904268</v>
      </c>
      <c r="D30" s="50">
        <f>'Vehicle Operating Cost Savings'!I30</f>
        <v>-3630.7410992674636</v>
      </c>
      <c r="E30" s="50">
        <f>'Emissions Savings'!W30</f>
        <v>-849.93109371624496</v>
      </c>
      <c r="F30" s="50">
        <f>'Safety Benefits'!M30</f>
        <v>22876.967478529317</v>
      </c>
      <c r="G30" s="50">
        <f>'Ped Impvt Benefits'!E30</f>
        <v>50.702425667279982</v>
      </c>
      <c r="H30" s="50">
        <f>'Cycling Impvt Benefits'!E30</f>
        <v>14.399488889507513</v>
      </c>
      <c r="I30" s="50">
        <f>'Health Benefits'!F30</f>
        <v>281.85377023589609</v>
      </c>
      <c r="J30" s="50">
        <f>'Emergency Services Benefits'!H30</f>
        <v>216069.88036945279</v>
      </c>
      <c r="K30" s="50">
        <f>'O&amp;M'!L30</f>
        <v>-500.78926450544714</v>
      </c>
      <c r="L30" s="98">
        <f>'Residual Value'!T30</f>
        <v>0</v>
      </c>
      <c r="M30" s="64">
        <f>'Capital Costs'!P36</f>
        <v>0</v>
      </c>
    </row>
    <row r="31" spans="2:13" x14ac:dyDescent="0.3">
      <c r="B31" s="8">
        <v>2046</v>
      </c>
      <c r="C31" s="50">
        <f>'Travel Time Savings'!S31</f>
        <v>88865.606561372872</v>
      </c>
      <c r="D31" s="50">
        <f>'Vehicle Operating Cost Savings'!I31</f>
        <v>-3427.1481404300362</v>
      </c>
      <c r="E31" s="50">
        <f>'Emissions Savings'!W31</f>
        <v>-837.07009056890524</v>
      </c>
      <c r="F31" s="50">
        <f>'Safety Benefits'!M31</f>
        <v>21380.343437877891</v>
      </c>
      <c r="G31" s="50">
        <f>'Ped Impvt Benefits'!E31</f>
        <v>48.017250476177935</v>
      </c>
      <c r="H31" s="50">
        <f>'Cycling Impvt Benefits'!E31</f>
        <v>13.636899135234531</v>
      </c>
      <c r="I31" s="50">
        <f>'Health Benefits'!F31</f>
        <v>266.92693505206364</v>
      </c>
      <c r="J31" s="50">
        <f>'Emergency Services Benefits'!H31</f>
        <v>201934.46763500263</v>
      </c>
      <c r="K31" s="50">
        <f>'O&amp;M'!L31</f>
        <v>-468.02735000509097</v>
      </c>
      <c r="L31" s="98">
        <f>'Residual Value'!T31</f>
        <v>0</v>
      </c>
      <c r="M31" s="64">
        <f>'Capital Costs'!P37</f>
        <v>0</v>
      </c>
    </row>
    <row r="32" spans="2:13" x14ac:dyDescent="0.3">
      <c r="B32" s="8">
        <v>2047</v>
      </c>
      <c r="C32" s="50">
        <f>'Travel Time Savings'!S32</f>
        <v>83640.140530318313</v>
      </c>
      <c r="D32" s="50">
        <f>'Vehicle Operating Cost Savings'!I32</f>
        <v>-3234.9716091909681</v>
      </c>
      <c r="E32" s="50">
        <f>'Emissions Savings'!W32</f>
        <v>-824.57723850967147</v>
      </c>
      <c r="F32" s="50">
        <f>'Safety Benefits'!M32</f>
        <v>19981.629381194245</v>
      </c>
      <c r="G32" s="50">
        <f>'Ped Impvt Benefits'!E32</f>
        <v>45.46640785373463</v>
      </c>
      <c r="H32" s="50">
        <f>'Cycling Impvt Benefits'!E32</f>
        <v>12.91245983046063</v>
      </c>
      <c r="I32" s="50">
        <f>'Health Benefits'!F32</f>
        <v>252.74685193075376</v>
      </c>
      <c r="J32" s="50">
        <f>'Emergency Services Benefits'!H32</f>
        <v>188723.8015280398</v>
      </c>
      <c r="K32" s="50">
        <f>'O&amp;M'!L32</f>
        <v>13212.705016098271</v>
      </c>
      <c r="L32" s="98">
        <f>'Residual Value'!T32</f>
        <v>0</v>
      </c>
      <c r="M32" s="64">
        <f>'Capital Costs'!P38</f>
        <v>0</v>
      </c>
    </row>
    <row r="33" spans="2:13" x14ac:dyDescent="0.3">
      <c r="B33" s="8">
        <v>2048</v>
      </c>
      <c r="C33" s="50">
        <f>'Travel Time Savings'!S33</f>
        <v>78720.148633747056</v>
      </c>
      <c r="D33" s="50">
        <f>'Vehicle Operating Cost Savings'!I33</f>
        <v>-3053.5713320400732</v>
      </c>
      <c r="E33" s="50">
        <f>'Emissions Savings'!W33</f>
        <v>-812.43248288643485</v>
      </c>
      <c r="F33" s="50">
        <f>'Safety Benefits'!M33</f>
        <v>18674.41998242453</v>
      </c>
      <c r="G33" s="50">
        <f>'Ped Impvt Benefits'!E33</f>
        <v>43.043813722433576</v>
      </c>
      <c r="H33" s="50">
        <f>'Cycling Impvt Benefits'!E33</f>
        <v>12.224443097171129</v>
      </c>
      <c r="I33" s="50">
        <f>'Health Benefits'!F33</f>
        <v>239.27969960673377</v>
      </c>
      <c r="J33" s="50">
        <f>'Emergency Services Benefits'!H33</f>
        <v>176377.38460564471</v>
      </c>
      <c r="K33" s="50">
        <f>'O&amp;M'!L33</f>
        <v>-408.79321338552791</v>
      </c>
      <c r="L33" s="98">
        <f>'Residual Value'!T33</f>
        <v>0</v>
      </c>
      <c r="M33" s="64">
        <f>'Capital Costs'!P39</f>
        <v>0</v>
      </c>
    </row>
    <row r="34" spans="2:13" x14ac:dyDescent="0.3">
      <c r="B34" s="8">
        <v>2049</v>
      </c>
      <c r="C34" s="50">
        <f>'Travel Time Savings'!S34</f>
        <v>74087.900911874836</v>
      </c>
      <c r="D34" s="50">
        <f>'Vehicle Operating Cost Savings'!I34</f>
        <v>-2882.343033047172</v>
      </c>
      <c r="E34" s="50">
        <f>'Emissions Savings'!W34</f>
        <v>-800.61700382484821</v>
      </c>
      <c r="F34" s="50">
        <f>'Safety Benefits'!M34</f>
        <v>17452.728955536964</v>
      </c>
      <c r="G34" s="50">
        <f>'Ped Impvt Benefits'!E34</f>
        <v>40.743605129070843</v>
      </c>
      <c r="H34" s="50">
        <f>'Cycling Impvt Benefits'!E34</f>
        <v>11.571183856656113</v>
      </c>
      <c r="I34" s="50">
        <f>'Health Benefits'!F34</f>
        <v>226.49288604040223</v>
      </c>
      <c r="J34" s="50">
        <f>'Emergency Services Benefits'!H34</f>
        <v>164838.6772015371</v>
      </c>
      <c r="K34" s="50">
        <f>'O&amp;M'!L34</f>
        <v>-382.04973213600738</v>
      </c>
      <c r="L34" s="98">
        <f>'Residual Value'!T34</f>
        <v>0</v>
      </c>
      <c r="M34" s="64">
        <f>'Capital Costs'!P40</f>
        <v>0</v>
      </c>
    </row>
    <row r="35" spans="2:13" x14ac:dyDescent="0.3">
      <c r="B35" s="8">
        <v>2050</v>
      </c>
      <c r="C35" s="50">
        <f>'Travel Time Savings'!S35</f>
        <v>69726.687348592241</v>
      </c>
      <c r="D35" s="50">
        <f>'Vehicle Operating Cost Savings'!I35</f>
        <v>-2720.7163209136856</v>
      </c>
      <c r="E35" s="50">
        <f>'Emissions Savings'!W35</f>
        <v>-797.25161369252191</v>
      </c>
      <c r="F35" s="50">
        <f>'Safety Benefits'!M35</f>
        <v>16310.961640688707</v>
      </c>
      <c r="G35" s="50">
        <f>'Ped Impvt Benefits'!E35</f>
        <v>38.5601373515399</v>
      </c>
      <c r="H35" s="50">
        <f>'Cycling Impvt Benefits'!E35</f>
        <v>10.951079007837324</v>
      </c>
      <c r="I35" s="50">
        <f>'Health Benefits'!F35</f>
        <v>214.35503233446326</v>
      </c>
      <c r="J35" s="50">
        <f>'Emergency Services Benefits'!H35</f>
        <v>154054.83850610943</v>
      </c>
      <c r="K35" s="50">
        <f>'O&amp;M'!L35</f>
        <v>-357.05582442617515</v>
      </c>
      <c r="L35" s="98">
        <f>'Residual Value'!T35</f>
        <v>0</v>
      </c>
      <c r="M35" s="64">
        <f>'Capital Costs'!P41</f>
        <v>0</v>
      </c>
    </row>
    <row r="36" spans="2:13" x14ac:dyDescent="0.3">
      <c r="B36" s="8">
        <v>2051</v>
      </c>
      <c r="C36" s="50">
        <f>'Travel Time Savings'!S36</f>
        <v>65620.759851851573</v>
      </c>
      <c r="D36" s="50">
        <f>'Vehicle Operating Cost Savings'!I36</f>
        <v>-2568.1527888998339</v>
      </c>
      <c r="E36" s="50">
        <f>'Emissions Savings'!W36</f>
        <v>-777.90433159215161</v>
      </c>
      <c r="F36" s="50">
        <f>'Safety Benefits'!M36</f>
        <v>15243.889383821224</v>
      </c>
      <c r="G36" s="50">
        <f>'Ped Impvt Benefits'!E36</f>
        <v>36.48798043778892</v>
      </c>
      <c r="H36" s="50">
        <f>'Cycling Impvt Benefits'!E36</f>
        <v>10.362586444332045</v>
      </c>
      <c r="I36" s="50">
        <f>'Health Benefits'!F36</f>
        <v>202.83595349405982</v>
      </c>
      <c r="J36" s="50">
        <f>'Emergency Services Benefits'!H36</f>
        <v>143976.48458514898</v>
      </c>
      <c r="K36" s="50">
        <f>'O&amp;M'!L36</f>
        <v>-333.69703217399524</v>
      </c>
      <c r="L36" s="98">
        <f>'Residual Value'!T36</f>
        <v>0</v>
      </c>
      <c r="M36" s="64">
        <f>'Capital Costs'!P42</f>
        <v>0</v>
      </c>
    </row>
    <row r="37" spans="2:13" x14ac:dyDescent="0.3">
      <c r="B37" s="8">
        <v>2052</v>
      </c>
      <c r="C37" s="50">
        <f>'Travel Time Savings'!S37</f>
        <v>61755.277487226231</v>
      </c>
      <c r="D37" s="50">
        <f>'Vehicle Operating Cost Savings'!I37</f>
        <v>-2424.1442212979741</v>
      </c>
      <c r="E37" s="50">
        <f>'Emissions Savings'!W37</f>
        <v>-759.1495473906291</v>
      </c>
      <c r="F37" s="50">
        <f>'Safety Benefits'!M37</f>
        <v>14246.625592356315</v>
      </c>
      <c r="G37" s="50">
        <f>'Ped Impvt Benefits'!E37</f>
        <v>34.521915263628614</v>
      </c>
      <c r="H37" s="50">
        <f>'Cycling Impvt Benefits'!E37</f>
        <v>9.8042239348705174</v>
      </c>
      <c r="I37" s="50">
        <f>'Health Benefits'!F37</f>
        <v>191.90663651220618</v>
      </c>
      <c r="J37" s="50">
        <f>'Emergency Services Benefits'!H37</f>
        <v>134557.4622291112</v>
      </c>
      <c r="K37" s="50">
        <f>'O&amp;M'!L37</f>
        <v>-311.8663852093415</v>
      </c>
      <c r="L37" s="98">
        <f>'Residual Value'!T37</f>
        <v>0</v>
      </c>
      <c r="M37" s="64">
        <f>'Capital Costs'!P43</f>
        <v>0</v>
      </c>
    </row>
    <row r="38" spans="2:13" x14ac:dyDescent="0.3">
      <c r="B38" s="8">
        <v>2053</v>
      </c>
      <c r="C38" s="50">
        <f>'Travel Time Savings'!S38</f>
        <v>58116.254785686244</v>
      </c>
      <c r="D38" s="50">
        <f>'Vehicle Operating Cost Savings'!I38</f>
        <v>-2288.2109004775266</v>
      </c>
      <c r="E38" s="50">
        <f>'Emissions Savings'!W38</f>
        <v>-740.96359800233211</v>
      </c>
      <c r="F38" s="50">
        <f>'Safety Benefits'!M38</f>
        <v>13314.603357342305</v>
      </c>
      <c r="G38" s="50">
        <f>'Ped Impvt Benefits'!E38</f>
        <v>32.656929187157225</v>
      </c>
      <c r="H38" s="50">
        <f>'Cycling Impvt Benefits'!E38</f>
        <v>9.2745678891526424</v>
      </c>
      <c r="I38" s="50">
        <f>'Health Benefits'!F38</f>
        <v>181.53921621282325</v>
      </c>
      <c r="J38" s="50">
        <f>'Emergency Services Benefits'!H38</f>
        <v>125754.6375973002</v>
      </c>
      <c r="K38" s="50">
        <f>'O&amp;M'!L38</f>
        <v>-291.46391141059962</v>
      </c>
      <c r="L38" s="98">
        <f>'Residual Value'!T38</f>
        <v>0</v>
      </c>
      <c r="M38" s="64">
        <f>'Capital Costs'!P44</f>
        <v>0</v>
      </c>
    </row>
    <row r="39" spans="2:13" x14ac:dyDescent="0.3">
      <c r="B39" s="8">
        <v>2054</v>
      </c>
      <c r="C39" s="50">
        <f>'Travel Time Savings'!S39</f>
        <v>54690.51295622412</v>
      </c>
      <c r="D39" s="50">
        <f>'Vehicle Operating Cost Savings'!I39</f>
        <v>-2159.900008861965</v>
      </c>
      <c r="E39" s="50">
        <f>'Emissions Savings'!W39</f>
        <v>-723.32396159129462</v>
      </c>
      <c r="F39" s="50">
        <f>'Safety Benefits'!M39</f>
        <v>12443.554539572273</v>
      </c>
      <c r="G39" s="50">
        <f>'Ped Impvt Benefits'!E39</f>
        <v>30.888211369453973</v>
      </c>
      <c r="H39" s="50">
        <f>'Cycling Impvt Benefits'!E39</f>
        <v>8.7722520289249175</v>
      </c>
      <c r="I39" s="50">
        <f>'Health Benefits'!F39</f>
        <v>171.70694923856723</v>
      </c>
      <c r="J39" s="50">
        <f>'Emergency Services Benefits'!H39</f>
        <v>117527.69868906561</v>
      </c>
      <c r="K39" s="50">
        <f>'O&amp;M'!L39</f>
        <v>-272.39617888841087</v>
      </c>
      <c r="L39" s="98">
        <f>'Residual Value'!T39</f>
        <v>0</v>
      </c>
      <c r="M39" s="228">
        <f>'Capital Costs'!P45</f>
        <v>0</v>
      </c>
    </row>
    <row r="40" spans="2:13" x14ac:dyDescent="0.3">
      <c r="B40" s="8">
        <v>2055</v>
      </c>
      <c r="C40" s="50">
        <f>'Travel Time Savings'!S40</f>
        <v>51465.633843057905</v>
      </c>
      <c r="D40" s="50">
        <f>'Vehicle Operating Cost Savings'!I40</f>
        <v>-2038.7841205145646</v>
      </c>
      <c r="E40" s="50">
        <f>'Emissions Savings'!W40</f>
        <v>-706.20919718079745</v>
      </c>
      <c r="F40" s="50">
        <f>'Safety Benefits'!M40</f>
        <v>11629.490223899309</v>
      </c>
      <c r="G40" s="50">
        <f>'Ped Impvt Benefits'!E40</f>
        <v>29.211147823804936</v>
      </c>
      <c r="H40" s="50">
        <f>'Cycling Impvt Benefits'!E40</f>
        <v>8.29596598196059</v>
      </c>
      <c r="I40" s="50">
        <f>'Health Benefits'!F40</f>
        <v>162.38418652957515</v>
      </c>
      <c r="J40" s="50">
        <f>'Emergency Services Benefits'!H40</f>
        <v>109838.97073744448</v>
      </c>
      <c r="K40" s="50">
        <f>'O&amp;M'!L40</f>
        <v>-254.57586812001011</v>
      </c>
      <c r="L40" s="98">
        <f>'Residual Value'!T40</f>
        <v>0</v>
      </c>
      <c r="M40" s="228">
        <f>'Capital Costs'!P46</f>
        <v>0</v>
      </c>
    </row>
    <row r="41" spans="2:13" x14ac:dyDescent="0.3">
      <c r="B41" s="8">
        <v>2056</v>
      </c>
      <c r="C41" s="50">
        <f>'Travel Time Savings'!S41</f>
        <v>48429.916475763821</v>
      </c>
      <c r="D41" s="50">
        <f>'Vehicle Operating Cost Savings'!I41</f>
        <v>-1924.4597773081407</v>
      </c>
      <c r="E41" s="50">
        <f>'Emissions Savings'!W41</f>
        <v>-689.59888757934084</v>
      </c>
      <c r="F41" s="50">
        <f>'Safety Benefits'!M41</f>
        <v>10868.682452242385</v>
      </c>
      <c r="G41" s="50">
        <f>'Ped Impvt Benefits'!E41</f>
        <v>27.621316249007418</v>
      </c>
      <c r="H41" s="50">
        <f>'Cycling Impvt Benefits'!E41</f>
        <v>7.8444538147180962</v>
      </c>
      <c r="I41" s="50">
        <f>'Health Benefits'!F41</f>
        <v>153.54634460190724</v>
      </c>
      <c r="J41" s="50">
        <f>'Emergency Services Benefits'!H41</f>
        <v>102653.24367985467</v>
      </c>
      <c r="K41" s="50">
        <f>'O&amp;M'!L41</f>
        <v>-237.92137207477583</v>
      </c>
      <c r="L41" s="98">
        <f>'Residual Value'!T41</f>
        <v>865419.29544417618</v>
      </c>
      <c r="M41" s="99">
        <f>'Capital Costs'!P47</f>
        <v>0</v>
      </c>
    </row>
    <row r="42" spans="2:13" x14ac:dyDescent="0.3">
      <c r="B42" s="22" t="s">
        <v>119</v>
      </c>
      <c r="C42" s="46">
        <f t="shared" ref="C42:M42" si="0">SUM(C4:C41)</f>
        <v>3990610.6117423931</v>
      </c>
      <c r="D42" s="46">
        <f t="shared" si="0"/>
        <v>-157215.7423845657</v>
      </c>
      <c r="E42" s="46">
        <f t="shared" si="0"/>
        <v>-27850.75829356258</v>
      </c>
      <c r="F42" s="46">
        <f t="shared" si="0"/>
        <v>1026664.2907418846</v>
      </c>
      <c r="G42" s="46">
        <f t="shared" si="0"/>
        <v>2025.0706745677946</v>
      </c>
      <c r="H42" s="46">
        <f t="shared" si="0"/>
        <v>575.12007157725327</v>
      </c>
      <c r="I42" s="46">
        <f t="shared" si="0"/>
        <v>11257.327378508875</v>
      </c>
      <c r="J42" s="46">
        <f t="shared" si="0"/>
        <v>9696706.1166819017</v>
      </c>
      <c r="K42" s="46">
        <f t="shared" si="0"/>
        <v>187387.31108459452</v>
      </c>
      <c r="L42" s="47">
        <f t="shared" si="0"/>
        <v>865419.29544417618</v>
      </c>
      <c r="M42" s="49">
        <f t="shared" si="0"/>
        <v>28680328.72637767</v>
      </c>
    </row>
    <row r="43" spans="2:13" ht="17.25" thickBot="1" x14ac:dyDescent="0.35">
      <c r="B43" s="617" t="s">
        <v>325</v>
      </c>
      <c r="C43" s="722"/>
      <c r="D43" s="722"/>
      <c r="E43" s="722"/>
      <c r="F43" s="722"/>
      <c r="G43" s="722"/>
      <c r="H43" s="722"/>
      <c r="I43" s="722"/>
      <c r="J43" s="722"/>
      <c r="K43" s="723"/>
      <c r="L43" s="60"/>
      <c r="M43" s="61"/>
    </row>
    <row r="44" spans="2:13" ht="17.25" thickBot="1" x14ac:dyDescent="0.35">
      <c r="B44" s="724" t="s">
        <v>337</v>
      </c>
      <c r="C44" s="725"/>
      <c r="D44" s="725"/>
      <c r="E44" s="725"/>
      <c r="F44" s="725"/>
      <c r="G44" s="725"/>
      <c r="H44" s="725"/>
      <c r="I44" s="725"/>
      <c r="J44" s="725"/>
      <c r="K44" s="726"/>
      <c r="L44" s="62" t="s">
        <v>338</v>
      </c>
      <c r="M44" s="51">
        <f>SUM(C42:L42)</f>
        <v>15595578.643141475</v>
      </c>
    </row>
    <row r="45" spans="2:13" ht="17.25" thickBot="1" x14ac:dyDescent="0.35">
      <c r="B45" s="61"/>
      <c r="C45" s="61"/>
      <c r="D45" s="61"/>
      <c r="E45" s="61"/>
      <c r="F45" s="61"/>
      <c r="G45" s="61"/>
      <c r="H45" s="61"/>
      <c r="I45" s="61"/>
      <c r="J45" s="61"/>
      <c r="K45" s="61"/>
      <c r="L45" s="62" t="s">
        <v>339</v>
      </c>
      <c r="M45" s="52">
        <f>M42</f>
        <v>28680328.72637767</v>
      </c>
    </row>
    <row r="46" spans="2:13" ht="17.25" thickBot="1" x14ac:dyDescent="0.35">
      <c r="B46" s="61"/>
      <c r="C46" s="61"/>
      <c r="D46" s="61"/>
      <c r="E46" s="61"/>
      <c r="F46" s="61"/>
      <c r="G46" s="61"/>
      <c r="H46" s="61"/>
      <c r="I46" s="61"/>
      <c r="J46" s="61"/>
      <c r="K46" s="61"/>
      <c r="L46" s="62" t="s">
        <v>340</v>
      </c>
      <c r="M46" s="59">
        <f>M44/M45</f>
        <v>0.54377266006710789</v>
      </c>
    </row>
  </sheetData>
  <mergeCells count="3">
    <mergeCell ref="B2:M2"/>
    <mergeCell ref="B43:K43"/>
    <mergeCell ref="B44:K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55121-0028-4EF5-AA75-2750B1F98297}">
  <sheetPr>
    <tabColor theme="0" tint="-0.249977111117893"/>
  </sheetPr>
  <dimension ref="B1:BL114"/>
  <sheetViews>
    <sheetView zoomScale="85" zoomScaleNormal="85" workbookViewId="0">
      <selection activeCell="K18" sqref="K18:U24"/>
    </sheetView>
  </sheetViews>
  <sheetFormatPr defaultColWidth="9.140625" defaultRowHeight="16.5" x14ac:dyDescent="0.3"/>
  <cols>
    <col min="1" max="1" width="9.140625" style="1"/>
    <col min="2" max="2" width="18.42578125" style="1" customWidth="1"/>
    <col min="3" max="4" width="17.85546875" style="1" customWidth="1"/>
    <col min="5" max="6" width="22.28515625" style="1" customWidth="1"/>
    <col min="7" max="7" width="17.28515625" style="1" customWidth="1"/>
    <col min="8" max="8" width="24" style="1" customWidth="1"/>
    <col min="9" max="10" width="9.140625" style="1"/>
    <col min="11" max="11" width="11.28515625" style="1" customWidth="1"/>
    <col min="12" max="12" width="9.140625" style="1"/>
    <col min="13" max="13" width="10.85546875" style="1" customWidth="1"/>
    <col min="14" max="14" width="10.5703125" style="1" bestFit="1" customWidth="1"/>
    <col min="15" max="15" width="11.5703125" style="1" bestFit="1" customWidth="1"/>
    <col min="16" max="17" width="9.140625" style="1"/>
    <col min="18" max="18" width="13.28515625" style="1" customWidth="1"/>
    <col min="19" max="19" width="11.5703125" style="1" customWidth="1"/>
    <col min="20" max="20" width="11.42578125" style="1" customWidth="1"/>
    <col min="21" max="22" width="12.7109375" style="1" customWidth="1"/>
    <col min="23" max="23" width="9.140625" style="1"/>
    <col min="24" max="24" width="11" style="1" customWidth="1"/>
    <col min="25" max="31" width="9.140625" style="1"/>
    <col min="32" max="37" width="16.7109375" style="1" customWidth="1"/>
    <col min="38" max="55" width="9.140625" style="1"/>
    <col min="56" max="56" width="11.7109375" style="1" customWidth="1"/>
    <col min="57" max="58" width="9.140625" style="1"/>
    <col min="59" max="59" width="14.5703125" style="1" bestFit="1" customWidth="1"/>
    <col min="60" max="60" width="16" style="1" customWidth="1"/>
    <col min="61" max="61" width="15" style="1" customWidth="1"/>
    <col min="62" max="62" width="15.85546875" style="1" customWidth="1"/>
    <col min="63" max="63" width="14" style="1" customWidth="1"/>
    <col min="64" max="64" width="15.28515625" style="1" customWidth="1"/>
    <col min="65" max="16384" width="9.140625" style="1"/>
  </cols>
  <sheetData>
    <row r="1" spans="2:64" x14ac:dyDescent="0.3">
      <c r="U1" s="36"/>
      <c r="V1" s="36"/>
      <c r="W1" s="36"/>
      <c r="X1" s="36"/>
      <c r="Y1" s="36"/>
      <c r="Z1" s="36"/>
      <c r="AA1" s="36"/>
      <c r="AB1" s="36"/>
      <c r="AC1" s="36"/>
      <c r="AD1" s="36"/>
      <c r="AE1" s="36"/>
      <c r="AF1" s="36"/>
      <c r="AG1" s="36"/>
      <c r="AH1" s="36"/>
      <c r="AI1" s="36"/>
      <c r="AJ1" s="36"/>
      <c r="AK1" s="36"/>
    </row>
    <row r="2" spans="2:64" x14ac:dyDescent="0.3">
      <c r="B2" s="377" t="s">
        <v>4</v>
      </c>
      <c r="C2" s="378"/>
      <c r="D2" s="378"/>
      <c r="E2" s="378"/>
      <c r="F2" s="378"/>
      <c r="G2" s="378"/>
      <c r="H2" s="378"/>
      <c r="I2" s="378"/>
      <c r="J2" s="378"/>
      <c r="K2" s="378"/>
      <c r="L2" s="378"/>
      <c r="M2" s="378"/>
      <c r="N2" s="378"/>
      <c r="O2" s="379"/>
      <c r="P2" s="37"/>
      <c r="Q2" s="37"/>
      <c r="R2" s="37"/>
      <c r="S2" s="37"/>
      <c r="T2" s="37"/>
      <c r="U2" s="175"/>
      <c r="V2" s="175"/>
      <c r="W2" s="359" t="s">
        <v>5</v>
      </c>
      <c r="X2" s="360"/>
      <c r="Y2" s="360"/>
      <c r="Z2" s="360"/>
      <c r="AA2" s="360"/>
      <c r="AB2" s="360"/>
      <c r="AC2" s="360"/>
      <c r="AD2" s="360"/>
      <c r="AE2" s="360"/>
      <c r="AF2" s="360"/>
      <c r="AG2" s="360"/>
      <c r="AH2" s="360"/>
      <c r="AI2" s="360"/>
      <c r="AJ2" s="360"/>
      <c r="AK2" s="361"/>
      <c r="BE2" s="165"/>
    </row>
    <row r="3" spans="2:64" x14ac:dyDescent="0.3">
      <c r="B3" s="380" t="s">
        <v>6</v>
      </c>
      <c r="C3" s="381"/>
      <c r="D3" s="381"/>
      <c r="E3" s="381"/>
      <c r="F3" s="381"/>
      <c r="G3" s="381"/>
      <c r="H3" s="381"/>
      <c r="I3" s="381"/>
      <c r="J3" s="381"/>
      <c r="K3" s="381"/>
      <c r="L3" s="381"/>
      <c r="M3" s="381"/>
      <c r="N3" s="381"/>
      <c r="O3" s="382"/>
      <c r="P3" s="36"/>
      <c r="Q3" s="36"/>
      <c r="R3" s="36"/>
      <c r="S3" s="36"/>
      <c r="T3" s="36"/>
      <c r="U3" s="36"/>
      <c r="V3" s="36"/>
      <c r="W3" s="176" t="s">
        <v>7</v>
      </c>
      <c r="X3" s="36"/>
      <c r="Y3" s="36"/>
      <c r="Z3" s="36"/>
      <c r="AA3" s="36"/>
      <c r="AB3" s="36"/>
      <c r="AC3" s="36"/>
      <c r="AD3" s="36"/>
      <c r="AK3" s="177"/>
      <c r="BE3" s="165"/>
    </row>
    <row r="4" spans="2:64" ht="18.75" x14ac:dyDescent="0.3">
      <c r="B4" s="383" t="s">
        <v>8</v>
      </c>
      <c r="C4" s="384"/>
      <c r="D4" s="384"/>
      <c r="E4" s="384"/>
      <c r="F4" s="384"/>
      <c r="G4" s="384"/>
      <c r="H4" s="384"/>
      <c r="I4" s="384"/>
      <c r="J4" s="384"/>
      <c r="K4" s="384"/>
      <c r="L4" s="384"/>
      <c r="M4" s="384"/>
      <c r="N4" s="384"/>
      <c r="O4" s="385"/>
      <c r="P4" s="233"/>
      <c r="Q4" s="233"/>
      <c r="R4" s="233"/>
      <c r="S4" s="233"/>
      <c r="T4" s="233"/>
      <c r="U4" s="175"/>
      <c r="V4" s="175"/>
      <c r="W4" s="178" t="s">
        <v>9</v>
      </c>
      <c r="X4" s="175"/>
      <c r="Y4" s="175"/>
      <c r="Z4" s="175"/>
      <c r="AA4" s="175"/>
      <c r="AB4" s="175"/>
      <c r="AC4" s="175"/>
      <c r="AD4" s="175"/>
      <c r="AE4" s="364" t="s">
        <v>10</v>
      </c>
      <c r="AF4" s="365"/>
      <c r="AG4" s="365"/>
      <c r="AH4" s="365"/>
      <c r="AI4" s="365"/>
      <c r="AJ4" s="365"/>
      <c r="AK4" s="366"/>
      <c r="BE4" s="165"/>
    </row>
    <row r="5" spans="2:64" x14ac:dyDescent="0.3">
      <c r="B5" s="386" t="s">
        <v>11</v>
      </c>
      <c r="C5" s="387"/>
      <c r="D5" s="387"/>
      <c r="E5" s="387"/>
      <c r="F5" s="387"/>
      <c r="G5" s="387"/>
      <c r="H5" s="387"/>
      <c r="I5" s="387"/>
      <c r="J5" s="387"/>
      <c r="K5" s="387"/>
      <c r="L5" s="387"/>
      <c r="M5" s="387"/>
      <c r="N5" s="387"/>
      <c r="O5" s="388"/>
      <c r="P5" s="36"/>
      <c r="Q5" s="36"/>
      <c r="R5" s="36"/>
      <c r="S5" s="36"/>
      <c r="T5" s="36"/>
      <c r="U5" s="36"/>
      <c r="V5" s="36"/>
      <c r="W5" s="178" t="s">
        <v>12</v>
      </c>
      <c r="X5" s="36"/>
      <c r="Y5" s="36"/>
      <c r="Z5" s="36"/>
      <c r="AA5" s="36"/>
      <c r="AB5" s="36"/>
      <c r="AC5" s="36"/>
      <c r="AD5" s="36"/>
      <c r="AE5" s="367" t="s">
        <v>13</v>
      </c>
      <c r="AF5" s="369" t="s">
        <v>14</v>
      </c>
      <c r="AG5" s="369"/>
      <c r="AH5" s="369"/>
      <c r="AI5" s="370"/>
      <c r="AJ5" s="369" t="s">
        <v>15</v>
      </c>
      <c r="AK5" s="370"/>
      <c r="BE5" s="165"/>
    </row>
    <row r="6" spans="2:64" ht="16.5" customHeight="1" x14ac:dyDescent="0.3">
      <c r="B6" s="374" t="s">
        <v>16</v>
      </c>
      <c r="C6" s="375"/>
      <c r="D6" s="375"/>
      <c r="E6" s="375"/>
      <c r="F6" s="375"/>
      <c r="G6" s="375"/>
      <c r="H6" s="375"/>
      <c r="I6" s="375"/>
      <c r="J6" s="375"/>
      <c r="K6" s="375"/>
      <c r="L6" s="375"/>
      <c r="M6" s="375"/>
      <c r="N6" s="375"/>
      <c r="O6" s="376"/>
      <c r="P6" s="233"/>
      <c r="Q6" s="233"/>
      <c r="R6" s="233"/>
      <c r="S6" s="233"/>
      <c r="T6" s="233"/>
      <c r="U6" s="175"/>
      <c r="V6" s="175"/>
      <c r="W6" s="178" t="s">
        <v>17</v>
      </c>
      <c r="X6" s="175"/>
      <c r="Y6" s="175"/>
      <c r="Z6" s="175"/>
      <c r="AA6" s="175"/>
      <c r="AB6" s="175"/>
      <c r="AC6" s="175"/>
      <c r="AD6" s="175"/>
      <c r="AE6" s="367"/>
      <c r="AF6" s="371" t="s">
        <v>18</v>
      </c>
      <c r="AG6" s="372"/>
      <c r="AH6" s="371" t="s">
        <v>19</v>
      </c>
      <c r="AI6" s="373"/>
      <c r="AJ6" s="371" t="s">
        <v>20</v>
      </c>
      <c r="AK6" s="373"/>
      <c r="BE6" s="165"/>
    </row>
    <row r="7" spans="2:64" ht="16.5" customHeight="1" x14ac:dyDescent="0.3">
      <c r="P7" s="36"/>
      <c r="Q7" s="36"/>
      <c r="R7" s="36"/>
      <c r="S7" s="36"/>
      <c r="T7" s="36"/>
      <c r="U7" s="36"/>
      <c r="V7" s="36"/>
      <c r="W7" s="179"/>
      <c r="X7" s="36"/>
      <c r="Y7" s="36"/>
      <c r="Z7" s="36"/>
      <c r="AA7" s="36"/>
      <c r="AB7" s="36"/>
      <c r="AC7" s="36"/>
      <c r="AD7" s="36"/>
      <c r="AE7" s="368"/>
      <c r="AF7" s="172" t="s">
        <v>21</v>
      </c>
      <c r="AG7" s="172" t="s">
        <v>22</v>
      </c>
      <c r="AH7" s="172" t="s">
        <v>21</v>
      </c>
      <c r="AI7" s="173" t="s">
        <v>22</v>
      </c>
      <c r="AJ7" s="172" t="s">
        <v>21</v>
      </c>
      <c r="AK7" s="180" t="s">
        <v>22</v>
      </c>
      <c r="BE7" s="165"/>
    </row>
    <row r="8" spans="2:64" x14ac:dyDescent="0.3">
      <c r="B8" s="263" t="s">
        <v>23</v>
      </c>
      <c r="P8" s="36"/>
      <c r="Q8" s="36"/>
      <c r="R8" s="36"/>
      <c r="S8" s="36"/>
      <c r="T8" s="36"/>
      <c r="U8" s="36"/>
      <c r="V8" s="36"/>
      <c r="W8" s="181" t="s">
        <v>24</v>
      </c>
      <c r="X8" s="36"/>
      <c r="Y8" s="36"/>
      <c r="Z8" s="36"/>
      <c r="AA8" s="36"/>
      <c r="AB8" s="36"/>
      <c r="AC8" s="36"/>
      <c r="AD8" s="36"/>
      <c r="AE8" s="166">
        <v>2020</v>
      </c>
      <c r="AF8" s="167">
        <v>3382</v>
      </c>
      <c r="AG8" s="167">
        <v>4575</v>
      </c>
      <c r="AH8" s="167">
        <v>2887</v>
      </c>
      <c r="AI8" s="168">
        <v>3528</v>
      </c>
      <c r="AJ8" s="167">
        <v>28831</v>
      </c>
      <c r="AK8" s="182">
        <v>29048</v>
      </c>
      <c r="BE8" s="165"/>
    </row>
    <row r="9" spans="2:64" ht="16.5" customHeight="1" x14ac:dyDescent="0.3">
      <c r="B9" s="380" t="s">
        <v>25</v>
      </c>
      <c r="C9" s="381"/>
      <c r="D9" s="381"/>
      <c r="E9" s="381"/>
      <c r="F9" s="381"/>
      <c r="G9" s="381"/>
      <c r="H9" s="381"/>
      <c r="I9" s="381"/>
      <c r="J9" s="381"/>
      <c r="K9" s="381"/>
      <c r="L9" s="381"/>
      <c r="M9" s="381"/>
      <c r="N9" s="381"/>
      <c r="O9" s="382"/>
      <c r="W9" s="362" t="s">
        <v>26</v>
      </c>
      <c r="X9" s="363"/>
      <c r="Y9" s="363"/>
      <c r="Z9" s="363"/>
      <c r="AA9" s="363"/>
      <c r="AB9" s="363"/>
      <c r="AC9" s="363"/>
      <c r="AE9" s="166">
        <v>2025</v>
      </c>
      <c r="AF9" s="167">
        <v>3720</v>
      </c>
      <c r="AG9" s="167">
        <v>5032</v>
      </c>
      <c r="AH9" s="167">
        <v>3176</v>
      </c>
      <c r="AI9" s="168">
        <v>3881</v>
      </c>
      <c r="AJ9" s="167">
        <v>30994</v>
      </c>
      <c r="AK9" s="182">
        <v>31227</v>
      </c>
      <c r="BE9" s="165"/>
      <c r="BF9" s="165"/>
      <c r="BG9" s="165"/>
      <c r="BH9" s="165"/>
      <c r="BI9" s="165"/>
      <c r="BJ9" s="165"/>
      <c r="BK9" s="165"/>
      <c r="BL9" s="165"/>
    </row>
    <row r="10" spans="2:64" x14ac:dyDescent="0.3">
      <c r="B10" s="418" t="s">
        <v>27</v>
      </c>
      <c r="C10" s="419"/>
      <c r="D10" s="419"/>
      <c r="E10" s="419"/>
      <c r="F10" s="419"/>
      <c r="G10" s="419"/>
      <c r="H10" s="419"/>
      <c r="I10" s="419"/>
      <c r="J10" s="419"/>
      <c r="K10" s="419"/>
      <c r="L10" s="419"/>
      <c r="M10" s="419"/>
      <c r="N10" s="419"/>
      <c r="O10" s="420"/>
      <c r="W10" s="362"/>
      <c r="X10" s="363"/>
      <c r="Y10" s="363"/>
      <c r="Z10" s="363"/>
      <c r="AA10" s="363"/>
      <c r="AB10" s="363"/>
      <c r="AC10" s="363"/>
      <c r="AE10" s="169">
        <v>2045</v>
      </c>
      <c r="AF10" s="170">
        <v>5074</v>
      </c>
      <c r="AG10" s="170">
        <v>6864</v>
      </c>
      <c r="AH10" s="170">
        <v>4331</v>
      </c>
      <c r="AI10" s="171">
        <v>5292</v>
      </c>
      <c r="AJ10" s="170">
        <v>39415</v>
      </c>
      <c r="AK10" s="183">
        <v>39713</v>
      </c>
      <c r="BD10" s="165"/>
      <c r="BE10" s="165"/>
      <c r="BF10" s="165"/>
      <c r="BG10" s="165"/>
      <c r="BH10" s="165"/>
      <c r="BI10" s="165"/>
      <c r="BJ10" s="165"/>
      <c r="BK10" s="165"/>
      <c r="BL10" s="165"/>
    </row>
    <row r="11" spans="2:64" ht="35.25" customHeight="1" x14ac:dyDescent="0.3">
      <c r="B11" s="386" t="s">
        <v>28</v>
      </c>
      <c r="C11" s="387"/>
      <c r="D11" s="387"/>
      <c r="E11" s="387"/>
      <c r="F11" s="387"/>
      <c r="G11" s="387"/>
      <c r="H11" s="387"/>
      <c r="I11" s="387"/>
      <c r="J11" s="387"/>
      <c r="K11" s="387"/>
      <c r="L11" s="387"/>
      <c r="M11" s="387"/>
      <c r="N11" s="387"/>
      <c r="O11" s="388"/>
      <c r="P11" s="36"/>
      <c r="Q11" s="36"/>
      <c r="R11" s="36"/>
      <c r="S11" s="36"/>
      <c r="T11" s="36"/>
      <c r="W11" s="362"/>
      <c r="X11" s="363"/>
      <c r="Y11" s="363"/>
      <c r="Z11" s="363"/>
      <c r="AA11" s="363"/>
      <c r="AB11" s="363"/>
      <c r="AC11" s="363"/>
      <c r="AK11" s="177"/>
      <c r="BD11" s="165"/>
      <c r="BE11" s="165"/>
      <c r="BF11" s="165"/>
      <c r="BG11" s="165"/>
      <c r="BH11" s="165"/>
      <c r="BI11" s="165"/>
      <c r="BJ11" s="165"/>
      <c r="BK11" s="165"/>
      <c r="BL11" s="165"/>
    </row>
    <row r="12" spans="2:64" ht="32.25" customHeight="1" x14ac:dyDescent="0.3">
      <c r="B12" s="424" t="s">
        <v>29</v>
      </c>
      <c r="C12" s="384"/>
      <c r="D12" s="384"/>
      <c r="E12" s="384"/>
      <c r="F12" s="384"/>
      <c r="G12" s="384"/>
      <c r="H12" s="384"/>
      <c r="I12" s="384"/>
      <c r="J12" s="384"/>
      <c r="K12" s="384"/>
      <c r="L12" s="384"/>
      <c r="M12" s="384"/>
      <c r="N12" s="384"/>
      <c r="O12" s="385"/>
      <c r="P12" s="229"/>
      <c r="Q12" s="229"/>
      <c r="R12" s="229"/>
      <c r="S12" s="229"/>
      <c r="T12" s="229"/>
      <c r="W12" s="362"/>
      <c r="X12" s="363"/>
      <c r="Y12" s="363"/>
      <c r="Z12" s="363"/>
      <c r="AA12" s="363"/>
      <c r="AB12" s="363"/>
      <c r="AC12" s="363"/>
      <c r="AK12" s="177"/>
      <c r="BD12" s="165"/>
      <c r="BE12" s="165"/>
      <c r="BF12" s="165"/>
      <c r="BG12" s="165"/>
      <c r="BH12" s="165"/>
      <c r="BI12" s="165"/>
      <c r="BJ12" s="165"/>
      <c r="BK12" s="165"/>
      <c r="BL12" s="165"/>
    </row>
    <row r="13" spans="2:64" ht="39" customHeight="1" x14ac:dyDescent="0.3">
      <c r="B13" s="425" t="s">
        <v>30</v>
      </c>
      <c r="C13" s="426"/>
      <c r="D13" s="426"/>
      <c r="E13" s="426"/>
      <c r="F13" s="426"/>
      <c r="G13" s="426"/>
      <c r="H13" s="426"/>
      <c r="I13" s="426"/>
      <c r="J13" s="426"/>
      <c r="K13" s="426"/>
      <c r="L13" s="426"/>
      <c r="M13" s="426"/>
      <c r="N13" s="426"/>
      <c r="O13" s="427"/>
      <c r="P13" s="36"/>
      <c r="Q13" s="36"/>
      <c r="R13" s="36"/>
      <c r="S13" s="36"/>
      <c r="T13" s="36"/>
      <c r="W13" s="184"/>
      <c r="AK13" s="177"/>
      <c r="BD13" s="165"/>
      <c r="BE13" s="165"/>
      <c r="BF13" s="165"/>
      <c r="BG13" s="165"/>
      <c r="BH13" s="165"/>
      <c r="BI13" s="165"/>
      <c r="BJ13" s="165"/>
      <c r="BK13" s="165"/>
      <c r="BL13" s="165"/>
    </row>
    <row r="14" spans="2:64" ht="16.5" customHeight="1" x14ac:dyDescent="0.3">
      <c r="P14" s="229"/>
      <c r="Q14" s="229"/>
      <c r="R14" s="229"/>
      <c r="S14" s="229"/>
      <c r="T14" s="229"/>
      <c r="U14" s="36"/>
      <c r="V14" s="36"/>
      <c r="W14" s="185"/>
      <c r="X14" s="36"/>
      <c r="Y14" s="36"/>
      <c r="Z14" s="36"/>
      <c r="AA14" s="36"/>
      <c r="AB14" s="36"/>
      <c r="AC14" s="36"/>
      <c r="AD14" s="36"/>
      <c r="AE14" s="36"/>
      <c r="AF14" s="36"/>
      <c r="AG14" s="36"/>
      <c r="AH14" s="36"/>
      <c r="AI14" s="36"/>
      <c r="AJ14" s="36"/>
      <c r="AK14" s="186"/>
      <c r="BD14" s="165"/>
      <c r="BE14" s="165"/>
      <c r="BF14" s="165"/>
      <c r="BG14" s="165"/>
      <c r="BH14" s="165"/>
      <c r="BI14" s="165"/>
      <c r="BJ14" s="165"/>
      <c r="BK14" s="165"/>
      <c r="BL14" s="165"/>
    </row>
    <row r="15" spans="2:64" ht="18.75" customHeight="1" x14ac:dyDescent="0.3">
      <c r="B15" s="263" t="s">
        <v>31</v>
      </c>
      <c r="P15" s="36"/>
      <c r="Q15" s="36"/>
      <c r="R15" s="36"/>
      <c r="S15" s="36"/>
      <c r="T15" s="36"/>
      <c r="U15" s="36"/>
      <c r="V15" s="36"/>
      <c r="W15" s="185"/>
      <c r="X15" s="36"/>
      <c r="Y15" s="36"/>
      <c r="Z15" s="36"/>
      <c r="AA15" s="36"/>
      <c r="AB15" s="36"/>
      <c r="AC15" s="36"/>
      <c r="AD15" s="36"/>
      <c r="AE15" s="36"/>
      <c r="AF15" s="36"/>
      <c r="AG15" s="36"/>
      <c r="AH15" s="36"/>
      <c r="AI15" s="36"/>
      <c r="AJ15" s="36"/>
      <c r="AK15" s="186"/>
      <c r="BD15" s="165"/>
      <c r="BE15" s="165"/>
      <c r="BF15" s="165"/>
      <c r="BG15" s="165"/>
      <c r="BH15" s="165"/>
      <c r="BI15" s="165"/>
      <c r="BJ15" s="165"/>
      <c r="BK15" s="165"/>
      <c r="BL15" s="165"/>
    </row>
    <row r="16" spans="2:64" ht="30" customHeight="1" x14ac:dyDescent="0.3">
      <c r="B16" s="421" t="s">
        <v>32</v>
      </c>
      <c r="C16" s="422"/>
      <c r="D16" s="422"/>
      <c r="E16" s="422"/>
      <c r="F16" s="422"/>
      <c r="G16" s="422"/>
      <c r="H16" s="422"/>
      <c r="I16" s="422"/>
      <c r="J16" s="422"/>
      <c r="K16" s="422"/>
      <c r="L16" s="422"/>
      <c r="M16" s="422"/>
      <c r="N16" s="422"/>
      <c r="O16" s="423"/>
      <c r="W16" s="184"/>
      <c r="AK16" s="177"/>
      <c r="BD16" s="165"/>
      <c r="BE16" s="165"/>
      <c r="BF16" s="165"/>
      <c r="BG16" s="165"/>
      <c r="BH16" s="165"/>
      <c r="BI16" s="165"/>
      <c r="BJ16" s="165"/>
      <c r="BK16" s="165"/>
      <c r="BL16" s="165"/>
    </row>
    <row r="17" spans="2:64" x14ac:dyDescent="0.3">
      <c r="W17" s="184"/>
      <c r="AK17" s="177"/>
      <c r="BD17" s="165"/>
      <c r="BE17" s="165"/>
      <c r="BF17" s="165"/>
      <c r="BG17" s="165"/>
      <c r="BH17" s="165"/>
      <c r="BI17" s="165"/>
      <c r="BJ17" s="165"/>
      <c r="BK17" s="165"/>
      <c r="BL17" s="165"/>
    </row>
    <row r="18" spans="2:64" x14ac:dyDescent="0.3">
      <c r="B18" s="234" t="s">
        <v>33</v>
      </c>
      <c r="C18" s="235" t="s">
        <v>34</v>
      </c>
      <c r="D18" s="235" t="s">
        <v>35</v>
      </c>
      <c r="E18" s="235" t="s">
        <v>36</v>
      </c>
      <c r="F18" s="235" t="s">
        <v>37</v>
      </c>
      <c r="G18" s="235" t="s">
        <v>38</v>
      </c>
      <c r="H18" s="235" t="s">
        <v>39</v>
      </c>
      <c r="I18"/>
      <c r="J18"/>
      <c r="K18" s="389" t="s">
        <v>40</v>
      </c>
      <c r="L18" s="390"/>
      <c r="M18" s="390"/>
      <c r="N18" s="390"/>
      <c r="O18" s="391"/>
      <c r="P18" s="61"/>
      <c r="Q18" s="389" t="s">
        <v>41</v>
      </c>
      <c r="R18" s="390"/>
      <c r="S18" s="390"/>
      <c r="T18" s="390"/>
      <c r="U18" s="391"/>
      <c r="V18" s="243"/>
      <c r="W18" s="184"/>
      <c r="AK18" s="177"/>
      <c r="BD18" s="165"/>
      <c r="BE18" s="165"/>
      <c r="BF18" s="165"/>
      <c r="BG18" s="165"/>
      <c r="BH18" s="165"/>
      <c r="BI18" s="165"/>
      <c r="BJ18" s="165"/>
      <c r="BK18" s="165"/>
      <c r="BL18" s="165"/>
    </row>
    <row r="19" spans="2:64" ht="49.5" customHeight="1" x14ac:dyDescent="0.3">
      <c r="B19" s="236" t="s">
        <v>42</v>
      </c>
      <c r="C19" s="237">
        <v>10.5</v>
      </c>
      <c r="D19" s="237">
        <v>4</v>
      </c>
      <c r="E19" s="238">
        <v>332</v>
      </c>
      <c r="F19" s="239">
        <f>E19-G19</f>
        <v>315</v>
      </c>
      <c r="G19" s="239">
        <f>ROUNDUP(0.05*E19,0)</f>
        <v>17</v>
      </c>
      <c r="H19" s="237">
        <f>C19-SUM(C20:C22)</f>
        <v>4.5</v>
      </c>
      <c r="I19"/>
      <c r="J19"/>
      <c r="K19" s="392"/>
      <c r="L19" s="393"/>
      <c r="M19" s="393"/>
      <c r="N19" s="393"/>
      <c r="O19" s="394"/>
      <c r="P19" s="61"/>
      <c r="Q19" s="392"/>
      <c r="R19" s="393"/>
      <c r="S19" s="393"/>
      <c r="T19" s="393"/>
      <c r="U19" s="394"/>
      <c r="V19" s="243"/>
      <c r="W19" s="184"/>
      <c r="AK19" s="177"/>
      <c r="BD19" s="165"/>
      <c r="BE19" s="165"/>
      <c r="BF19" s="165"/>
      <c r="BG19" s="165"/>
      <c r="BH19" s="165"/>
      <c r="BI19" s="165"/>
      <c r="BJ19" s="165"/>
      <c r="BK19" s="165"/>
      <c r="BL19" s="165"/>
    </row>
    <row r="20" spans="2:64" x14ac:dyDescent="0.3">
      <c r="B20" s="240" t="s">
        <v>43</v>
      </c>
      <c r="C20" s="241">
        <v>2</v>
      </c>
      <c r="D20" s="241">
        <v>0.7</v>
      </c>
      <c r="E20" s="395">
        <v>332</v>
      </c>
      <c r="F20" s="396">
        <f>E20-G20</f>
        <v>315</v>
      </c>
      <c r="G20" s="396">
        <f>ROUNDUP(0.05*E20,0)</f>
        <v>17</v>
      </c>
      <c r="H20" s="240"/>
      <c r="I20"/>
      <c r="J20"/>
      <c r="K20" s="399"/>
      <c r="L20" s="400"/>
      <c r="M20" s="401"/>
      <c r="N20" s="230" t="s">
        <v>44</v>
      </c>
      <c r="O20" s="231" t="s">
        <v>45</v>
      </c>
      <c r="P20" s="61"/>
      <c r="Q20" s="399"/>
      <c r="R20" s="400"/>
      <c r="S20" s="401"/>
      <c r="T20" s="230" t="s">
        <v>44</v>
      </c>
      <c r="U20" s="231" t="s">
        <v>45</v>
      </c>
      <c r="V20" s="244"/>
      <c r="W20" s="184"/>
      <c r="AK20" s="177"/>
      <c r="BD20" s="165"/>
      <c r="BE20" s="165"/>
      <c r="BF20" s="165"/>
      <c r="BG20" s="165"/>
      <c r="BH20" s="165"/>
      <c r="BI20" s="165"/>
      <c r="BJ20" s="165"/>
      <c r="BK20" s="165"/>
      <c r="BL20" s="165"/>
    </row>
    <row r="21" spans="2:64" x14ac:dyDescent="0.3">
      <c r="B21" s="240" t="s">
        <v>46</v>
      </c>
      <c r="C21" s="241">
        <v>1</v>
      </c>
      <c r="D21" s="241">
        <v>0.3</v>
      </c>
      <c r="E21" s="395"/>
      <c r="F21" s="402"/>
      <c r="G21" s="397"/>
      <c r="H21" s="240"/>
      <c r="I21"/>
      <c r="J21"/>
      <c r="K21" s="404" t="s">
        <v>47</v>
      </c>
      <c r="L21" s="405"/>
      <c r="M21" s="406"/>
      <c r="N21" s="245">
        <f>F19*(C19/60)+(F23*C23/60)+(F27*C27/60)+(F31*C31/60)+(F35*C35/60)+(F39*C39/60)</f>
        <v>107.4</v>
      </c>
      <c r="O21" s="232">
        <f>F19*D19+F23*D23+F27*D27+F31*D31+F35*D35+F39*D39</f>
        <v>2719.4</v>
      </c>
      <c r="P21" s="61"/>
      <c r="Q21" s="404" t="s">
        <v>47</v>
      </c>
      <c r="R21" s="405"/>
      <c r="S21" s="406"/>
      <c r="T21" s="245">
        <f>(G19*C19/60)+(G23*C23/60)+(G27*C27/60)+(G31*C31/60)+(G35*C35/60)+(G39*C39/60)</f>
        <v>6.166666666666667</v>
      </c>
      <c r="U21" s="232">
        <f>G19*D19+G23*D23+G27*D27+G31*D31+G35*D35+G39*D39</f>
        <v>156.9</v>
      </c>
      <c r="V21" s="242"/>
      <c r="W21" s="184"/>
      <c r="AK21" s="177"/>
      <c r="BD21" s="165"/>
      <c r="BE21" s="165"/>
      <c r="BF21" s="165"/>
      <c r="BG21" s="165"/>
      <c r="BH21" s="165"/>
      <c r="BI21" s="165"/>
      <c r="BJ21" s="165"/>
      <c r="BK21" s="165"/>
      <c r="BL21" s="165"/>
    </row>
    <row r="22" spans="2:64" x14ac:dyDescent="0.3">
      <c r="B22" s="240" t="s">
        <v>48</v>
      </c>
      <c r="C22" s="241">
        <v>3</v>
      </c>
      <c r="D22" s="241">
        <v>3.3</v>
      </c>
      <c r="E22" s="395"/>
      <c r="F22" s="403"/>
      <c r="G22" s="398"/>
      <c r="H22" s="240"/>
      <c r="I22"/>
      <c r="J22"/>
      <c r="K22" s="404" t="s">
        <v>49</v>
      </c>
      <c r="L22" s="405"/>
      <c r="M22" s="406"/>
      <c r="N22" s="245">
        <f>(F20*SUM(C20:C22)/60)+(F24*SUM(C24:C26)/60)+(F28*SUM(C28:C30)/60)+(F32*SUM(C32:C34)/60)+(F36*SUM(C36:C38)/60)+(F40*SUM(C40:C42)/60)</f>
        <v>66.666666666666671</v>
      </c>
      <c r="O22" s="232">
        <f>F20*SUM(D20:D22)+F24*SUM(D24:D26)+F28*SUM(D28:D30)+F32*SUM(D32:D34)+F36*SUM(D36:D38)+F40*SUM(D40:D42)</f>
        <v>2830.0999999999995</v>
      </c>
      <c r="P22" s="61"/>
      <c r="Q22" s="404" t="s">
        <v>49</v>
      </c>
      <c r="R22" s="405"/>
      <c r="S22" s="406"/>
      <c r="T22" s="245">
        <f>(G20*SUM(C20:C22)/60)+(G24*SUM(C24:C26)/60)+(G28*SUM(C28:C30)/60)+(G32*SUM(C32:C34)/60)+(G36*SUM(C36:C38)/60)+(G40*SUM(C40:C42)/60)</f>
        <v>3.8000000000000003</v>
      </c>
      <c r="U22" s="232">
        <f>G20*SUM(D20:D22)+G24*SUM(D24:D26)+G28*SUM(D28:D30)+G32*SUM(D32:D34)+G36*SUM(D36:D38)+G40*SUM(D40:D42)</f>
        <v>161.30000000000001</v>
      </c>
      <c r="V22" s="242"/>
      <c r="W22" s="184"/>
      <c r="AK22" s="177"/>
      <c r="BD22" s="165"/>
      <c r="BE22" s="165"/>
      <c r="BF22" s="165"/>
      <c r="BG22" s="165"/>
      <c r="BH22" s="165"/>
      <c r="BI22" s="165"/>
      <c r="BJ22" s="165"/>
      <c r="BK22" s="165"/>
      <c r="BL22" s="165"/>
    </row>
    <row r="23" spans="2:64" ht="17.25" customHeight="1" thickBot="1" x14ac:dyDescent="0.35">
      <c r="B23" s="236" t="s">
        <v>50</v>
      </c>
      <c r="C23" s="237">
        <v>12</v>
      </c>
      <c r="D23" s="237">
        <v>4.8</v>
      </c>
      <c r="E23" s="238">
        <v>23</v>
      </c>
      <c r="F23" s="239">
        <f>E23-G23</f>
        <v>21</v>
      </c>
      <c r="G23" s="239">
        <f t="shared" ref="G23:G24" si="0">ROUNDUP(0.05*E23,0)</f>
        <v>2</v>
      </c>
      <c r="H23" s="237">
        <f>C23-SUM(C24:C26)</f>
        <v>7</v>
      </c>
      <c r="I23"/>
      <c r="J23"/>
      <c r="K23" s="407" t="s">
        <v>51</v>
      </c>
      <c r="L23" s="408"/>
      <c r="M23" s="409"/>
      <c r="N23" s="248">
        <f>N21-N22</f>
        <v>40.733333333333334</v>
      </c>
      <c r="O23" s="254">
        <f>O21-O22</f>
        <v>-110.69999999999936</v>
      </c>
      <c r="P23" s="61"/>
      <c r="Q23" s="410" t="s">
        <v>51</v>
      </c>
      <c r="R23" s="411"/>
      <c r="S23" s="412"/>
      <c r="T23" s="246">
        <f>T21-T22</f>
        <v>2.3666666666666667</v>
      </c>
      <c r="U23" s="256">
        <f>U21-U22</f>
        <v>-4.4000000000000057</v>
      </c>
      <c r="V23" s="242"/>
      <c r="W23" s="184"/>
      <c r="AK23" s="177"/>
      <c r="BD23" s="165"/>
      <c r="BE23" s="165"/>
      <c r="BF23" s="165"/>
      <c r="BG23" s="165"/>
      <c r="BH23" s="165"/>
      <c r="BI23" s="165"/>
      <c r="BJ23" s="165"/>
      <c r="BK23" s="165"/>
      <c r="BL23" s="165"/>
    </row>
    <row r="24" spans="2:64" ht="17.25" thickBot="1" x14ac:dyDescent="0.35">
      <c r="B24" s="240" t="s">
        <v>52</v>
      </c>
      <c r="C24" s="241">
        <v>1</v>
      </c>
      <c r="D24" s="241">
        <v>0.3</v>
      </c>
      <c r="E24" s="395">
        <v>23</v>
      </c>
      <c r="F24" s="396">
        <f>E24-G24</f>
        <v>21</v>
      </c>
      <c r="G24" s="396">
        <f t="shared" si="0"/>
        <v>2</v>
      </c>
      <c r="H24" s="240"/>
      <c r="I24"/>
      <c r="J24"/>
      <c r="K24" s="413" t="s">
        <v>53</v>
      </c>
      <c r="L24" s="414"/>
      <c r="M24" s="414"/>
      <c r="N24" s="250">
        <f>N23*365.25</f>
        <v>14877.85</v>
      </c>
      <c r="O24" s="255">
        <f>365.25*O23</f>
        <v>-40433.17499999977</v>
      </c>
      <c r="P24" s="61"/>
      <c r="Q24" s="415" t="s">
        <v>54</v>
      </c>
      <c r="R24" s="416"/>
      <c r="S24" s="417"/>
      <c r="T24" s="249">
        <f>T23*365.25</f>
        <v>864.42499999999995</v>
      </c>
      <c r="U24" s="255">
        <f>U23*365.25</f>
        <v>-1607.1000000000022</v>
      </c>
      <c r="W24" s="184"/>
      <c r="AK24" s="177"/>
      <c r="BD24" s="165"/>
      <c r="BE24" s="165"/>
      <c r="BF24" s="165"/>
      <c r="BG24" s="165"/>
      <c r="BH24" s="165"/>
      <c r="BI24" s="165"/>
      <c r="BJ24" s="165"/>
      <c r="BK24" s="165"/>
      <c r="BL24" s="165"/>
    </row>
    <row r="25" spans="2:64" x14ac:dyDescent="0.3">
      <c r="B25" s="240" t="s">
        <v>55</v>
      </c>
      <c r="C25" s="241">
        <v>1</v>
      </c>
      <c r="D25" s="241">
        <v>0.3</v>
      </c>
      <c r="E25" s="395"/>
      <c r="F25" s="402"/>
      <c r="G25" s="397"/>
      <c r="H25" s="240"/>
      <c r="I25"/>
      <c r="J25"/>
      <c r="K25"/>
      <c r="L25"/>
      <c r="M25"/>
      <c r="N25" s="247"/>
      <c r="O25"/>
      <c r="P25"/>
      <c r="Q25"/>
      <c r="R25"/>
      <c r="S25"/>
      <c r="T25"/>
      <c r="U25"/>
      <c r="V25"/>
      <c r="W25" s="184"/>
      <c r="AK25" s="177"/>
      <c r="BD25" s="165"/>
      <c r="BE25" s="165"/>
      <c r="BF25" s="165"/>
      <c r="BG25" s="165"/>
      <c r="BH25" s="165"/>
      <c r="BI25" s="165"/>
      <c r="BJ25" s="165"/>
      <c r="BK25" s="165"/>
      <c r="BL25" s="165"/>
    </row>
    <row r="26" spans="2:64" x14ac:dyDescent="0.3">
      <c r="B26" s="240" t="s">
        <v>56</v>
      </c>
      <c r="C26" s="241">
        <v>3</v>
      </c>
      <c r="D26" s="241">
        <v>3.3</v>
      </c>
      <c r="E26" s="395"/>
      <c r="F26" s="403"/>
      <c r="G26" s="398"/>
      <c r="H26" s="240"/>
      <c r="I26"/>
      <c r="J26"/>
      <c r="K26"/>
      <c r="L26"/>
      <c r="M26"/>
      <c r="N26"/>
      <c r="O26"/>
      <c r="P26"/>
      <c r="Q26"/>
      <c r="R26"/>
      <c r="S26"/>
      <c r="T26"/>
      <c r="U26"/>
      <c r="V26"/>
      <c r="W26" s="184"/>
      <c r="AK26" s="177"/>
      <c r="BD26" s="165"/>
      <c r="BE26" s="165"/>
      <c r="BF26" s="165"/>
      <c r="BG26" s="165"/>
      <c r="BH26" s="165"/>
      <c r="BI26" s="165"/>
      <c r="BJ26" s="165"/>
      <c r="BK26" s="165"/>
      <c r="BL26" s="165"/>
    </row>
    <row r="27" spans="2:64" x14ac:dyDescent="0.3">
      <c r="B27" s="236" t="s">
        <v>57</v>
      </c>
      <c r="C27" s="237">
        <v>4.5</v>
      </c>
      <c r="D27" s="237">
        <v>2.6</v>
      </c>
      <c r="E27" s="238">
        <v>35</v>
      </c>
      <c r="F27" s="239">
        <f>E27-G27</f>
        <v>33</v>
      </c>
      <c r="G27" s="239">
        <f t="shared" ref="G27:G28" si="1">ROUNDUP(0.05*E27,0)</f>
        <v>2</v>
      </c>
      <c r="H27" s="237">
        <f>C27-SUM(C28:C30)</f>
        <v>1.5</v>
      </c>
      <c r="I27"/>
      <c r="K27" s="2"/>
      <c r="L27" s="2"/>
      <c r="M27" s="2"/>
      <c r="N27" s="2"/>
      <c r="O27" s="2"/>
      <c r="P27"/>
      <c r="Q27"/>
      <c r="R27"/>
      <c r="S27"/>
      <c r="T27"/>
      <c r="U27"/>
      <c r="V27"/>
      <c r="W27" s="184"/>
      <c r="AK27" s="177"/>
      <c r="BD27" s="165"/>
      <c r="BE27" s="165"/>
      <c r="BF27" s="165"/>
      <c r="BG27" s="165"/>
      <c r="BH27" s="165"/>
      <c r="BI27" s="165"/>
      <c r="BJ27" s="165"/>
      <c r="BK27" s="165"/>
      <c r="BL27" s="165"/>
    </row>
    <row r="28" spans="2:64" x14ac:dyDescent="0.3">
      <c r="B28" s="240" t="s">
        <v>58</v>
      </c>
      <c r="C28" s="241">
        <v>1</v>
      </c>
      <c r="D28" s="241">
        <v>1.2</v>
      </c>
      <c r="E28" s="395">
        <v>35</v>
      </c>
      <c r="F28" s="396">
        <f>E28-G28</f>
        <v>33</v>
      </c>
      <c r="G28" s="396">
        <f t="shared" si="1"/>
        <v>2</v>
      </c>
      <c r="H28" s="240"/>
      <c r="I28"/>
      <c r="J28" s="23"/>
      <c r="O28" s="24"/>
      <c r="P28"/>
      <c r="Q28"/>
      <c r="R28"/>
      <c r="S28"/>
      <c r="T28"/>
      <c r="U28"/>
      <c r="V28"/>
      <c r="W28" s="184"/>
      <c r="AK28" s="177"/>
      <c r="BD28" s="165"/>
      <c r="BE28" s="165"/>
      <c r="BF28" s="165"/>
      <c r="BG28" s="165"/>
      <c r="BH28" s="165"/>
      <c r="BI28" s="165"/>
      <c r="BJ28" s="165"/>
      <c r="BK28" s="165"/>
      <c r="BL28" s="165"/>
    </row>
    <row r="29" spans="2:64" x14ac:dyDescent="0.3">
      <c r="B29" s="240" t="s">
        <v>59</v>
      </c>
      <c r="C29" s="241">
        <v>1</v>
      </c>
      <c r="D29" s="241">
        <v>0.3</v>
      </c>
      <c r="E29" s="395"/>
      <c r="F29" s="402"/>
      <c r="G29" s="397"/>
      <c r="H29" s="240"/>
      <c r="I29"/>
      <c r="J29" s="23"/>
      <c r="O29" s="24"/>
      <c r="P29"/>
      <c r="Q29"/>
      <c r="R29"/>
      <c r="S29"/>
      <c r="T29"/>
      <c r="U29"/>
      <c r="V29"/>
      <c r="W29" s="184"/>
      <c r="AK29" s="177"/>
      <c r="BD29" s="165"/>
      <c r="BE29" s="165"/>
      <c r="BF29" s="165"/>
      <c r="BG29" s="165"/>
      <c r="BH29" s="165"/>
      <c r="BI29" s="165"/>
      <c r="BJ29" s="165"/>
      <c r="BK29" s="165"/>
      <c r="BL29" s="165"/>
    </row>
    <row r="30" spans="2:64" x14ac:dyDescent="0.3">
      <c r="B30" s="240" t="s">
        <v>60</v>
      </c>
      <c r="C30" s="241">
        <v>1</v>
      </c>
      <c r="D30" s="241">
        <v>0.2</v>
      </c>
      <c r="E30" s="395"/>
      <c r="F30" s="403"/>
      <c r="G30" s="398"/>
      <c r="H30" s="240"/>
      <c r="I30"/>
      <c r="J30" s="23"/>
      <c r="O30" s="24"/>
      <c r="P30"/>
      <c r="Q30"/>
      <c r="R30"/>
      <c r="S30"/>
      <c r="T30"/>
      <c r="U30"/>
      <c r="V30"/>
      <c r="W30" s="184"/>
      <c r="AK30" s="177"/>
      <c r="BD30" s="165"/>
      <c r="BE30" s="165"/>
      <c r="BF30" s="165"/>
      <c r="BG30" s="165"/>
      <c r="BH30" s="165"/>
      <c r="BI30" s="165"/>
      <c r="BJ30" s="165"/>
      <c r="BK30" s="165"/>
      <c r="BL30" s="165"/>
    </row>
    <row r="31" spans="2:64" x14ac:dyDescent="0.3">
      <c r="B31" s="236" t="s">
        <v>61</v>
      </c>
      <c r="C31" s="237">
        <v>8.5</v>
      </c>
      <c r="D31" s="237">
        <v>3.8</v>
      </c>
      <c r="E31" s="238">
        <v>283</v>
      </c>
      <c r="F31" s="239">
        <f t="shared" ref="F31:F32" si="2">E31-G31</f>
        <v>268</v>
      </c>
      <c r="G31" s="239">
        <f t="shared" ref="G31:G32" si="3">ROUNDUP(0.05*E31,0)</f>
        <v>15</v>
      </c>
      <c r="H31" s="237">
        <f>C31-SUM(C32:C34)</f>
        <v>2.5</v>
      </c>
      <c r="I31"/>
      <c r="J31" s="23"/>
      <c r="O31" s="24"/>
      <c r="P31"/>
      <c r="Q31"/>
      <c r="R31"/>
      <c r="S31"/>
      <c r="T31"/>
      <c r="U31"/>
      <c r="V31"/>
      <c r="W31" s="184"/>
      <c r="AK31" s="177"/>
      <c r="BD31" s="165"/>
      <c r="BE31" s="165"/>
      <c r="BF31" s="165"/>
      <c r="BG31" s="165"/>
      <c r="BH31" s="165"/>
      <c r="BI31" s="165"/>
      <c r="BJ31" s="165"/>
      <c r="BK31" s="165"/>
      <c r="BL31" s="165"/>
    </row>
    <row r="32" spans="2:64" x14ac:dyDescent="0.3">
      <c r="B32" s="240" t="s">
        <v>62</v>
      </c>
      <c r="C32" s="241">
        <v>3</v>
      </c>
      <c r="D32" s="241">
        <v>3.3</v>
      </c>
      <c r="E32" s="395">
        <v>283</v>
      </c>
      <c r="F32" s="396">
        <f t="shared" si="2"/>
        <v>268</v>
      </c>
      <c r="G32" s="396">
        <f t="shared" si="3"/>
        <v>15</v>
      </c>
      <c r="H32" s="240"/>
      <c r="I32"/>
      <c r="J32" s="23"/>
      <c r="O32" s="24"/>
      <c r="P32"/>
      <c r="Q32"/>
      <c r="R32"/>
      <c r="S32"/>
      <c r="T32"/>
      <c r="U32"/>
      <c r="V32"/>
      <c r="W32" s="184"/>
      <c r="AK32" s="177"/>
      <c r="BD32" s="165"/>
      <c r="BE32" s="165"/>
      <c r="BF32" s="165"/>
      <c r="BG32" s="165"/>
      <c r="BH32" s="165"/>
      <c r="BI32" s="165"/>
      <c r="BJ32" s="165"/>
      <c r="BK32" s="165"/>
      <c r="BL32" s="165"/>
    </row>
    <row r="33" spans="2:64" x14ac:dyDescent="0.3">
      <c r="B33" s="240" t="s">
        <v>63</v>
      </c>
      <c r="C33" s="241">
        <v>1</v>
      </c>
      <c r="D33" s="241">
        <v>0.3</v>
      </c>
      <c r="E33" s="395"/>
      <c r="F33" s="402"/>
      <c r="G33" s="397"/>
      <c r="H33" s="240"/>
      <c r="I33"/>
      <c r="J33" s="23"/>
      <c r="O33" s="24"/>
      <c r="P33"/>
      <c r="Q33"/>
      <c r="R33"/>
      <c r="S33"/>
      <c r="T33"/>
      <c r="U33"/>
      <c r="V33"/>
      <c r="W33" s="184"/>
      <c r="AK33" s="177"/>
      <c r="BD33" s="165"/>
      <c r="BE33" s="165"/>
      <c r="BF33" s="165"/>
      <c r="BG33" s="165"/>
      <c r="BH33" s="165"/>
      <c r="BI33" s="165"/>
      <c r="BJ33" s="165"/>
      <c r="BK33" s="165"/>
      <c r="BL33" s="165"/>
    </row>
    <row r="34" spans="2:64" x14ac:dyDescent="0.3">
      <c r="B34" s="240" t="s">
        <v>64</v>
      </c>
      <c r="C34" s="241">
        <v>2</v>
      </c>
      <c r="D34" s="241">
        <v>0.7</v>
      </c>
      <c r="E34" s="395"/>
      <c r="F34" s="403"/>
      <c r="G34" s="398"/>
      <c r="H34" s="240"/>
      <c r="I34"/>
      <c r="J34" s="23"/>
      <c r="O34" s="24"/>
      <c r="P34"/>
      <c r="Q34"/>
      <c r="R34"/>
      <c r="S34"/>
      <c r="T34"/>
      <c r="U34"/>
      <c r="V34"/>
      <c r="W34" s="184"/>
      <c r="AK34" s="177"/>
      <c r="BD34" s="165"/>
      <c r="BE34" s="165"/>
      <c r="BF34" s="165"/>
      <c r="BG34" s="165"/>
      <c r="BH34" s="165"/>
      <c r="BI34" s="165"/>
      <c r="BJ34" s="165"/>
      <c r="BK34" s="165"/>
      <c r="BL34" s="165"/>
    </row>
    <row r="35" spans="2:64" x14ac:dyDescent="0.3">
      <c r="B35" s="236" t="s">
        <v>65</v>
      </c>
      <c r="C35" s="237">
        <v>4</v>
      </c>
      <c r="D35" s="237">
        <v>2.5</v>
      </c>
      <c r="E35" s="238">
        <v>81</v>
      </c>
      <c r="F35" s="239">
        <f t="shared" ref="F35:F36" si="4">E35-G35</f>
        <v>76</v>
      </c>
      <c r="G35" s="239">
        <f t="shared" ref="G35:G36" si="5">ROUNDUP(0.05*E35,0)</f>
        <v>5</v>
      </c>
      <c r="H35" s="237">
        <f>C35-SUM(C36:C38)</f>
        <v>1</v>
      </c>
      <c r="I35"/>
      <c r="J35" s="23"/>
      <c r="O35" s="24"/>
      <c r="P35"/>
      <c r="Q35"/>
      <c r="R35"/>
      <c r="S35"/>
      <c r="T35"/>
      <c r="U35"/>
      <c r="V35"/>
      <c r="W35" s="184"/>
      <c r="AK35" s="177"/>
      <c r="BD35" s="165"/>
      <c r="BE35" s="165"/>
      <c r="BF35" s="165"/>
      <c r="BG35" s="165"/>
      <c r="BH35" s="165"/>
      <c r="BI35" s="165"/>
      <c r="BJ35" s="165"/>
      <c r="BK35" s="165"/>
      <c r="BL35" s="165"/>
    </row>
    <row r="36" spans="2:64" ht="12.75" customHeight="1" x14ac:dyDescent="0.3">
      <c r="B36" s="240" t="s">
        <v>66</v>
      </c>
      <c r="C36" s="241">
        <v>1</v>
      </c>
      <c r="D36" s="241">
        <v>0.3</v>
      </c>
      <c r="E36" s="395">
        <v>81</v>
      </c>
      <c r="F36" s="396">
        <f t="shared" si="4"/>
        <v>76</v>
      </c>
      <c r="G36" s="396">
        <f t="shared" si="5"/>
        <v>5</v>
      </c>
      <c r="H36" s="240"/>
      <c r="I36"/>
      <c r="J36" s="23"/>
      <c r="O36" s="24"/>
      <c r="P36"/>
      <c r="Q36"/>
      <c r="R36"/>
      <c r="S36"/>
      <c r="T36"/>
      <c r="U36"/>
      <c r="V36"/>
      <c r="W36" s="184"/>
      <c r="AK36" s="177"/>
      <c r="BD36" s="165"/>
      <c r="BE36" s="165"/>
      <c r="BF36" s="165"/>
      <c r="BG36" s="165"/>
      <c r="BH36" s="165"/>
      <c r="BI36" s="165"/>
      <c r="BJ36" s="165"/>
      <c r="BK36" s="165"/>
      <c r="BL36" s="165"/>
    </row>
    <row r="37" spans="2:64" x14ac:dyDescent="0.3">
      <c r="B37" s="240" t="s">
        <v>67</v>
      </c>
      <c r="C37" s="241">
        <v>1</v>
      </c>
      <c r="D37" s="241">
        <v>0.3</v>
      </c>
      <c r="E37" s="395"/>
      <c r="F37" s="402"/>
      <c r="G37" s="397"/>
      <c r="H37" s="240"/>
      <c r="I37"/>
      <c r="J37" s="23"/>
      <c r="O37" s="24"/>
      <c r="P37"/>
      <c r="Q37"/>
      <c r="R37"/>
      <c r="S37"/>
      <c r="T37"/>
      <c r="U37"/>
      <c r="V37"/>
      <c r="W37" s="184"/>
      <c r="AK37" s="177"/>
      <c r="BD37" s="165"/>
      <c r="BE37" s="165"/>
      <c r="BF37" s="165"/>
      <c r="BG37" s="165"/>
      <c r="BH37" s="165"/>
      <c r="BI37" s="165"/>
      <c r="BJ37" s="165"/>
      <c r="BK37" s="165"/>
      <c r="BL37" s="165"/>
    </row>
    <row r="38" spans="2:64" x14ac:dyDescent="0.3">
      <c r="B38" s="240" t="s">
        <v>68</v>
      </c>
      <c r="C38" s="241">
        <v>1</v>
      </c>
      <c r="D38" s="241">
        <v>1.1000000000000001</v>
      </c>
      <c r="E38" s="395"/>
      <c r="F38" s="403"/>
      <c r="G38" s="398"/>
      <c r="H38" s="240"/>
      <c r="I38"/>
      <c r="J38" s="23"/>
      <c r="O38" s="24"/>
      <c r="P38"/>
      <c r="Q38"/>
      <c r="R38"/>
      <c r="S38"/>
      <c r="T38"/>
      <c r="U38"/>
      <c r="V38"/>
      <c r="W38" s="184"/>
      <c r="AK38" s="177"/>
      <c r="BD38" s="165"/>
      <c r="BE38" s="165"/>
      <c r="BF38" s="165"/>
      <c r="BG38" s="165"/>
      <c r="BH38" s="165"/>
      <c r="BI38" s="165"/>
      <c r="BJ38" s="165"/>
      <c r="BK38" s="165"/>
      <c r="BL38" s="165"/>
    </row>
    <row r="39" spans="2:64" x14ac:dyDescent="0.3">
      <c r="B39" s="236" t="s">
        <v>69</v>
      </c>
      <c r="C39" s="237">
        <v>11</v>
      </c>
      <c r="D39" s="237">
        <v>4.5999999999999996</v>
      </c>
      <c r="E39" s="238">
        <v>15</v>
      </c>
      <c r="F39" s="239">
        <f t="shared" ref="F39:F40" si="6">E39-G39</f>
        <v>14</v>
      </c>
      <c r="G39" s="239">
        <f t="shared" ref="G39:G40" si="7">ROUNDUP(0.05*E39,0)</f>
        <v>1</v>
      </c>
      <c r="H39" s="237">
        <f>C39-SUM(C40:C42)</f>
        <v>6</v>
      </c>
      <c r="I39"/>
      <c r="J39" s="23"/>
      <c r="O39" s="24"/>
      <c r="P39"/>
      <c r="Q39"/>
      <c r="R39"/>
      <c r="S39"/>
      <c r="T39"/>
      <c r="U39"/>
      <c r="V39"/>
      <c r="W39" s="184"/>
      <c r="AK39" s="177"/>
      <c r="BD39" s="165"/>
      <c r="BE39" s="165"/>
      <c r="BF39" s="165"/>
      <c r="BG39" s="165"/>
      <c r="BH39" s="165"/>
      <c r="BI39" s="165"/>
      <c r="BJ39" s="165"/>
      <c r="BK39" s="165"/>
      <c r="BL39" s="165"/>
    </row>
    <row r="40" spans="2:64" ht="17.25" customHeight="1" x14ac:dyDescent="0.3">
      <c r="B40" s="240" t="s">
        <v>70</v>
      </c>
      <c r="C40" s="241">
        <v>3</v>
      </c>
      <c r="D40" s="241">
        <v>3.4</v>
      </c>
      <c r="E40" s="395">
        <v>15</v>
      </c>
      <c r="F40" s="396">
        <f t="shared" si="6"/>
        <v>14</v>
      </c>
      <c r="G40" s="396">
        <f t="shared" si="7"/>
        <v>1</v>
      </c>
      <c r="H40" s="240"/>
      <c r="I40"/>
      <c r="J40" s="23"/>
      <c r="O40" s="24"/>
      <c r="P40"/>
      <c r="Q40"/>
      <c r="R40"/>
      <c r="S40"/>
      <c r="T40"/>
      <c r="U40"/>
      <c r="V40"/>
      <c r="W40" s="187"/>
      <c r="X40" s="188"/>
      <c r="Y40" s="188"/>
      <c r="Z40" s="188"/>
      <c r="AA40" s="188"/>
      <c r="AB40" s="188"/>
      <c r="AC40" s="188"/>
      <c r="AD40" s="188"/>
      <c r="AE40" s="188"/>
      <c r="AF40" s="188"/>
      <c r="AG40" s="188"/>
      <c r="AH40" s="188"/>
      <c r="AI40" s="188"/>
      <c r="AJ40" s="188"/>
      <c r="AK40" s="189"/>
      <c r="BD40" s="165"/>
      <c r="BE40" s="165"/>
      <c r="BF40" s="165"/>
      <c r="BG40" s="165"/>
      <c r="BH40" s="165"/>
      <c r="BI40" s="165"/>
      <c r="BJ40" s="165"/>
      <c r="BK40" s="165"/>
      <c r="BL40" s="165"/>
    </row>
    <row r="41" spans="2:64" x14ac:dyDescent="0.3">
      <c r="B41" s="240" t="s">
        <v>71</v>
      </c>
      <c r="C41" s="241">
        <v>1</v>
      </c>
      <c r="D41" s="241">
        <v>0.3</v>
      </c>
      <c r="E41" s="395"/>
      <c r="F41" s="402"/>
      <c r="G41" s="397"/>
      <c r="H41" s="240"/>
      <c r="I41"/>
      <c r="J41" s="23"/>
      <c r="O41" s="24"/>
      <c r="P41"/>
      <c r="Q41"/>
      <c r="R41"/>
      <c r="S41"/>
      <c r="T41"/>
      <c r="U41"/>
      <c r="V41"/>
      <c r="BD41" s="165"/>
      <c r="BE41" s="165"/>
      <c r="BF41" s="165"/>
      <c r="BG41" s="165"/>
      <c r="BH41" s="165"/>
      <c r="BI41" s="165"/>
      <c r="BJ41" s="165"/>
      <c r="BK41" s="165"/>
      <c r="BL41" s="165"/>
    </row>
    <row r="42" spans="2:64" x14ac:dyDescent="0.3">
      <c r="B42" s="240" t="s">
        <v>72</v>
      </c>
      <c r="C42" s="241">
        <v>1</v>
      </c>
      <c r="D42" s="241">
        <v>0.3</v>
      </c>
      <c r="E42" s="395"/>
      <c r="F42" s="403"/>
      <c r="G42" s="398"/>
      <c r="H42" s="240"/>
      <c r="I42"/>
      <c r="J42" s="23"/>
      <c r="O42" s="24"/>
      <c r="P42"/>
      <c r="Q42"/>
      <c r="R42"/>
      <c r="S42"/>
      <c r="T42"/>
      <c r="U42"/>
      <c r="V42"/>
      <c r="BD42" s="165"/>
      <c r="BE42" s="165"/>
      <c r="BF42" s="165"/>
      <c r="BG42" s="165"/>
      <c r="BH42" s="165"/>
      <c r="BI42" s="165"/>
      <c r="BJ42" s="165"/>
      <c r="BK42" s="165"/>
      <c r="BL42" s="165"/>
    </row>
    <row r="43" spans="2:64" x14ac:dyDescent="0.3">
      <c r="J43" s="23"/>
      <c r="O43" s="24"/>
      <c r="BD43" s="165"/>
      <c r="BE43" s="165"/>
      <c r="BF43" s="165"/>
      <c r="BG43" s="165"/>
      <c r="BH43" s="165"/>
      <c r="BI43" s="165"/>
      <c r="BJ43" s="165"/>
      <c r="BK43" s="165"/>
      <c r="BL43" s="165"/>
    </row>
    <row r="44" spans="2:64" x14ac:dyDescent="0.3">
      <c r="J44" s="23"/>
      <c r="O44" s="24"/>
    </row>
    <row r="45" spans="2:64" x14ac:dyDescent="0.3">
      <c r="B45" s="1" t="s">
        <v>73</v>
      </c>
    </row>
    <row r="46" spans="2:64" x14ac:dyDescent="0.3">
      <c r="AH46" s="263" t="s">
        <v>74</v>
      </c>
    </row>
    <row r="47" spans="2:64" x14ac:dyDescent="0.3">
      <c r="AH47" s="263" t="s">
        <v>75</v>
      </c>
    </row>
    <row r="84" spans="34:34" x14ac:dyDescent="0.3">
      <c r="AH84" s="263" t="s">
        <v>76</v>
      </c>
    </row>
    <row r="113" spans="3:15" ht="16.5" customHeight="1" x14ac:dyDescent="0.3">
      <c r="C113" s="2"/>
      <c r="D113" s="2"/>
      <c r="E113" s="2"/>
      <c r="F113" s="2"/>
      <c r="G113" s="2"/>
      <c r="H113" s="2"/>
      <c r="I113" s="2"/>
      <c r="J113" s="2"/>
      <c r="K113" s="2"/>
      <c r="L113" s="2"/>
      <c r="M113" s="2"/>
      <c r="N113" s="2"/>
      <c r="O113" s="2"/>
    </row>
    <row r="114" spans="3:15" x14ac:dyDescent="0.3">
      <c r="H114" s="2"/>
      <c r="I114" s="2"/>
      <c r="J114" s="2"/>
      <c r="K114" s="2"/>
      <c r="L114" s="2"/>
      <c r="M114" s="2"/>
      <c r="N114" s="2"/>
      <c r="O114" s="2"/>
    </row>
  </sheetData>
  <mergeCells count="50">
    <mergeCell ref="B9:O9"/>
    <mergeCell ref="B10:O10"/>
    <mergeCell ref="B16:O16"/>
    <mergeCell ref="E40:E42"/>
    <mergeCell ref="G40:G42"/>
    <mergeCell ref="E24:E26"/>
    <mergeCell ref="G24:G26"/>
    <mergeCell ref="E28:E30"/>
    <mergeCell ref="G28:G30"/>
    <mergeCell ref="E32:E34"/>
    <mergeCell ref="G32:G34"/>
    <mergeCell ref="K18:O19"/>
    <mergeCell ref="F40:F42"/>
    <mergeCell ref="B11:O11"/>
    <mergeCell ref="B12:O12"/>
    <mergeCell ref="B13:O13"/>
    <mergeCell ref="K23:M23"/>
    <mergeCell ref="Q23:S23"/>
    <mergeCell ref="E36:E38"/>
    <mergeCell ref="G36:G38"/>
    <mergeCell ref="K24:M24"/>
    <mergeCell ref="Q24:S24"/>
    <mergeCell ref="F24:F26"/>
    <mergeCell ref="F28:F30"/>
    <mergeCell ref="F32:F34"/>
    <mergeCell ref="F36:F38"/>
    <mergeCell ref="Q18:U19"/>
    <mergeCell ref="E20:E22"/>
    <mergeCell ref="G20:G22"/>
    <mergeCell ref="K20:M20"/>
    <mergeCell ref="Q20:S20"/>
    <mergeCell ref="F20:F22"/>
    <mergeCell ref="K21:M21"/>
    <mergeCell ref="Q21:S21"/>
    <mergeCell ref="K22:M22"/>
    <mergeCell ref="Q22:S22"/>
    <mergeCell ref="B6:O6"/>
    <mergeCell ref="B2:O2"/>
    <mergeCell ref="B3:O3"/>
    <mergeCell ref="B4:O4"/>
    <mergeCell ref="B5:O5"/>
    <mergeCell ref="W2:AK2"/>
    <mergeCell ref="W9:AC12"/>
    <mergeCell ref="AE4:AK4"/>
    <mergeCell ref="AE5:AE7"/>
    <mergeCell ref="AF5:AI5"/>
    <mergeCell ref="AJ5:AK5"/>
    <mergeCell ref="AF6:AG6"/>
    <mergeCell ref="AH6:AI6"/>
    <mergeCell ref="AJ6:AK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196BA-0A5E-4779-8846-EC333475DA15}">
  <sheetPr>
    <tabColor theme="0" tint="-0.249977111117893"/>
  </sheetPr>
  <dimension ref="B2:AO24"/>
  <sheetViews>
    <sheetView zoomScale="85" zoomScaleNormal="85" workbookViewId="0">
      <selection activeCell="L43" sqref="L43"/>
    </sheetView>
  </sheetViews>
  <sheetFormatPr defaultColWidth="9.140625" defaultRowHeight="16.5" x14ac:dyDescent="0.3"/>
  <cols>
    <col min="1" max="1" width="9.140625" style="1" customWidth="1"/>
    <col min="2" max="2" width="13.85546875" style="1" customWidth="1"/>
    <col min="3" max="3" width="13.85546875" style="1" bestFit="1" customWidth="1"/>
    <col min="4" max="4" width="7.28515625" style="1" bestFit="1" customWidth="1"/>
    <col min="5" max="5" width="7.140625" style="1" bestFit="1" customWidth="1"/>
    <col min="6" max="6" width="15.42578125" style="1" bestFit="1" customWidth="1"/>
    <col min="7" max="7" width="11.85546875" style="1" bestFit="1" customWidth="1"/>
    <col min="8" max="8" width="9" style="1" bestFit="1" customWidth="1"/>
    <col min="9" max="9" width="10" style="1" bestFit="1" customWidth="1"/>
    <col min="10" max="10" width="8.85546875" style="1" bestFit="1" customWidth="1"/>
    <col min="11" max="11" width="8.140625" style="1" bestFit="1" customWidth="1"/>
    <col min="12" max="12" width="13.28515625" style="1" bestFit="1" customWidth="1"/>
    <col min="13" max="13" width="14.7109375" style="1" bestFit="1" customWidth="1"/>
    <col min="14" max="14" width="18" style="1" bestFit="1" customWidth="1"/>
    <col min="15" max="15" width="17.42578125" style="1" bestFit="1" customWidth="1"/>
    <col min="16" max="16" width="15" style="1" bestFit="1" customWidth="1"/>
    <col min="17" max="17" width="11.7109375" style="1" bestFit="1" customWidth="1"/>
    <col min="18" max="18" width="25.85546875" style="1" bestFit="1" customWidth="1"/>
    <col min="19" max="19" width="20.28515625" style="1" bestFit="1" customWidth="1"/>
    <col min="20" max="16384" width="9.140625" style="1"/>
  </cols>
  <sheetData>
    <row r="2" spans="2:16" x14ac:dyDescent="0.3">
      <c r="B2" s="377" t="s">
        <v>4</v>
      </c>
      <c r="C2" s="378"/>
      <c r="D2" s="378"/>
      <c r="E2" s="378"/>
      <c r="F2" s="378"/>
      <c r="G2" s="378"/>
      <c r="H2" s="378"/>
      <c r="I2" s="378"/>
      <c r="J2" s="378"/>
      <c r="K2" s="378"/>
      <c r="L2" s="378"/>
      <c r="M2" s="379"/>
      <c r="N2" s="37"/>
      <c r="O2" s="37"/>
      <c r="P2" s="37"/>
    </row>
    <row r="3" spans="2:16" x14ac:dyDescent="0.3">
      <c r="B3" s="380" t="s">
        <v>77</v>
      </c>
      <c r="C3" s="381"/>
      <c r="D3" s="381"/>
      <c r="E3" s="381"/>
      <c r="F3" s="381"/>
      <c r="G3" s="381"/>
      <c r="H3" s="381"/>
      <c r="I3" s="381"/>
      <c r="J3" s="381"/>
      <c r="K3" s="381"/>
      <c r="L3" s="381"/>
      <c r="M3" s="382"/>
      <c r="N3" s="36"/>
      <c r="O3" s="36"/>
    </row>
    <row r="4" spans="2:16" ht="82.5" customHeight="1" x14ac:dyDescent="0.3">
      <c r="B4" s="428" t="s">
        <v>78</v>
      </c>
      <c r="C4" s="429"/>
      <c r="D4" s="429"/>
      <c r="E4" s="429"/>
      <c r="F4" s="429"/>
      <c r="G4" s="429"/>
      <c r="H4" s="429"/>
      <c r="I4" s="429"/>
      <c r="J4" s="429"/>
      <c r="K4" s="429"/>
      <c r="L4" s="429"/>
      <c r="M4" s="430"/>
      <c r="N4" s="36"/>
      <c r="O4" s="36"/>
      <c r="P4" s="36"/>
    </row>
    <row r="11" spans="2:16" x14ac:dyDescent="0.3">
      <c r="L11" s="174"/>
    </row>
    <row r="24" spans="41:41" x14ac:dyDescent="0.3">
      <c r="AO24" s="214"/>
    </row>
  </sheetData>
  <mergeCells count="3">
    <mergeCell ref="B2:M2"/>
    <mergeCell ref="B3:M3"/>
    <mergeCell ref="B4:M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D5E68-63A0-4310-AB45-E334003F5D75}">
  <sheetPr>
    <tabColor theme="0" tint="-0.249977111117893"/>
  </sheetPr>
  <dimension ref="B1:M7"/>
  <sheetViews>
    <sheetView zoomScaleNormal="100" workbookViewId="0">
      <selection activeCell="H9" sqref="H9"/>
    </sheetView>
  </sheetViews>
  <sheetFormatPr defaultRowHeight="15" x14ac:dyDescent="0.25"/>
  <sheetData>
    <row r="1" spans="2:13" ht="15.75" thickBot="1" x14ac:dyDescent="0.3"/>
    <row r="2" spans="2:13" ht="16.5" thickBot="1" x14ac:dyDescent="0.3">
      <c r="B2" s="434" t="s">
        <v>4</v>
      </c>
      <c r="C2" s="435"/>
      <c r="D2" s="435"/>
      <c r="E2" s="435"/>
      <c r="F2" s="435"/>
      <c r="G2" s="435"/>
      <c r="H2" s="435"/>
      <c r="I2" s="435"/>
      <c r="J2" s="435"/>
      <c r="K2" s="435"/>
      <c r="L2" s="435"/>
      <c r="M2" s="436"/>
    </row>
    <row r="3" spans="2:13" ht="16.5" x14ac:dyDescent="0.3">
      <c r="B3" s="437" t="s">
        <v>79</v>
      </c>
      <c r="C3" s="438"/>
      <c r="D3" s="438"/>
      <c r="E3" s="438"/>
      <c r="F3" s="438"/>
      <c r="G3" s="438"/>
      <c r="H3" s="438"/>
      <c r="I3" s="438"/>
      <c r="J3" s="438"/>
      <c r="K3" s="438"/>
      <c r="L3" s="438"/>
      <c r="M3" s="439"/>
    </row>
    <row r="4" spans="2:13" ht="75.75" customHeight="1" x14ac:dyDescent="0.3">
      <c r="B4" s="440" t="s">
        <v>80</v>
      </c>
      <c r="C4" s="387"/>
      <c r="D4" s="387"/>
      <c r="E4" s="387"/>
      <c r="F4" s="387"/>
      <c r="G4" s="387"/>
      <c r="H4" s="387"/>
      <c r="I4" s="387"/>
      <c r="J4" s="387"/>
      <c r="K4" s="387"/>
      <c r="L4" s="387"/>
      <c r="M4" s="441"/>
    </row>
    <row r="5" spans="2:13" ht="30" customHeight="1" x14ac:dyDescent="0.3">
      <c r="B5" s="440" t="s">
        <v>81</v>
      </c>
      <c r="C5" s="387"/>
      <c r="D5" s="387"/>
      <c r="E5" s="387"/>
      <c r="F5" s="387"/>
      <c r="G5" s="387"/>
      <c r="H5" s="387"/>
      <c r="I5" s="387"/>
      <c r="J5" s="387"/>
      <c r="K5" s="387"/>
      <c r="L5" s="387"/>
      <c r="M5" s="441"/>
    </row>
    <row r="6" spans="2:13" ht="68.25" customHeight="1" x14ac:dyDescent="0.3">
      <c r="B6" s="440" t="s">
        <v>82</v>
      </c>
      <c r="C6" s="387"/>
      <c r="D6" s="387"/>
      <c r="E6" s="387"/>
      <c r="F6" s="387"/>
      <c r="G6" s="387"/>
      <c r="H6" s="387"/>
      <c r="I6" s="387"/>
      <c r="J6" s="387"/>
      <c r="K6" s="387"/>
      <c r="L6" s="387"/>
      <c r="M6" s="441"/>
    </row>
    <row r="7" spans="2:13" ht="16.5" customHeight="1" x14ac:dyDescent="0.3">
      <c r="B7" s="431"/>
      <c r="C7" s="432"/>
      <c r="D7" s="432"/>
      <c r="E7" s="432"/>
      <c r="F7" s="432"/>
      <c r="G7" s="432"/>
      <c r="H7" s="432"/>
      <c r="I7" s="432"/>
      <c r="J7" s="432"/>
      <c r="K7" s="432"/>
      <c r="L7" s="432"/>
      <c r="M7" s="433"/>
    </row>
  </sheetData>
  <mergeCells count="6">
    <mergeCell ref="B7:M7"/>
    <mergeCell ref="B2:M2"/>
    <mergeCell ref="B3:M3"/>
    <mergeCell ref="B4:M4"/>
    <mergeCell ref="B6:M6"/>
    <mergeCell ref="B5:M5"/>
  </mergeCell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99E9-C617-43AD-BC79-FA9EE18F4EBE}">
  <sheetPr>
    <tabColor theme="0" tint="-0.249977111117893"/>
  </sheetPr>
  <dimension ref="B2:M26"/>
  <sheetViews>
    <sheetView zoomScaleNormal="100" workbookViewId="0">
      <selection activeCell="B7" sqref="B7:M7"/>
    </sheetView>
  </sheetViews>
  <sheetFormatPr defaultRowHeight="15" x14ac:dyDescent="0.25"/>
  <sheetData>
    <row r="2" spans="2:13" ht="15.75" x14ac:dyDescent="0.25">
      <c r="B2" s="434" t="s">
        <v>4</v>
      </c>
      <c r="C2" s="435"/>
      <c r="D2" s="435"/>
      <c r="E2" s="435"/>
      <c r="F2" s="435"/>
      <c r="G2" s="435"/>
      <c r="H2" s="435"/>
      <c r="I2" s="435"/>
      <c r="J2" s="435"/>
      <c r="K2" s="435"/>
      <c r="L2" s="435"/>
      <c r="M2" s="436"/>
    </row>
    <row r="3" spans="2:13" ht="33.75" customHeight="1" x14ac:dyDescent="0.3">
      <c r="B3" s="437" t="s">
        <v>83</v>
      </c>
      <c r="C3" s="438"/>
      <c r="D3" s="438"/>
      <c r="E3" s="438"/>
      <c r="F3" s="438"/>
      <c r="G3" s="438"/>
      <c r="H3" s="438"/>
      <c r="I3" s="438"/>
      <c r="J3" s="438"/>
      <c r="K3" s="438"/>
      <c r="L3" s="438"/>
      <c r="M3" s="439"/>
    </row>
    <row r="4" spans="2:13" ht="16.5" x14ac:dyDescent="0.3">
      <c r="B4" s="440" t="s">
        <v>84</v>
      </c>
      <c r="C4" s="387"/>
      <c r="D4" s="387"/>
      <c r="E4" s="387"/>
      <c r="F4" s="387"/>
      <c r="G4" s="387"/>
      <c r="H4" s="387"/>
      <c r="I4" s="387"/>
      <c r="J4" s="387"/>
      <c r="K4" s="387"/>
      <c r="L4" s="387"/>
      <c r="M4" s="441"/>
    </row>
    <row r="5" spans="2:13" ht="16.5" x14ac:dyDescent="0.3">
      <c r="B5" s="440" t="s">
        <v>85</v>
      </c>
      <c r="C5" s="387"/>
      <c r="D5" s="387"/>
      <c r="E5" s="387"/>
      <c r="F5" s="387"/>
      <c r="G5" s="387"/>
      <c r="H5" s="387"/>
      <c r="I5" s="387"/>
      <c r="J5" s="387"/>
      <c r="K5" s="387"/>
      <c r="L5" s="387"/>
      <c r="M5" s="441"/>
    </row>
    <row r="6" spans="2:13" ht="45" customHeight="1" x14ac:dyDescent="0.3">
      <c r="B6" s="440" t="s">
        <v>86</v>
      </c>
      <c r="C6" s="387"/>
      <c r="D6" s="387"/>
      <c r="E6" s="387"/>
      <c r="F6" s="387"/>
      <c r="G6" s="387"/>
      <c r="H6" s="387"/>
      <c r="I6" s="387"/>
      <c r="J6" s="387"/>
      <c r="K6" s="387"/>
      <c r="L6" s="387"/>
      <c r="M6" s="441"/>
    </row>
    <row r="7" spans="2:13" ht="58.5" customHeight="1" x14ac:dyDescent="0.3">
      <c r="B7" s="431" t="s">
        <v>87</v>
      </c>
      <c r="C7" s="432"/>
      <c r="D7" s="432"/>
      <c r="E7" s="432"/>
      <c r="F7" s="432"/>
      <c r="G7" s="432"/>
      <c r="H7" s="432"/>
      <c r="I7" s="432"/>
      <c r="J7" s="432"/>
      <c r="K7" s="432"/>
      <c r="L7" s="432"/>
      <c r="M7" s="433"/>
    </row>
    <row r="26" ht="15" customHeight="1" x14ac:dyDescent="0.25"/>
  </sheetData>
  <mergeCells count="6">
    <mergeCell ref="B7:M7"/>
    <mergeCell ref="B2:M2"/>
    <mergeCell ref="B3:M3"/>
    <mergeCell ref="B4:M4"/>
    <mergeCell ref="B5:M5"/>
    <mergeCell ref="B6:M6"/>
  </mergeCells>
  <pageMargins left="0.7" right="0.7" top="0.75" bottom="0.75" header="0.3" footer="0.3"/>
  <pageSetup paperSize="9" orientation="portrait" horizontalDpi="30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A9EE-DFF7-43E6-B952-60ED859D6233}">
  <sheetPr>
    <tabColor theme="9" tint="0.39997558519241921"/>
  </sheetPr>
  <dimension ref="B1:AL46"/>
  <sheetViews>
    <sheetView zoomScaleNormal="100" workbookViewId="0">
      <selection activeCell="B2" sqref="B2:S45"/>
    </sheetView>
  </sheetViews>
  <sheetFormatPr defaultColWidth="9.140625" defaultRowHeight="16.5" x14ac:dyDescent="0.3"/>
  <cols>
    <col min="1" max="1" width="2.7109375" style="1" customWidth="1"/>
    <col min="2" max="2" width="9.140625" style="7"/>
    <col min="3" max="3" width="12.7109375" style="88" customWidth="1"/>
    <col min="4" max="4" width="12.7109375" style="7" customWidth="1"/>
    <col min="5" max="5" width="13" style="7" customWidth="1"/>
    <col min="6" max="6" width="12.7109375" style="12" customWidth="1"/>
    <col min="7" max="8" width="12.7109375" style="1" customWidth="1"/>
    <col min="9" max="9" width="12.85546875" style="1" customWidth="1"/>
    <col min="10" max="10" width="12.7109375" style="1" customWidth="1"/>
    <col min="11" max="12" width="12.7109375" style="279" customWidth="1"/>
    <col min="13" max="13" width="13.28515625" style="1" customWidth="1"/>
    <col min="14" max="14" width="12.7109375" style="1" customWidth="1"/>
    <col min="15" max="16" width="12.7109375" style="279" customWidth="1"/>
    <col min="17" max="17" width="13.42578125" style="1" customWidth="1"/>
    <col min="18" max="18" width="12.7109375" style="1" customWidth="1"/>
    <col min="19" max="19" width="17.7109375" style="1" customWidth="1"/>
    <col min="20" max="23" width="9.140625" style="1"/>
    <col min="24" max="24" width="20.140625" style="1" customWidth="1"/>
    <col min="25" max="33" width="9.140625" style="1"/>
    <col min="34" max="34" width="26.5703125" style="1" customWidth="1"/>
    <col min="35" max="37" width="9.140625" style="1"/>
    <col min="38" max="38" width="22" style="1" customWidth="1"/>
    <col min="39" max="16384" width="9.140625" style="1"/>
  </cols>
  <sheetData>
    <row r="1" spans="2:38" x14ac:dyDescent="0.3">
      <c r="F1" s="53"/>
    </row>
    <row r="2" spans="2:38" ht="39" customHeight="1" thickBot="1" x14ac:dyDescent="0.35">
      <c r="B2" s="455" t="s">
        <v>88</v>
      </c>
      <c r="C2" s="453" t="s">
        <v>89</v>
      </c>
      <c r="D2" s="453"/>
      <c r="E2" s="453"/>
      <c r="F2" s="454"/>
      <c r="G2" s="451" t="s">
        <v>90</v>
      </c>
      <c r="H2" s="452"/>
      <c r="I2" s="452"/>
      <c r="J2" s="452"/>
      <c r="K2" s="488" t="s">
        <v>91</v>
      </c>
      <c r="L2" s="489"/>
      <c r="M2" s="489"/>
      <c r="N2" s="490"/>
      <c r="O2" s="453" t="s">
        <v>92</v>
      </c>
      <c r="P2" s="453"/>
      <c r="Q2" s="453"/>
      <c r="R2" s="454"/>
      <c r="S2" s="269" t="s">
        <v>93</v>
      </c>
    </row>
    <row r="3" spans="2:38" ht="68.25" thickBot="1" x14ac:dyDescent="0.35">
      <c r="B3" s="456"/>
      <c r="C3" s="109" t="s">
        <v>94</v>
      </c>
      <c r="D3" s="10" t="s">
        <v>95</v>
      </c>
      <c r="E3" s="10" t="s">
        <v>96</v>
      </c>
      <c r="F3" s="14" t="s">
        <v>97</v>
      </c>
      <c r="G3" s="289" t="s">
        <v>94</v>
      </c>
      <c r="H3" s="290" t="s">
        <v>95</v>
      </c>
      <c r="I3" s="290" t="s">
        <v>96</v>
      </c>
      <c r="J3" s="291" t="s">
        <v>97</v>
      </c>
      <c r="K3" s="283" t="s">
        <v>94</v>
      </c>
      <c r="L3" s="284" t="s">
        <v>95</v>
      </c>
      <c r="M3" s="285" t="s">
        <v>96</v>
      </c>
      <c r="N3" s="286" t="s">
        <v>97</v>
      </c>
      <c r="O3" s="283" t="s">
        <v>94</v>
      </c>
      <c r="P3" s="284" t="s">
        <v>95</v>
      </c>
      <c r="Q3" s="285" t="s">
        <v>96</v>
      </c>
      <c r="R3" s="286" t="s">
        <v>97</v>
      </c>
      <c r="S3" s="308" t="s">
        <v>97</v>
      </c>
    </row>
    <row r="4" spans="2:38" ht="17.25" thickBot="1" x14ac:dyDescent="0.35">
      <c r="B4" s="337">
        <v>2019</v>
      </c>
      <c r="C4" s="463" t="s">
        <v>98</v>
      </c>
      <c r="D4" s="463"/>
      <c r="E4" s="463"/>
      <c r="F4" s="459"/>
      <c r="G4" s="457" t="s">
        <v>98</v>
      </c>
      <c r="H4" s="458"/>
      <c r="I4" s="458"/>
      <c r="J4" s="459"/>
      <c r="K4" s="465" t="s">
        <v>99</v>
      </c>
      <c r="L4" s="463"/>
      <c r="M4" s="463"/>
      <c r="N4" s="463"/>
      <c r="O4" s="466" t="s">
        <v>99</v>
      </c>
      <c r="P4" s="463"/>
      <c r="Q4" s="463"/>
      <c r="R4" s="459"/>
      <c r="S4" s="326">
        <v>0</v>
      </c>
      <c r="U4" s="434" t="s">
        <v>100</v>
      </c>
      <c r="V4" s="435"/>
      <c r="W4" s="435"/>
      <c r="X4" s="435"/>
      <c r="Y4" s="435"/>
      <c r="Z4" s="435"/>
      <c r="AA4" s="435"/>
      <c r="AB4" s="435"/>
      <c r="AC4" s="435"/>
      <c r="AD4" s="435"/>
      <c r="AE4" s="435"/>
      <c r="AF4" s="435"/>
      <c r="AG4" s="435"/>
      <c r="AH4" s="435"/>
      <c r="AI4" s="435"/>
      <c r="AJ4" s="435"/>
      <c r="AK4" s="435"/>
      <c r="AL4" s="436"/>
    </row>
    <row r="5" spans="2:38" ht="17.25" thickBot="1" x14ac:dyDescent="0.35">
      <c r="B5" s="112">
        <v>2020</v>
      </c>
      <c r="C5" s="464"/>
      <c r="D5" s="464"/>
      <c r="E5" s="464"/>
      <c r="F5" s="462"/>
      <c r="G5" s="460"/>
      <c r="H5" s="461"/>
      <c r="I5" s="461"/>
      <c r="J5" s="462"/>
      <c r="K5" s="464"/>
      <c r="L5" s="464"/>
      <c r="M5" s="464"/>
      <c r="N5" s="464"/>
      <c r="O5" s="467"/>
      <c r="P5" s="464"/>
      <c r="Q5" s="464"/>
      <c r="R5" s="462"/>
      <c r="S5" s="282">
        <v>0</v>
      </c>
      <c r="U5" s="476" t="s">
        <v>101</v>
      </c>
      <c r="V5" s="477"/>
      <c r="W5" s="477"/>
      <c r="X5" s="478"/>
      <c r="Y5" s="271" t="s">
        <v>102</v>
      </c>
      <c r="Z5" s="503" t="s">
        <v>103</v>
      </c>
      <c r="AA5" s="477"/>
      <c r="AB5" s="477"/>
      <c r="AC5" s="477"/>
      <c r="AD5" s="477"/>
      <c r="AE5" s="477"/>
      <c r="AF5" s="477"/>
      <c r="AG5" s="477"/>
      <c r="AH5" s="477"/>
      <c r="AI5" s="477"/>
      <c r="AJ5" s="477"/>
      <c r="AK5" s="477"/>
      <c r="AL5" s="504"/>
    </row>
    <row r="6" spans="2:38" x14ac:dyDescent="0.3">
      <c r="B6" s="112">
        <v>2021</v>
      </c>
      <c r="C6" s="330">
        <f>C7*(1-($Y$10))</f>
        <v>13191.497931211883</v>
      </c>
      <c r="D6" s="329"/>
      <c r="E6" s="320"/>
      <c r="F6" s="309"/>
      <c r="G6" s="324">
        <f>G7*(1-($Y$10))</f>
        <v>766.44546081509293</v>
      </c>
      <c r="H6" s="321"/>
      <c r="I6" s="322"/>
      <c r="J6" s="309"/>
      <c r="K6" s="464"/>
      <c r="L6" s="464"/>
      <c r="M6" s="464"/>
      <c r="N6" s="464"/>
      <c r="O6" s="467"/>
      <c r="P6" s="464"/>
      <c r="Q6" s="464"/>
      <c r="R6" s="462"/>
      <c r="S6" s="282">
        <v>0</v>
      </c>
      <c r="U6" s="479" t="s">
        <v>104</v>
      </c>
      <c r="V6" s="480"/>
      <c r="W6" s="480"/>
      <c r="X6" s="481"/>
      <c r="Y6" s="270">
        <v>1.67</v>
      </c>
      <c r="Z6" s="484" t="s">
        <v>105</v>
      </c>
      <c r="AA6" s="485"/>
      <c r="AB6" s="485"/>
      <c r="AC6" s="485"/>
      <c r="AD6" s="485"/>
      <c r="AE6" s="485"/>
      <c r="AF6" s="485"/>
      <c r="AG6" s="485"/>
      <c r="AH6" s="485"/>
      <c r="AI6" s="485"/>
      <c r="AJ6" s="485"/>
      <c r="AK6" s="485"/>
      <c r="AL6" s="486"/>
    </row>
    <row r="7" spans="2:38" x14ac:dyDescent="0.3">
      <c r="B7" s="112">
        <v>2022</v>
      </c>
      <c r="C7" s="253">
        <f t="shared" ref="C7:C11" si="0">C8*(1-($Y$10))</f>
        <v>13257.786865539581</v>
      </c>
      <c r="D7" s="329"/>
      <c r="E7" s="320"/>
      <c r="F7" s="309"/>
      <c r="G7" s="323">
        <f>G8*(1-($Y$10))</f>
        <v>770.29694554280695</v>
      </c>
      <c r="H7" s="321"/>
      <c r="I7" s="322"/>
      <c r="J7" s="309"/>
      <c r="K7" s="464"/>
      <c r="L7" s="464"/>
      <c r="M7" s="464"/>
      <c r="N7" s="464"/>
      <c r="O7" s="467"/>
      <c r="P7" s="464"/>
      <c r="Q7" s="464"/>
      <c r="R7" s="462"/>
      <c r="S7" s="282">
        <v>0</v>
      </c>
      <c r="U7" s="473" t="s">
        <v>106</v>
      </c>
      <c r="V7" s="474"/>
      <c r="W7" s="474"/>
      <c r="X7" s="475"/>
      <c r="Y7" s="278">
        <v>1</v>
      </c>
      <c r="Z7" s="487" t="s">
        <v>107</v>
      </c>
      <c r="AA7" s="482"/>
      <c r="AB7" s="482"/>
      <c r="AC7" s="482"/>
      <c r="AD7" s="482"/>
      <c r="AE7" s="482"/>
      <c r="AF7" s="482"/>
      <c r="AG7" s="482"/>
      <c r="AH7" s="482"/>
      <c r="AI7" s="482"/>
      <c r="AJ7" s="482"/>
      <c r="AK7" s="482"/>
      <c r="AL7" s="483"/>
    </row>
    <row r="8" spans="2:38" x14ac:dyDescent="0.3">
      <c r="B8" s="112">
        <v>2023</v>
      </c>
      <c r="C8" s="253">
        <f t="shared" si="0"/>
        <v>13324.408910090031</v>
      </c>
      <c r="D8" s="329"/>
      <c r="E8" s="320"/>
      <c r="F8" s="309"/>
      <c r="G8" s="323">
        <f t="shared" ref="G8:G28" si="1">G9*(1-($Y$10))</f>
        <v>774.16778446513263</v>
      </c>
      <c r="H8" s="321"/>
      <c r="I8" s="322"/>
      <c r="J8" s="309"/>
      <c r="K8" s="464"/>
      <c r="L8" s="464"/>
      <c r="M8" s="464"/>
      <c r="N8" s="464"/>
      <c r="O8" s="467"/>
      <c r="P8" s="464"/>
      <c r="Q8" s="464"/>
      <c r="R8" s="462"/>
      <c r="S8" s="282">
        <v>0</v>
      </c>
      <c r="U8" s="470" t="s">
        <v>108</v>
      </c>
      <c r="V8" s="471"/>
      <c r="W8" s="471"/>
      <c r="X8" s="472"/>
      <c r="Y8" s="54">
        <v>17.8</v>
      </c>
      <c r="Z8" s="482" t="s">
        <v>109</v>
      </c>
      <c r="AA8" s="482"/>
      <c r="AB8" s="482"/>
      <c r="AC8" s="482"/>
      <c r="AD8" s="482"/>
      <c r="AE8" s="482"/>
      <c r="AF8" s="482"/>
      <c r="AG8" s="482"/>
      <c r="AH8" s="482"/>
      <c r="AI8" s="482"/>
      <c r="AJ8" s="482"/>
      <c r="AK8" s="482"/>
      <c r="AL8" s="483"/>
    </row>
    <row r="9" spans="2:38" x14ac:dyDescent="0.3">
      <c r="B9" s="112">
        <v>2024</v>
      </c>
      <c r="C9" s="253">
        <f t="shared" si="0"/>
        <v>13391.36573878395</v>
      </c>
      <c r="D9" s="329"/>
      <c r="E9" s="320"/>
      <c r="F9" s="309"/>
      <c r="G9" s="323">
        <f t="shared" si="1"/>
        <v>778.05807483932927</v>
      </c>
      <c r="H9" s="321"/>
      <c r="I9" s="322"/>
      <c r="J9" s="309"/>
      <c r="K9" s="464"/>
      <c r="L9" s="464"/>
      <c r="M9" s="464"/>
      <c r="N9" s="464"/>
      <c r="O9" s="467"/>
      <c r="P9" s="464"/>
      <c r="Q9" s="464"/>
      <c r="R9" s="462"/>
      <c r="S9" s="282">
        <v>0</v>
      </c>
      <c r="U9" s="470" t="s">
        <v>110</v>
      </c>
      <c r="V9" s="471"/>
      <c r="W9" s="471"/>
      <c r="X9" s="472"/>
      <c r="Y9" s="106">
        <v>32</v>
      </c>
      <c r="Z9" s="482" t="s">
        <v>109</v>
      </c>
      <c r="AA9" s="482"/>
      <c r="AB9" s="482"/>
      <c r="AC9" s="482"/>
      <c r="AD9" s="482"/>
      <c r="AE9" s="482"/>
      <c r="AF9" s="482"/>
      <c r="AG9" s="482"/>
      <c r="AH9" s="482"/>
      <c r="AI9" s="482"/>
      <c r="AJ9" s="482"/>
      <c r="AK9" s="482"/>
      <c r="AL9" s="483"/>
    </row>
    <row r="10" spans="2:38" x14ac:dyDescent="0.3">
      <c r="B10" s="112">
        <v>2025</v>
      </c>
      <c r="C10" s="253">
        <f t="shared" si="0"/>
        <v>13458.65903395372</v>
      </c>
      <c r="D10" s="329"/>
      <c r="E10" s="320"/>
      <c r="F10" s="317"/>
      <c r="G10" s="323">
        <f t="shared" si="1"/>
        <v>781.96791441138623</v>
      </c>
      <c r="H10" s="321"/>
      <c r="I10" s="322"/>
      <c r="J10" s="317"/>
      <c r="K10" s="316">
        <f>Y12</f>
        <v>404.23</v>
      </c>
      <c r="L10" s="311"/>
      <c r="M10" s="310"/>
      <c r="N10" s="310"/>
      <c r="O10" s="328">
        <f>Y13</f>
        <v>170.48</v>
      </c>
      <c r="P10" s="311"/>
      <c r="Q10" s="310"/>
      <c r="R10" s="317"/>
      <c r="S10" s="282">
        <v>0</v>
      </c>
      <c r="U10" s="468" t="s">
        <v>111</v>
      </c>
      <c r="V10" s="469"/>
      <c r="W10" s="469"/>
      <c r="X10" s="469"/>
      <c r="Y10" s="251">
        <v>5.0000000000000001E-3</v>
      </c>
      <c r="Z10" s="482" t="s">
        <v>112</v>
      </c>
      <c r="AA10" s="482"/>
      <c r="AB10" s="482"/>
      <c r="AC10" s="482"/>
      <c r="AD10" s="482"/>
      <c r="AE10" s="482"/>
      <c r="AF10" s="482"/>
      <c r="AG10" s="482"/>
      <c r="AH10" s="482"/>
      <c r="AI10" s="482"/>
      <c r="AJ10" s="482"/>
      <c r="AK10" s="482"/>
      <c r="AL10" s="483"/>
    </row>
    <row r="11" spans="2:38" x14ac:dyDescent="0.3">
      <c r="B11" s="112">
        <v>2026</v>
      </c>
      <c r="C11" s="253">
        <f t="shared" si="0"/>
        <v>13526.290486385647</v>
      </c>
      <c r="D11" s="329"/>
      <c r="E11" s="320"/>
      <c r="F11" s="317"/>
      <c r="G11" s="323">
        <f t="shared" si="1"/>
        <v>785.89740141847858</v>
      </c>
      <c r="H11" s="321"/>
      <c r="I11" s="322"/>
      <c r="J11" s="325"/>
      <c r="K11" s="315">
        <f>(($K$30-$K$10)/20)+K10</f>
        <v>435.90649999999999</v>
      </c>
      <c r="L11" s="313"/>
      <c r="M11" s="314"/>
      <c r="N11" s="314"/>
      <c r="O11" s="328">
        <f>(($O$30-$O$10)/20)+O10</f>
        <v>176.74299999999999</v>
      </c>
      <c r="P11" s="313"/>
      <c r="Q11" s="314"/>
      <c r="R11" s="318"/>
      <c r="S11" s="282">
        <v>0</v>
      </c>
      <c r="U11" s="493" t="s">
        <v>113</v>
      </c>
      <c r="V11" s="494"/>
      <c r="W11" s="494"/>
      <c r="X11" s="494"/>
      <c r="Y11" s="264">
        <v>0.01</v>
      </c>
      <c r="Z11" s="496" t="s">
        <v>112</v>
      </c>
      <c r="AA11" s="496"/>
      <c r="AB11" s="496"/>
      <c r="AC11" s="496"/>
      <c r="AD11" s="496"/>
      <c r="AE11" s="496"/>
      <c r="AF11" s="496"/>
      <c r="AG11" s="496"/>
      <c r="AH11" s="496"/>
      <c r="AI11" s="496"/>
      <c r="AJ11" s="496"/>
      <c r="AK11" s="496"/>
      <c r="AL11" s="497"/>
    </row>
    <row r="12" spans="2:38" x14ac:dyDescent="0.3">
      <c r="B12" s="112">
        <v>2027</v>
      </c>
      <c r="C12" s="110">
        <f>C13*(1-($Y$10))</f>
        <v>13594.261795362459</v>
      </c>
      <c r="D12" s="90">
        <f>C12*$Y$6</f>
        <v>22702.417198255305</v>
      </c>
      <c r="E12" s="26">
        <f>D12*$Y$8</f>
        <v>404103.02612894448</v>
      </c>
      <c r="F12" s="265">
        <f>E12/1.07^(B12-2020)</f>
        <v>251655.05521658235</v>
      </c>
      <c r="G12" s="292">
        <f t="shared" si="1"/>
        <v>789.84663459143576</v>
      </c>
      <c r="H12" s="90">
        <f>G12*$Y$7</f>
        <v>789.84663459143576</v>
      </c>
      <c r="I12" s="26">
        <f>H12*$Y$9</f>
        <v>25275.092306925944</v>
      </c>
      <c r="J12" s="293">
        <f>I12/1.07^(B12-2020)</f>
        <v>15740.057210247347</v>
      </c>
      <c r="K12" s="312">
        <f t="shared" ref="K12:K29" si="2">(($K$30-$K$10)/20)+K11</f>
        <v>467.58299999999997</v>
      </c>
      <c r="L12" s="300">
        <f t="shared" ref="L12:L41" si="3">K12*$Y$6</f>
        <v>780.86360999999988</v>
      </c>
      <c r="M12" s="301">
        <f t="shared" ref="M12:M41" si="4">L12*$Y$8</f>
        <v>13899.372257999998</v>
      </c>
      <c r="N12" s="302">
        <f t="shared" ref="N12:N41" si="5">M12/1.07^(B12-2020)</f>
        <v>8655.8304860273456</v>
      </c>
      <c r="O12" s="319">
        <f>(($O$30-$O$10)/20)+O11</f>
        <v>183.006</v>
      </c>
      <c r="P12" s="300">
        <f t="shared" ref="P12:P41" si="6">O12*$Y$7</f>
        <v>183.006</v>
      </c>
      <c r="Q12" s="301">
        <f t="shared" ref="Q12:Q41" si="7">P12*$Y$9</f>
        <v>5856.192</v>
      </c>
      <c r="R12" s="303">
        <f t="shared" ref="R12:R41" si="8">Q12/1.07^(B12-2020)</f>
        <v>3646.9420564266075</v>
      </c>
      <c r="S12" s="282">
        <f t="shared" ref="S12:S41" si="9">F12+J12+N12+R12</f>
        <v>279697.88496928365</v>
      </c>
      <c r="U12" s="493" t="s">
        <v>114</v>
      </c>
      <c r="V12" s="494"/>
      <c r="W12" s="494"/>
      <c r="X12" s="494"/>
      <c r="Y12" s="276">
        <v>404.23</v>
      </c>
      <c r="Z12" s="495" t="s">
        <v>115</v>
      </c>
      <c r="AA12" s="496"/>
      <c r="AB12" s="496"/>
      <c r="AC12" s="496"/>
      <c r="AD12" s="496"/>
      <c r="AE12" s="496"/>
      <c r="AF12" s="496"/>
      <c r="AG12" s="496"/>
      <c r="AH12" s="496"/>
      <c r="AI12" s="496"/>
      <c r="AJ12" s="496"/>
      <c r="AK12" s="496"/>
      <c r="AL12" s="497"/>
    </row>
    <row r="13" spans="2:38" x14ac:dyDescent="0.3">
      <c r="B13" s="112">
        <v>2028</v>
      </c>
      <c r="C13" s="110">
        <f t="shared" ref="C13:C28" si="10">C14*(1-($Y$10))</f>
        <v>13662.574668705989</v>
      </c>
      <c r="D13" s="90">
        <f t="shared" ref="D13:D39" si="11">C13*$Y$6</f>
        <v>22816.499696739</v>
      </c>
      <c r="E13" s="26">
        <f t="shared" ref="E13:E39" si="12">D13*$Y$8</f>
        <v>406133.69460195419</v>
      </c>
      <c r="F13" s="265">
        <f t="shared" ref="F13:F39" si="13">E13/1.07^(B13-2020)</f>
        <v>236373.50792897414</v>
      </c>
      <c r="G13" s="292">
        <f t="shared" si="1"/>
        <v>793.81571315722192</v>
      </c>
      <c r="H13" s="90">
        <f t="shared" ref="H13:H39" si="14">G13*$Y$7</f>
        <v>793.81571315722192</v>
      </c>
      <c r="I13" s="26">
        <f t="shared" ref="I13:I39" si="15">H13*$Y$9</f>
        <v>25402.102821031101</v>
      </c>
      <c r="J13" s="293">
        <f t="shared" ref="J13:J39" si="16">I13/1.07^(B13-2020)</f>
        <v>14784.255116937347</v>
      </c>
      <c r="K13" s="287">
        <f t="shared" si="2"/>
        <v>499.25949999999995</v>
      </c>
      <c r="L13" s="300">
        <f t="shared" si="3"/>
        <v>833.76336499999991</v>
      </c>
      <c r="M13" s="301">
        <f t="shared" si="4"/>
        <v>14840.987896999999</v>
      </c>
      <c r="N13" s="302">
        <f t="shared" si="5"/>
        <v>8637.5900767935418</v>
      </c>
      <c r="O13" s="280">
        <f t="shared" ref="O13:O41" si="17">(($O$30-$O$10)/20)+O12</f>
        <v>189.26900000000001</v>
      </c>
      <c r="P13" s="300">
        <f t="shared" si="6"/>
        <v>189.26900000000001</v>
      </c>
      <c r="Q13" s="301">
        <f t="shared" si="7"/>
        <v>6056.6080000000002</v>
      </c>
      <c r="R13" s="303">
        <f t="shared" si="8"/>
        <v>3525.0009987814483</v>
      </c>
      <c r="S13" s="282">
        <f t="shared" si="9"/>
        <v>263320.35412148648</v>
      </c>
      <c r="U13" s="493" t="s">
        <v>116</v>
      </c>
      <c r="V13" s="494"/>
      <c r="W13" s="494"/>
      <c r="X13" s="494"/>
      <c r="Y13" s="276">
        <v>170.48</v>
      </c>
      <c r="Z13" s="495" t="s">
        <v>115</v>
      </c>
      <c r="AA13" s="496"/>
      <c r="AB13" s="496"/>
      <c r="AC13" s="496"/>
      <c r="AD13" s="496"/>
      <c r="AE13" s="496"/>
      <c r="AF13" s="496"/>
      <c r="AG13" s="496"/>
      <c r="AH13" s="496"/>
      <c r="AI13" s="496"/>
      <c r="AJ13" s="496"/>
      <c r="AK13" s="496"/>
      <c r="AL13" s="497"/>
    </row>
    <row r="14" spans="2:38" x14ac:dyDescent="0.3">
      <c r="B14" s="112">
        <v>2029</v>
      </c>
      <c r="C14" s="110">
        <f t="shared" si="10"/>
        <v>13731.230822820089</v>
      </c>
      <c r="D14" s="90">
        <f t="shared" si="11"/>
        <v>22931.155474109546</v>
      </c>
      <c r="E14" s="26">
        <f t="shared" si="12"/>
        <v>408174.56743914995</v>
      </c>
      <c r="F14" s="265">
        <f t="shared" si="13"/>
        <v>222019.92009484256</v>
      </c>
      <c r="G14" s="292">
        <f t="shared" si="1"/>
        <v>797.80473684142908</v>
      </c>
      <c r="H14" s="90">
        <f t="shared" si="14"/>
        <v>797.80473684142908</v>
      </c>
      <c r="I14" s="26">
        <f t="shared" si="15"/>
        <v>25529.75157892573</v>
      </c>
      <c r="J14" s="293">
        <f t="shared" si="16"/>
        <v>13886.493323568635</v>
      </c>
      <c r="K14" s="287">
        <f t="shared" si="2"/>
        <v>530.93599999999992</v>
      </c>
      <c r="L14" s="300">
        <f t="shared" si="3"/>
        <v>886.66311999999982</v>
      </c>
      <c r="M14" s="301">
        <f t="shared" si="4"/>
        <v>15782.603535999997</v>
      </c>
      <c r="N14" s="302">
        <f t="shared" si="5"/>
        <v>8584.690609058287</v>
      </c>
      <c r="O14" s="280">
        <f t="shared" si="17"/>
        <v>195.53200000000001</v>
      </c>
      <c r="P14" s="300">
        <f t="shared" si="6"/>
        <v>195.53200000000001</v>
      </c>
      <c r="Q14" s="301">
        <f t="shared" si="7"/>
        <v>6257.0240000000003</v>
      </c>
      <c r="R14" s="303">
        <f t="shared" si="8"/>
        <v>3403.4064817588364</v>
      </c>
      <c r="S14" s="282">
        <f t="shared" si="9"/>
        <v>247894.5105092283</v>
      </c>
      <c r="U14" s="493" t="s">
        <v>117</v>
      </c>
      <c r="V14" s="494"/>
      <c r="W14" s="494"/>
      <c r="X14" s="494"/>
      <c r="Y14" s="276">
        <v>1037.76</v>
      </c>
      <c r="Z14" s="495" t="s">
        <v>115</v>
      </c>
      <c r="AA14" s="496"/>
      <c r="AB14" s="496"/>
      <c r="AC14" s="496"/>
      <c r="AD14" s="496"/>
      <c r="AE14" s="496"/>
      <c r="AF14" s="496"/>
      <c r="AG14" s="496"/>
      <c r="AH14" s="496"/>
      <c r="AI14" s="496"/>
      <c r="AJ14" s="496"/>
      <c r="AK14" s="496"/>
      <c r="AL14" s="497"/>
    </row>
    <row r="15" spans="2:38" ht="17.25" thickBot="1" x14ac:dyDescent="0.35">
      <c r="B15" s="112">
        <v>2030</v>
      </c>
      <c r="C15" s="110">
        <f t="shared" si="10"/>
        <v>13800.231982733758</v>
      </c>
      <c r="D15" s="90">
        <f t="shared" si="11"/>
        <v>23046.387411165375</v>
      </c>
      <c r="E15" s="26">
        <f t="shared" si="12"/>
        <v>410225.69591874367</v>
      </c>
      <c r="F15" s="265">
        <f t="shared" si="13"/>
        <v>208537.94213576533</v>
      </c>
      <c r="G15" s="292">
        <f t="shared" si="1"/>
        <v>801.81380587078297</v>
      </c>
      <c r="H15" s="90">
        <f t="shared" si="14"/>
        <v>801.81380587078297</v>
      </c>
      <c r="I15" s="26">
        <f t="shared" si="15"/>
        <v>25658.041787865055</v>
      </c>
      <c r="J15" s="293">
        <f t="shared" si="16"/>
        <v>13043.247380424209</v>
      </c>
      <c r="K15" s="287">
        <f t="shared" si="2"/>
        <v>562.61249999999995</v>
      </c>
      <c r="L15" s="300">
        <f t="shared" si="3"/>
        <v>939.56287499999985</v>
      </c>
      <c r="M15" s="301">
        <f t="shared" si="4"/>
        <v>16724.219174999998</v>
      </c>
      <c r="N15" s="302">
        <f t="shared" si="5"/>
        <v>8501.7449791171239</v>
      </c>
      <c r="O15" s="280">
        <f t="shared" si="17"/>
        <v>201.79500000000002</v>
      </c>
      <c r="P15" s="300">
        <f t="shared" si="6"/>
        <v>201.79500000000002</v>
      </c>
      <c r="Q15" s="301">
        <f t="shared" si="7"/>
        <v>6457.4400000000005</v>
      </c>
      <c r="R15" s="303">
        <f t="shared" si="8"/>
        <v>3282.6350530024124</v>
      </c>
      <c r="S15" s="282">
        <f t="shared" si="9"/>
        <v>233365.56954830908</v>
      </c>
      <c r="U15" s="498" t="s">
        <v>118</v>
      </c>
      <c r="V15" s="499"/>
      <c r="W15" s="499"/>
      <c r="X15" s="499"/>
      <c r="Y15" s="277">
        <v>295.74</v>
      </c>
      <c r="Z15" s="500" t="s">
        <v>115</v>
      </c>
      <c r="AA15" s="501"/>
      <c r="AB15" s="501"/>
      <c r="AC15" s="501"/>
      <c r="AD15" s="501"/>
      <c r="AE15" s="501"/>
      <c r="AF15" s="501"/>
      <c r="AG15" s="501"/>
      <c r="AH15" s="501"/>
      <c r="AI15" s="501"/>
      <c r="AJ15" s="501"/>
      <c r="AK15" s="501"/>
      <c r="AL15" s="502"/>
    </row>
    <row r="16" spans="2:38" x14ac:dyDescent="0.3">
      <c r="B16" s="112">
        <v>2031</v>
      </c>
      <c r="C16" s="110">
        <f t="shared" si="10"/>
        <v>13869.579882144481</v>
      </c>
      <c r="D16" s="90">
        <f t="shared" si="11"/>
        <v>23162.198403181283</v>
      </c>
      <c r="E16" s="26">
        <f t="shared" si="12"/>
        <v>412287.13157662685</v>
      </c>
      <c r="F16" s="265">
        <f t="shared" si="13"/>
        <v>195874.64625535652</v>
      </c>
      <c r="G16" s="292">
        <f t="shared" si="1"/>
        <v>805.84302097566126</v>
      </c>
      <c r="H16" s="90">
        <f t="shared" si="14"/>
        <v>805.84302097566126</v>
      </c>
      <c r="I16" s="26">
        <f t="shared" si="15"/>
        <v>25786.97667122116</v>
      </c>
      <c r="J16" s="293">
        <f t="shared" si="16"/>
        <v>12251.206857111922</v>
      </c>
      <c r="K16" s="287">
        <f t="shared" si="2"/>
        <v>594.28899999999999</v>
      </c>
      <c r="L16" s="300">
        <f t="shared" si="3"/>
        <v>992.46262999999999</v>
      </c>
      <c r="M16" s="301">
        <f t="shared" si="4"/>
        <v>17665.834814000002</v>
      </c>
      <c r="N16" s="302">
        <f t="shared" si="5"/>
        <v>8392.9108623044431</v>
      </c>
      <c r="O16" s="280">
        <f t="shared" si="17"/>
        <v>208.05800000000002</v>
      </c>
      <c r="P16" s="300">
        <f t="shared" si="6"/>
        <v>208.05800000000002</v>
      </c>
      <c r="Q16" s="301">
        <f t="shared" si="7"/>
        <v>6657.8560000000007</v>
      </c>
      <c r="R16" s="303">
        <f t="shared" si="8"/>
        <v>3163.0994249858727</v>
      </c>
      <c r="S16" s="282">
        <f t="shared" si="9"/>
        <v>219681.86339975876</v>
      </c>
    </row>
    <row r="17" spans="2:19" x14ac:dyDescent="0.3">
      <c r="B17" s="112">
        <v>2032</v>
      </c>
      <c r="C17" s="110">
        <f t="shared" si="10"/>
        <v>13939.27626346179</v>
      </c>
      <c r="D17" s="90">
        <f t="shared" si="11"/>
        <v>23278.59135998119</v>
      </c>
      <c r="E17" s="26">
        <f t="shared" si="12"/>
        <v>414358.92620766518</v>
      </c>
      <c r="F17" s="265">
        <f t="shared" si="13"/>
        <v>183980.31865435268</v>
      </c>
      <c r="G17" s="292">
        <f t="shared" si="1"/>
        <v>809.8924833926244</v>
      </c>
      <c r="H17" s="90">
        <f t="shared" si="14"/>
        <v>809.8924833926244</v>
      </c>
      <c r="I17" s="26">
        <f t="shared" si="15"/>
        <v>25916.559468563981</v>
      </c>
      <c r="J17" s="293">
        <f t="shared" si="16"/>
        <v>11507.262346416122</v>
      </c>
      <c r="K17" s="287">
        <f t="shared" si="2"/>
        <v>625.96550000000002</v>
      </c>
      <c r="L17" s="300">
        <f t="shared" si="3"/>
        <v>1045.3623849999999</v>
      </c>
      <c r="M17" s="301">
        <f t="shared" si="4"/>
        <v>18607.450452999998</v>
      </c>
      <c r="N17" s="302">
        <f t="shared" si="5"/>
        <v>8261.9305321114371</v>
      </c>
      <c r="O17" s="280">
        <f t="shared" si="17"/>
        <v>214.32100000000003</v>
      </c>
      <c r="P17" s="300">
        <f t="shared" si="6"/>
        <v>214.32100000000003</v>
      </c>
      <c r="Q17" s="301">
        <f t="shared" si="7"/>
        <v>6858.2720000000008</v>
      </c>
      <c r="R17" s="303">
        <f t="shared" si="8"/>
        <v>3045.1547877258763</v>
      </c>
      <c r="S17" s="282">
        <f t="shared" si="9"/>
        <v>206794.66632060613</v>
      </c>
    </row>
    <row r="18" spans="2:19" x14ac:dyDescent="0.3">
      <c r="B18" s="112">
        <v>2033</v>
      </c>
      <c r="C18" s="110">
        <f t="shared" si="10"/>
        <v>14009.322877851046</v>
      </c>
      <c r="D18" s="90">
        <f t="shared" si="11"/>
        <v>23395.569206011245</v>
      </c>
      <c r="E18" s="26">
        <f t="shared" si="12"/>
        <v>416441.13186700019</v>
      </c>
      <c r="F18" s="265">
        <f t="shared" si="13"/>
        <v>172808.26436326743</v>
      </c>
      <c r="G18" s="292">
        <f t="shared" si="1"/>
        <v>813.96229486695916</v>
      </c>
      <c r="H18" s="90">
        <f t="shared" si="14"/>
        <v>813.96229486695916</v>
      </c>
      <c r="I18" s="26">
        <f t="shared" si="15"/>
        <v>26046.793435742693</v>
      </c>
      <c r="J18" s="293">
        <f t="shared" si="16"/>
        <v>10808.493257329752</v>
      </c>
      <c r="K18" s="287">
        <f t="shared" si="2"/>
        <v>657.64200000000005</v>
      </c>
      <c r="L18" s="300">
        <f t="shared" si="3"/>
        <v>1098.26214</v>
      </c>
      <c r="M18" s="301">
        <f t="shared" si="4"/>
        <v>19549.066092000001</v>
      </c>
      <c r="N18" s="302">
        <f t="shared" si="5"/>
        <v>8112.1674176033121</v>
      </c>
      <c r="O18" s="280">
        <f t="shared" si="17"/>
        <v>220.58400000000003</v>
      </c>
      <c r="P18" s="300">
        <f t="shared" si="6"/>
        <v>220.58400000000003</v>
      </c>
      <c r="Q18" s="301">
        <f t="shared" si="7"/>
        <v>7058.688000000001</v>
      </c>
      <c r="R18" s="303">
        <f t="shared" si="8"/>
        <v>2929.1045687374462</v>
      </c>
      <c r="S18" s="282">
        <f t="shared" si="9"/>
        <v>194658.02960693793</v>
      </c>
    </row>
    <row r="19" spans="2:19" x14ac:dyDescent="0.3">
      <c r="B19" s="112">
        <v>2034</v>
      </c>
      <c r="C19" s="110">
        <f t="shared" si="10"/>
        <v>14079.721485277432</v>
      </c>
      <c r="D19" s="90">
        <f t="shared" si="11"/>
        <v>23513.134880413312</v>
      </c>
      <c r="E19" s="26">
        <f t="shared" si="12"/>
        <v>418533.80087135697</v>
      </c>
      <c r="F19" s="265">
        <f t="shared" si="13"/>
        <v>162314.6239264241</v>
      </c>
      <c r="G19" s="292">
        <f t="shared" si="1"/>
        <v>818.05255765523532</v>
      </c>
      <c r="H19" s="90">
        <f t="shared" si="14"/>
        <v>818.05255765523532</v>
      </c>
      <c r="I19" s="26">
        <f t="shared" si="15"/>
        <v>26177.68184496753</v>
      </c>
      <c r="J19" s="293">
        <f t="shared" si="16"/>
        <v>10152.156349344623</v>
      </c>
      <c r="K19" s="287">
        <f t="shared" si="2"/>
        <v>689.31850000000009</v>
      </c>
      <c r="L19" s="300">
        <f t="shared" si="3"/>
        <v>1151.1618950000002</v>
      </c>
      <c r="M19" s="301">
        <f t="shared" si="4"/>
        <v>20490.681731000004</v>
      </c>
      <c r="N19" s="302">
        <f t="shared" si="5"/>
        <v>7946.6396554805251</v>
      </c>
      <c r="O19" s="280">
        <f t="shared" si="17"/>
        <v>226.84700000000004</v>
      </c>
      <c r="P19" s="300">
        <f t="shared" si="6"/>
        <v>226.84700000000004</v>
      </c>
      <c r="Q19" s="301">
        <f t="shared" si="7"/>
        <v>7259.1040000000012</v>
      </c>
      <c r="R19" s="303">
        <f t="shared" si="8"/>
        <v>2815.2056855378278</v>
      </c>
      <c r="S19" s="282">
        <f t="shared" si="9"/>
        <v>183228.62561678706</v>
      </c>
    </row>
    <row r="20" spans="2:19" x14ac:dyDescent="0.3">
      <c r="B20" s="112">
        <v>2035</v>
      </c>
      <c r="C20" s="110">
        <f t="shared" si="10"/>
        <v>14150.473854550184</v>
      </c>
      <c r="D20" s="90">
        <f t="shared" si="11"/>
        <v>23631.291337098806</v>
      </c>
      <c r="E20" s="26">
        <f t="shared" si="12"/>
        <v>420636.98580035876</v>
      </c>
      <c r="F20" s="265">
        <f t="shared" si="13"/>
        <v>152458.2012176998</v>
      </c>
      <c r="G20" s="292">
        <f t="shared" si="1"/>
        <v>822.16337452787468</v>
      </c>
      <c r="H20" s="90">
        <f t="shared" si="14"/>
        <v>822.16337452787468</v>
      </c>
      <c r="I20" s="26">
        <f t="shared" si="15"/>
        <v>26309.22798489199</v>
      </c>
      <c r="J20" s="293">
        <f t="shared" si="16"/>
        <v>9535.6749629874812</v>
      </c>
      <c r="K20" s="287">
        <f t="shared" si="2"/>
        <v>720.99500000000012</v>
      </c>
      <c r="L20" s="300">
        <f t="shared" si="3"/>
        <v>1204.0616500000001</v>
      </c>
      <c r="M20" s="301">
        <f t="shared" si="4"/>
        <v>21432.297370000004</v>
      </c>
      <c r="N20" s="302">
        <f t="shared" si="5"/>
        <v>7768.0508735479152</v>
      </c>
      <c r="O20" s="280">
        <f t="shared" si="17"/>
        <v>233.11000000000004</v>
      </c>
      <c r="P20" s="300">
        <f t="shared" si="6"/>
        <v>233.11000000000004</v>
      </c>
      <c r="Q20" s="301">
        <f t="shared" si="7"/>
        <v>7459.5200000000013</v>
      </c>
      <c r="R20" s="303">
        <f t="shared" si="8"/>
        <v>2703.6733324425754</v>
      </c>
      <c r="S20" s="282">
        <f t="shared" si="9"/>
        <v>172465.60038667778</v>
      </c>
    </row>
    <row r="21" spans="2:19" x14ac:dyDescent="0.3">
      <c r="B21" s="112">
        <v>2036</v>
      </c>
      <c r="C21" s="110">
        <f t="shared" si="10"/>
        <v>14221.581763367019</v>
      </c>
      <c r="D21" s="90">
        <f t="shared" si="11"/>
        <v>23750.041544822921</v>
      </c>
      <c r="E21" s="26">
        <f t="shared" si="12"/>
        <v>422750.73949784803</v>
      </c>
      <c r="F21" s="265">
        <f t="shared" si="13"/>
        <v>143200.30171201788</v>
      </c>
      <c r="G21" s="292">
        <f t="shared" si="1"/>
        <v>826.29484877173331</v>
      </c>
      <c r="H21" s="90">
        <f t="shared" si="14"/>
        <v>826.29484877173331</v>
      </c>
      <c r="I21" s="26">
        <f t="shared" si="15"/>
        <v>26441.435160695466</v>
      </c>
      <c r="J21" s="293">
        <f t="shared" si="16"/>
        <v>8956.628904322999</v>
      </c>
      <c r="K21" s="287">
        <f t="shared" si="2"/>
        <v>752.67150000000015</v>
      </c>
      <c r="L21" s="300">
        <f t="shared" si="3"/>
        <v>1256.9614050000002</v>
      </c>
      <c r="M21" s="301">
        <f t="shared" si="4"/>
        <v>22373.913009000004</v>
      </c>
      <c r="N21" s="302">
        <f t="shared" si="5"/>
        <v>7578.8184242396846</v>
      </c>
      <c r="O21" s="280">
        <f t="shared" si="17"/>
        <v>239.37300000000005</v>
      </c>
      <c r="P21" s="300">
        <f t="shared" si="6"/>
        <v>239.37300000000005</v>
      </c>
      <c r="Q21" s="301">
        <f t="shared" si="7"/>
        <v>7659.9360000000015</v>
      </c>
      <c r="R21" s="303">
        <f t="shared" si="8"/>
        <v>2594.685340107681</v>
      </c>
      <c r="S21" s="282">
        <f t="shared" si="9"/>
        <v>162330.43438068827</v>
      </c>
    </row>
    <row r="22" spans="2:19" x14ac:dyDescent="0.3">
      <c r="B22" s="112">
        <v>2037</v>
      </c>
      <c r="C22" s="110">
        <f t="shared" si="10"/>
        <v>14293.046998358814</v>
      </c>
      <c r="D22" s="90">
        <f t="shared" si="11"/>
        <v>23869.388487259217</v>
      </c>
      <c r="E22" s="26">
        <f t="shared" si="12"/>
        <v>424875.11507321405</v>
      </c>
      <c r="F22" s="265">
        <f t="shared" si="13"/>
        <v>134504.58057767141</v>
      </c>
      <c r="G22" s="292">
        <f t="shared" si="1"/>
        <v>830.44708419269682</v>
      </c>
      <c r="H22" s="90">
        <f t="shared" si="14"/>
        <v>830.44708419269682</v>
      </c>
      <c r="I22" s="26">
        <f t="shared" si="15"/>
        <v>26574.306694166298</v>
      </c>
      <c r="J22" s="293">
        <f t="shared" si="16"/>
        <v>8412.7449437120176</v>
      </c>
      <c r="K22" s="287">
        <f t="shared" si="2"/>
        <v>784.34800000000018</v>
      </c>
      <c r="L22" s="300">
        <f t="shared" si="3"/>
        <v>1309.8611600000002</v>
      </c>
      <c r="M22" s="301">
        <f t="shared" si="4"/>
        <v>23315.528648000003</v>
      </c>
      <c r="N22" s="302">
        <f t="shared" si="5"/>
        <v>7381.0992700890993</v>
      </c>
      <c r="O22" s="280">
        <f t="shared" si="17"/>
        <v>245.63600000000005</v>
      </c>
      <c r="P22" s="300">
        <f t="shared" si="6"/>
        <v>245.63600000000005</v>
      </c>
      <c r="Q22" s="301">
        <f t="shared" si="7"/>
        <v>7860.3520000000017</v>
      </c>
      <c r="R22" s="303">
        <f t="shared" si="8"/>
        <v>2488.3861432333497</v>
      </c>
      <c r="S22" s="282">
        <f t="shared" si="9"/>
        <v>152786.81093470586</v>
      </c>
    </row>
    <row r="23" spans="2:19" x14ac:dyDescent="0.3">
      <c r="B23" s="112">
        <v>2038</v>
      </c>
      <c r="C23" s="110">
        <f t="shared" si="10"/>
        <v>14364.871355134486</v>
      </c>
      <c r="D23" s="90">
        <f t="shared" si="11"/>
        <v>23989.335163074593</v>
      </c>
      <c r="E23" s="26">
        <f t="shared" si="12"/>
        <v>427010.16590272775</v>
      </c>
      <c r="F23" s="265">
        <f t="shared" si="13"/>
        <v>126336.89999311644</v>
      </c>
      <c r="G23" s="292">
        <f t="shared" si="1"/>
        <v>834.6201851182883</v>
      </c>
      <c r="H23" s="90">
        <f t="shared" si="14"/>
        <v>834.6201851182883</v>
      </c>
      <c r="I23" s="26">
        <f t="shared" si="15"/>
        <v>26707.845923785226</v>
      </c>
      <c r="J23" s="293">
        <f t="shared" si="16"/>
        <v>7901.8878915249315</v>
      </c>
      <c r="K23" s="287">
        <f t="shared" si="2"/>
        <v>816.02450000000022</v>
      </c>
      <c r="L23" s="300">
        <f t="shared" si="3"/>
        <v>1362.7609150000003</v>
      </c>
      <c r="M23" s="301">
        <f t="shared" si="4"/>
        <v>24257.144287000006</v>
      </c>
      <c r="N23" s="302">
        <f t="shared" si="5"/>
        <v>7176.8137075299055</v>
      </c>
      <c r="O23" s="280">
        <f t="shared" si="17"/>
        <v>251.89900000000006</v>
      </c>
      <c r="P23" s="300">
        <f t="shared" si="6"/>
        <v>251.89900000000006</v>
      </c>
      <c r="Q23" s="301">
        <f t="shared" si="7"/>
        <v>8060.7680000000018</v>
      </c>
      <c r="R23" s="303">
        <f t="shared" si="8"/>
        <v>2384.8903890398174</v>
      </c>
      <c r="S23" s="282">
        <f t="shared" si="9"/>
        <v>143800.49198121112</v>
      </c>
    </row>
    <row r="24" spans="2:19" x14ac:dyDescent="0.3">
      <c r="B24" s="112">
        <v>2039</v>
      </c>
      <c r="C24" s="110">
        <f t="shared" si="10"/>
        <v>14437.056638326118</v>
      </c>
      <c r="D24" s="90">
        <f t="shared" si="11"/>
        <v>24109.884586004617</v>
      </c>
      <c r="E24" s="26">
        <f t="shared" si="12"/>
        <v>429155.94563088217</v>
      </c>
      <c r="F24" s="265">
        <f t="shared" si="13"/>
        <v>118665.19512808569</v>
      </c>
      <c r="G24" s="292">
        <f t="shared" si="1"/>
        <v>838.81425640028976</v>
      </c>
      <c r="H24" s="90">
        <f t="shared" si="14"/>
        <v>838.81425640028976</v>
      </c>
      <c r="I24" s="26">
        <f t="shared" si="15"/>
        <v>26842.056204809272</v>
      </c>
      <c r="J24" s="293">
        <f t="shared" si="16"/>
        <v>7422.0522157750729</v>
      </c>
      <c r="K24" s="287">
        <f t="shared" si="2"/>
        <v>847.70100000000025</v>
      </c>
      <c r="L24" s="300">
        <f t="shared" si="3"/>
        <v>1415.6606700000004</v>
      </c>
      <c r="M24" s="301">
        <f t="shared" si="4"/>
        <v>25198.75992600001</v>
      </c>
      <c r="N24" s="302">
        <f t="shared" si="5"/>
        <v>6967.6671010786076</v>
      </c>
      <c r="O24" s="280">
        <f t="shared" si="17"/>
        <v>258.16200000000003</v>
      </c>
      <c r="P24" s="300">
        <f t="shared" si="6"/>
        <v>258.16200000000003</v>
      </c>
      <c r="Q24" s="301">
        <f t="shared" si="7"/>
        <v>8261.1840000000011</v>
      </c>
      <c r="R24" s="303">
        <f t="shared" si="8"/>
        <v>2284.2862165358192</v>
      </c>
      <c r="S24" s="282">
        <f t="shared" si="9"/>
        <v>135339.20066147516</v>
      </c>
    </row>
    <row r="25" spans="2:19" x14ac:dyDescent="0.3">
      <c r="B25" s="112">
        <v>2040</v>
      </c>
      <c r="C25" s="110">
        <f t="shared" si="10"/>
        <v>14509.604661634288</v>
      </c>
      <c r="D25" s="90">
        <f t="shared" si="11"/>
        <v>24231.03978492926</v>
      </c>
      <c r="E25" s="26">
        <f t="shared" si="12"/>
        <v>431312.50817174086</v>
      </c>
      <c r="F25" s="265">
        <f t="shared" si="13"/>
        <v>111459.34826288986</v>
      </c>
      <c r="G25" s="292">
        <f t="shared" si="1"/>
        <v>843.02940341737667</v>
      </c>
      <c r="H25" s="90">
        <f t="shared" si="14"/>
        <v>843.02940341737667</v>
      </c>
      <c r="I25" s="26">
        <f t="shared" si="15"/>
        <v>26976.940909356053</v>
      </c>
      <c r="J25" s="293">
        <f t="shared" si="16"/>
        <v>6971.354168764452</v>
      </c>
      <c r="K25" s="287">
        <f t="shared" si="2"/>
        <v>879.37750000000028</v>
      </c>
      <c r="L25" s="300">
        <f t="shared" si="3"/>
        <v>1468.5604250000004</v>
      </c>
      <c r="M25" s="301">
        <f t="shared" si="4"/>
        <v>26140.375565000006</v>
      </c>
      <c r="N25" s="302">
        <f t="shared" si="5"/>
        <v>6755.169786687321</v>
      </c>
      <c r="O25" s="280">
        <f t="shared" si="17"/>
        <v>264.42500000000001</v>
      </c>
      <c r="P25" s="300">
        <f t="shared" si="6"/>
        <v>264.42500000000001</v>
      </c>
      <c r="Q25" s="301">
        <f t="shared" si="7"/>
        <v>8461.6</v>
      </c>
      <c r="R25" s="303">
        <f t="shared" si="8"/>
        <v>2186.6382342098314</v>
      </c>
      <c r="S25" s="282">
        <f t="shared" si="9"/>
        <v>127372.51045255146</v>
      </c>
    </row>
    <row r="26" spans="2:19" x14ac:dyDescent="0.3">
      <c r="B26" s="112">
        <v>2041</v>
      </c>
      <c r="C26" s="110">
        <f t="shared" si="10"/>
        <v>14582.517247873657</v>
      </c>
      <c r="D26" s="90">
        <f t="shared" si="11"/>
        <v>24352.803803949006</v>
      </c>
      <c r="E26" s="26">
        <f t="shared" si="12"/>
        <v>433479.90771029232</v>
      </c>
      <c r="F26" s="265">
        <f t="shared" si="13"/>
        <v>104691.07055172109</v>
      </c>
      <c r="G26" s="292">
        <f t="shared" si="1"/>
        <v>847.26573207776551</v>
      </c>
      <c r="H26" s="90">
        <f t="shared" si="14"/>
        <v>847.26573207776551</v>
      </c>
      <c r="I26" s="26">
        <f t="shared" si="15"/>
        <v>27112.503426488496</v>
      </c>
      <c r="J26" s="293">
        <f t="shared" si="16"/>
        <v>6548.0243918324813</v>
      </c>
      <c r="K26" s="287">
        <f t="shared" si="2"/>
        <v>911.05400000000031</v>
      </c>
      <c r="L26" s="300">
        <f t="shared" si="3"/>
        <v>1521.4601800000005</v>
      </c>
      <c r="M26" s="301">
        <f t="shared" si="4"/>
        <v>27081.991204000009</v>
      </c>
      <c r="N26" s="302">
        <f t="shared" si="5"/>
        <v>6540.6552907959303</v>
      </c>
      <c r="O26" s="280">
        <f t="shared" si="17"/>
        <v>270.68799999999999</v>
      </c>
      <c r="P26" s="300">
        <f t="shared" si="6"/>
        <v>270.68799999999999</v>
      </c>
      <c r="Q26" s="301">
        <f t="shared" si="7"/>
        <v>8662.0159999999996</v>
      </c>
      <c r="R26" s="303">
        <f t="shared" si="8"/>
        <v>2091.9902215680145</v>
      </c>
      <c r="S26" s="282">
        <f t="shared" si="9"/>
        <v>119871.74045591752</v>
      </c>
    </row>
    <row r="27" spans="2:19" x14ac:dyDescent="0.3">
      <c r="B27" s="112">
        <v>2042</v>
      </c>
      <c r="C27" s="110">
        <f t="shared" si="10"/>
        <v>14655.79622901875</v>
      </c>
      <c r="D27" s="90">
        <f t="shared" si="11"/>
        <v>24475.179702461312</v>
      </c>
      <c r="E27" s="26">
        <f t="shared" si="12"/>
        <v>435658.19870381139</v>
      </c>
      <c r="F27" s="265">
        <f t="shared" si="13"/>
        <v>98333.790965783206</v>
      </c>
      <c r="G27" s="292">
        <f t="shared" si="1"/>
        <v>851.52334882187483</v>
      </c>
      <c r="H27" s="90">
        <f t="shared" si="14"/>
        <v>851.52334882187483</v>
      </c>
      <c r="I27" s="26">
        <f t="shared" si="15"/>
        <v>27248.747162299995</v>
      </c>
      <c r="J27" s="293">
        <f t="shared" si="16"/>
        <v>6150.4009691752981</v>
      </c>
      <c r="K27" s="287">
        <f t="shared" si="2"/>
        <v>942.73050000000035</v>
      </c>
      <c r="L27" s="300">
        <f t="shared" si="3"/>
        <v>1574.3599350000004</v>
      </c>
      <c r="M27" s="301">
        <f t="shared" si="4"/>
        <v>28023.606843000009</v>
      </c>
      <c r="N27" s="302">
        <f t="shared" si="5"/>
        <v>6325.2970002759794</v>
      </c>
      <c r="O27" s="280">
        <f t="shared" si="17"/>
        <v>276.95099999999996</v>
      </c>
      <c r="P27" s="300">
        <f t="shared" si="6"/>
        <v>276.95099999999996</v>
      </c>
      <c r="Q27" s="301">
        <f t="shared" si="7"/>
        <v>8862.4319999999989</v>
      </c>
      <c r="R27" s="303">
        <f t="shared" si="8"/>
        <v>2000.3675779069958</v>
      </c>
      <c r="S27" s="282">
        <f t="shared" si="9"/>
        <v>112809.85651314148</v>
      </c>
    </row>
    <row r="28" spans="2:19" x14ac:dyDescent="0.3">
      <c r="B28" s="112">
        <v>2043</v>
      </c>
      <c r="C28" s="110">
        <f t="shared" si="10"/>
        <v>14729.443446249999</v>
      </c>
      <c r="D28" s="90">
        <f t="shared" si="11"/>
        <v>24598.170555237499</v>
      </c>
      <c r="E28" s="26">
        <f t="shared" si="12"/>
        <v>437847.4358832275</v>
      </c>
      <c r="F28" s="265">
        <f t="shared" si="13"/>
        <v>92362.551980259435</v>
      </c>
      <c r="G28" s="292">
        <f t="shared" si="1"/>
        <v>855.80236062499989</v>
      </c>
      <c r="H28" s="90">
        <f t="shared" si="14"/>
        <v>855.80236062499989</v>
      </c>
      <c r="I28" s="26">
        <f t="shared" si="15"/>
        <v>27385.675539999997</v>
      </c>
      <c r="J28" s="293">
        <f t="shared" si="16"/>
        <v>5776.9229034662085</v>
      </c>
      <c r="K28" s="287">
        <f t="shared" si="2"/>
        <v>974.40700000000038</v>
      </c>
      <c r="L28" s="300">
        <f t="shared" si="3"/>
        <v>1627.2596900000005</v>
      </c>
      <c r="M28" s="301">
        <f t="shared" si="4"/>
        <v>28965.222482000012</v>
      </c>
      <c r="N28" s="302">
        <f t="shared" si="5"/>
        <v>6110.1234079785718</v>
      </c>
      <c r="O28" s="280">
        <f t="shared" si="17"/>
        <v>283.21399999999994</v>
      </c>
      <c r="P28" s="300">
        <f t="shared" si="6"/>
        <v>283.21399999999994</v>
      </c>
      <c r="Q28" s="301">
        <f t="shared" si="7"/>
        <v>9062.8479999999981</v>
      </c>
      <c r="R28" s="303">
        <f t="shared" si="8"/>
        <v>1911.7795398313885</v>
      </c>
      <c r="S28" s="282">
        <f t="shared" si="9"/>
        <v>106161.37783153562</v>
      </c>
    </row>
    <row r="29" spans="2:19" x14ac:dyDescent="0.3">
      <c r="B29" s="112">
        <v>2044</v>
      </c>
      <c r="C29" s="110">
        <f>C30*(1-($Y$10))</f>
        <v>14803.46075</v>
      </c>
      <c r="D29" s="90">
        <f t="shared" si="11"/>
        <v>24721.779452499999</v>
      </c>
      <c r="E29" s="26">
        <f t="shared" si="12"/>
        <v>440047.67425450002</v>
      </c>
      <c r="F29" s="265">
        <f t="shared" si="13"/>
        <v>86753.911595603655</v>
      </c>
      <c r="G29" s="292">
        <f>G30*(1-($Y$10))</f>
        <v>860.10287499999993</v>
      </c>
      <c r="H29" s="90">
        <f t="shared" si="14"/>
        <v>860.10287499999993</v>
      </c>
      <c r="I29" s="26">
        <f t="shared" si="15"/>
        <v>27523.291999999998</v>
      </c>
      <c r="J29" s="293">
        <f t="shared" si="16"/>
        <v>5426.1239876637464</v>
      </c>
      <c r="K29" s="287">
        <f t="shared" si="2"/>
        <v>1006.0835000000004</v>
      </c>
      <c r="L29" s="300">
        <f t="shared" si="3"/>
        <v>1680.1594450000007</v>
      </c>
      <c r="M29" s="301">
        <f t="shared" si="4"/>
        <v>29906.838121000015</v>
      </c>
      <c r="N29" s="302">
        <f t="shared" si="5"/>
        <v>5896.0320489109654</v>
      </c>
      <c r="O29" s="280">
        <f t="shared" si="17"/>
        <v>289.47699999999992</v>
      </c>
      <c r="P29" s="300">
        <f t="shared" si="6"/>
        <v>289.47699999999992</v>
      </c>
      <c r="Q29" s="301">
        <f t="shared" si="7"/>
        <v>9263.2639999999974</v>
      </c>
      <c r="R29" s="303">
        <f t="shared" si="8"/>
        <v>1826.2211872933667</v>
      </c>
      <c r="S29" s="282">
        <f t="shared" si="9"/>
        <v>99902.288819471738</v>
      </c>
    </row>
    <row r="30" spans="2:19" x14ac:dyDescent="0.3">
      <c r="B30" s="112">
        <v>2045</v>
      </c>
      <c r="C30" s="110">
        <f>'Traffic Assumptions'!N24</f>
        <v>14877.85</v>
      </c>
      <c r="D30" s="90">
        <f t="shared" si="11"/>
        <v>24846.0095</v>
      </c>
      <c r="E30" s="26">
        <f t="shared" si="12"/>
        <v>442258.96910000005</v>
      </c>
      <c r="F30" s="265">
        <f t="shared" si="13"/>
        <v>81485.851308508572</v>
      </c>
      <c r="G30" s="292">
        <f>'Traffic Assumptions'!T24</f>
        <v>864.42499999999995</v>
      </c>
      <c r="H30" s="90">
        <f t="shared" si="14"/>
        <v>864.42499999999995</v>
      </c>
      <c r="I30" s="26">
        <f t="shared" si="15"/>
        <v>27661.599999999999</v>
      </c>
      <c r="J30" s="293">
        <f t="shared" si="16"/>
        <v>5096.6270489491817</v>
      </c>
      <c r="K30" s="287">
        <f>Y14</f>
        <v>1037.76</v>
      </c>
      <c r="L30" s="300">
        <f t="shared" si="3"/>
        <v>1733.0591999999999</v>
      </c>
      <c r="M30" s="301">
        <f t="shared" si="4"/>
        <v>30848.45376</v>
      </c>
      <c r="N30" s="302">
        <f t="shared" si="5"/>
        <v>5683.8022331128386</v>
      </c>
      <c r="O30" s="280">
        <f>Y15</f>
        <v>295.74</v>
      </c>
      <c r="P30" s="300">
        <f t="shared" si="6"/>
        <v>295.74</v>
      </c>
      <c r="Q30" s="301">
        <f t="shared" si="7"/>
        <v>9463.68</v>
      </c>
      <c r="R30" s="303">
        <f t="shared" si="8"/>
        <v>1743.6752563336684</v>
      </c>
      <c r="S30" s="282">
        <f t="shared" si="9"/>
        <v>94009.955846904268</v>
      </c>
    </row>
    <row r="31" spans="2:19" x14ac:dyDescent="0.3">
      <c r="B31" s="112">
        <v>2046</v>
      </c>
      <c r="C31" s="110">
        <f>C30*(1+$Y$11)</f>
        <v>15026.628500000001</v>
      </c>
      <c r="D31" s="90">
        <f t="shared" si="11"/>
        <v>25094.469594999999</v>
      </c>
      <c r="E31" s="26">
        <f t="shared" si="12"/>
        <v>446681.55879099999</v>
      </c>
      <c r="F31" s="265">
        <f t="shared" si="13"/>
        <v>76916.551235134262</v>
      </c>
      <c r="G31" s="292">
        <f>G30*(1+$Y$11)</f>
        <v>873.06925000000001</v>
      </c>
      <c r="H31" s="90">
        <f t="shared" si="14"/>
        <v>873.06925000000001</v>
      </c>
      <c r="I31" s="26">
        <f t="shared" si="15"/>
        <v>27938.216</v>
      </c>
      <c r="J31" s="293">
        <f t="shared" si="16"/>
        <v>4810.8348779800699</v>
      </c>
      <c r="K31" s="287">
        <f>(($K$30-$K$10)/20)+K30</f>
        <v>1069.4365</v>
      </c>
      <c r="L31" s="300">
        <f t="shared" si="3"/>
        <v>1785.9589550000001</v>
      </c>
      <c r="M31" s="301">
        <f t="shared" si="4"/>
        <v>31790.069399000004</v>
      </c>
      <c r="N31" s="302">
        <f t="shared" si="5"/>
        <v>5474.106673028662</v>
      </c>
      <c r="O31" s="280">
        <f t="shared" si="17"/>
        <v>302.00299999999999</v>
      </c>
      <c r="P31" s="300">
        <f t="shared" si="6"/>
        <v>302.00299999999999</v>
      </c>
      <c r="Q31" s="301">
        <f t="shared" si="7"/>
        <v>9664.0959999999995</v>
      </c>
      <c r="R31" s="303">
        <f t="shared" si="8"/>
        <v>1664.1137752298744</v>
      </c>
      <c r="S31" s="282">
        <f t="shared" si="9"/>
        <v>88865.606561372872</v>
      </c>
    </row>
    <row r="32" spans="2:19" x14ac:dyDescent="0.3">
      <c r="B32" s="112">
        <v>2047</v>
      </c>
      <c r="C32" s="110">
        <f>C31*(1+$Y$10)</f>
        <v>15101.7616425</v>
      </c>
      <c r="D32" s="90">
        <f t="shared" si="11"/>
        <v>25219.941942974998</v>
      </c>
      <c r="E32" s="26">
        <f t="shared" si="12"/>
        <v>448914.96658495499</v>
      </c>
      <c r="F32" s="265">
        <f t="shared" si="13"/>
        <v>72244.050459168153</v>
      </c>
      <c r="G32" s="292">
        <f>G31*(1+$Y$11)</f>
        <v>881.79994250000004</v>
      </c>
      <c r="H32" s="90">
        <f t="shared" si="14"/>
        <v>881.79994250000004</v>
      </c>
      <c r="I32" s="26">
        <f t="shared" si="15"/>
        <v>28217.598160000001</v>
      </c>
      <c r="J32" s="293">
        <f t="shared" si="16"/>
        <v>4541.0684362241773</v>
      </c>
      <c r="K32" s="287">
        <f t="shared" ref="K32:K41" si="18">(($K$30-$K$10)/20)+K31</f>
        <v>1101.1130000000001</v>
      </c>
      <c r="L32" s="300">
        <f t="shared" si="3"/>
        <v>1838.85871</v>
      </c>
      <c r="M32" s="301">
        <f t="shared" si="4"/>
        <v>32731.685038</v>
      </c>
      <c r="N32" s="302">
        <f t="shared" si="5"/>
        <v>5267.5220955266786</v>
      </c>
      <c r="O32" s="280">
        <f t="shared" si="17"/>
        <v>308.26599999999996</v>
      </c>
      <c r="P32" s="300">
        <f t="shared" si="6"/>
        <v>308.26599999999996</v>
      </c>
      <c r="Q32" s="301">
        <f t="shared" si="7"/>
        <v>9864.5119999999988</v>
      </c>
      <c r="R32" s="303">
        <f t="shared" si="8"/>
        <v>1587.4995393993031</v>
      </c>
      <c r="S32" s="282">
        <f t="shared" si="9"/>
        <v>83640.140530318313</v>
      </c>
    </row>
    <row r="33" spans="2:19" x14ac:dyDescent="0.3">
      <c r="B33" s="112">
        <v>2048</v>
      </c>
      <c r="C33" s="110">
        <f t="shared" ref="C33:C41" si="19">C32*(1+$Y$10)</f>
        <v>15177.270450712498</v>
      </c>
      <c r="D33" s="90">
        <f t="shared" si="11"/>
        <v>25346.04165268987</v>
      </c>
      <c r="E33" s="26">
        <f t="shared" si="12"/>
        <v>451159.54141787969</v>
      </c>
      <c r="F33" s="265">
        <f t="shared" si="13"/>
        <v>67855.393188284099</v>
      </c>
      <c r="G33" s="292">
        <f>G32*(1+$Y$11)</f>
        <v>890.61794192500008</v>
      </c>
      <c r="H33" s="90">
        <f t="shared" si="14"/>
        <v>890.61794192500008</v>
      </c>
      <c r="I33" s="26">
        <f t="shared" si="15"/>
        <v>28499.774141600003</v>
      </c>
      <c r="J33" s="293">
        <f t="shared" si="16"/>
        <v>4286.4290846602053</v>
      </c>
      <c r="K33" s="287">
        <f t="shared" si="18"/>
        <v>1132.7895000000001</v>
      </c>
      <c r="L33" s="300">
        <f t="shared" si="3"/>
        <v>1891.7584650000001</v>
      </c>
      <c r="M33" s="301">
        <f t="shared" si="4"/>
        <v>33673.300677000007</v>
      </c>
      <c r="N33" s="302">
        <f t="shared" si="5"/>
        <v>5064.5389216511785</v>
      </c>
      <c r="O33" s="280">
        <f t="shared" si="17"/>
        <v>314.52899999999994</v>
      </c>
      <c r="P33" s="300">
        <f t="shared" si="6"/>
        <v>314.52899999999994</v>
      </c>
      <c r="Q33" s="301">
        <f t="shared" si="7"/>
        <v>10064.927999999998</v>
      </c>
      <c r="R33" s="303">
        <f t="shared" si="8"/>
        <v>1513.7874391515722</v>
      </c>
      <c r="S33" s="282">
        <f t="shared" si="9"/>
        <v>78720.148633747056</v>
      </c>
    </row>
    <row r="34" spans="2:19" x14ac:dyDescent="0.3">
      <c r="B34" s="112">
        <v>2049</v>
      </c>
      <c r="C34" s="110">
        <f>C33*(1+$Y$10)</f>
        <v>15253.156802966059</v>
      </c>
      <c r="D34" s="90">
        <f t="shared" si="11"/>
        <v>25472.771860953319</v>
      </c>
      <c r="E34" s="26">
        <f t="shared" si="12"/>
        <v>453415.33912496909</v>
      </c>
      <c r="F34" s="265">
        <f t="shared" si="13"/>
        <v>63733.336592734129</v>
      </c>
      <c r="G34" s="292">
        <f>G33*(1+$Y$11)</f>
        <v>899.52412134425003</v>
      </c>
      <c r="H34" s="90">
        <f t="shared" si="14"/>
        <v>899.52412134425003</v>
      </c>
      <c r="I34" s="26">
        <f t="shared" si="15"/>
        <v>28784.771883016001</v>
      </c>
      <c r="J34" s="293">
        <f t="shared" si="16"/>
        <v>4046.0685752400068</v>
      </c>
      <c r="K34" s="287">
        <f t="shared" si="18"/>
        <v>1164.4660000000001</v>
      </c>
      <c r="L34" s="300">
        <f t="shared" si="3"/>
        <v>1944.65822</v>
      </c>
      <c r="M34" s="301">
        <f t="shared" si="4"/>
        <v>34614.916316000003</v>
      </c>
      <c r="N34" s="302">
        <f t="shared" si="5"/>
        <v>4865.5700906689153</v>
      </c>
      <c r="O34" s="280">
        <f t="shared" si="17"/>
        <v>320.79199999999992</v>
      </c>
      <c r="P34" s="300">
        <f t="shared" si="6"/>
        <v>320.79199999999992</v>
      </c>
      <c r="Q34" s="301">
        <f t="shared" si="7"/>
        <v>10265.343999999997</v>
      </c>
      <c r="R34" s="303">
        <f t="shared" si="8"/>
        <v>1442.9256532317768</v>
      </c>
      <c r="S34" s="282">
        <f t="shared" si="9"/>
        <v>74087.900911874836</v>
      </c>
    </row>
    <row r="35" spans="2:19" x14ac:dyDescent="0.3">
      <c r="B35" s="112">
        <v>2050</v>
      </c>
      <c r="C35" s="110">
        <f t="shared" si="19"/>
        <v>15329.422586980889</v>
      </c>
      <c r="D35" s="90">
        <f t="shared" si="11"/>
        <v>25600.135720258084</v>
      </c>
      <c r="E35" s="26">
        <f t="shared" si="12"/>
        <v>455682.41582059389</v>
      </c>
      <c r="F35" s="265">
        <f t="shared" si="13"/>
        <v>59861.685304390463</v>
      </c>
      <c r="G35" s="292">
        <f t="shared" ref="G35:G40" si="20">G34*(1+$Y$11)</f>
        <v>908.51936255769249</v>
      </c>
      <c r="H35" s="90">
        <f t="shared" si="14"/>
        <v>908.51936255769249</v>
      </c>
      <c r="I35" s="26">
        <f t="shared" si="15"/>
        <v>29072.61960184616</v>
      </c>
      <c r="J35" s="293">
        <f t="shared" si="16"/>
        <v>3819.1862252265487</v>
      </c>
      <c r="K35" s="287">
        <f t="shared" si="18"/>
        <v>1196.1425000000002</v>
      </c>
      <c r="L35" s="300">
        <f t="shared" si="3"/>
        <v>1997.5579750000002</v>
      </c>
      <c r="M35" s="301">
        <f t="shared" si="4"/>
        <v>35556.531955000006</v>
      </c>
      <c r="N35" s="302">
        <f t="shared" si="5"/>
        <v>4670.9590989434018</v>
      </c>
      <c r="O35" s="280">
        <f t="shared" si="17"/>
        <v>327.05499999999989</v>
      </c>
      <c r="P35" s="300">
        <f t="shared" si="6"/>
        <v>327.05499999999989</v>
      </c>
      <c r="Q35" s="301">
        <f t="shared" si="7"/>
        <v>10465.759999999997</v>
      </c>
      <c r="R35" s="303">
        <f t="shared" si="8"/>
        <v>1374.8567200318193</v>
      </c>
      <c r="S35" s="282">
        <f t="shared" si="9"/>
        <v>69726.687348592241</v>
      </c>
    </row>
    <row r="36" spans="2:19" x14ac:dyDescent="0.3">
      <c r="B36" s="112">
        <v>2051</v>
      </c>
      <c r="C36" s="110">
        <f t="shared" si="19"/>
        <v>15406.069699915792</v>
      </c>
      <c r="D36" s="90">
        <f t="shared" si="11"/>
        <v>25728.136398859369</v>
      </c>
      <c r="E36" s="26">
        <f t="shared" si="12"/>
        <v>457960.82789969677</v>
      </c>
      <c r="F36" s="265">
        <f t="shared" si="13"/>
        <v>56225.227785899435</v>
      </c>
      <c r="G36" s="292">
        <f t="shared" si="20"/>
        <v>917.60455618326944</v>
      </c>
      <c r="H36" s="90">
        <f t="shared" si="14"/>
        <v>917.60455618326944</v>
      </c>
      <c r="I36" s="26">
        <f t="shared" si="15"/>
        <v>29363.345797864622</v>
      </c>
      <c r="J36" s="293">
        <f t="shared" si="16"/>
        <v>3605.0262499801993</v>
      </c>
      <c r="K36" s="287">
        <f t="shared" si="18"/>
        <v>1227.8190000000002</v>
      </c>
      <c r="L36" s="300">
        <f t="shared" si="3"/>
        <v>2050.4577300000001</v>
      </c>
      <c r="M36" s="301">
        <f t="shared" si="4"/>
        <v>36498.147594000002</v>
      </c>
      <c r="N36" s="302">
        <f t="shared" si="5"/>
        <v>4480.9873186042123</v>
      </c>
      <c r="O36" s="280">
        <f t="shared" si="17"/>
        <v>333.31799999999987</v>
      </c>
      <c r="P36" s="300">
        <f t="shared" si="6"/>
        <v>333.31799999999987</v>
      </c>
      <c r="Q36" s="301">
        <f t="shared" si="7"/>
        <v>10666.175999999996</v>
      </c>
      <c r="R36" s="303">
        <f t="shared" si="8"/>
        <v>1309.5184973677319</v>
      </c>
      <c r="S36" s="282">
        <f t="shared" si="9"/>
        <v>65620.759851851573</v>
      </c>
    </row>
    <row r="37" spans="2:19" x14ac:dyDescent="0.3">
      <c r="B37" s="112">
        <v>2052</v>
      </c>
      <c r="C37" s="110">
        <f t="shared" si="19"/>
        <v>15483.100048415368</v>
      </c>
      <c r="D37" s="90">
        <f t="shared" si="11"/>
        <v>25856.777080853662</v>
      </c>
      <c r="E37" s="26">
        <f t="shared" si="12"/>
        <v>460250.63203919522</v>
      </c>
      <c r="F37" s="265">
        <f t="shared" si="13"/>
        <v>52809.676565260685</v>
      </c>
      <c r="G37" s="292">
        <f t="shared" si="20"/>
        <v>926.7806017451021</v>
      </c>
      <c r="H37" s="90">
        <f t="shared" si="14"/>
        <v>926.7806017451021</v>
      </c>
      <c r="I37" s="26">
        <f t="shared" si="15"/>
        <v>29656.979255843267</v>
      </c>
      <c r="J37" s="293">
        <f t="shared" si="16"/>
        <v>3402.875245308413</v>
      </c>
      <c r="K37" s="287">
        <f t="shared" si="18"/>
        <v>1259.4955000000002</v>
      </c>
      <c r="L37" s="300">
        <f t="shared" si="3"/>
        <v>2103.3574850000005</v>
      </c>
      <c r="M37" s="301">
        <f t="shared" si="4"/>
        <v>37439.763233000012</v>
      </c>
      <c r="N37" s="302">
        <f t="shared" si="5"/>
        <v>4295.8806558386032</v>
      </c>
      <c r="O37" s="280">
        <f t="shared" si="17"/>
        <v>339.58099999999985</v>
      </c>
      <c r="P37" s="300">
        <f t="shared" si="6"/>
        <v>339.58099999999985</v>
      </c>
      <c r="Q37" s="301">
        <f t="shared" si="7"/>
        <v>10866.591999999995</v>
      </c>
      <c r="R37" s="303">
        <f t="shared" si="8"/>
        <v>1246.8450208185236</v>
      </c>
      <c r="S37" s="282">
        <f t="shared" si="9"/>
        <v>61755.277487226231</v>
      </c>
    </row>
    <row r="38" spans="2:19" x14ac:dyDescent="0.3">
      <c r="B38" s="112">
        <v>2053</v>
      </c>
      <c r="C38" s="110">
        <f t="shared" si="19"/>
        <v>15560.515548657444</v>
      </c>
      <c r="D38" s="90">
        <f t="shared" si="11"/>
        <v>25986.06096625793</v>
      </c>
      <c r="E38" s="26">
        <f t="shared" si="12"/>
        <v>462551.88519939117</v>
      </c>
      <c r="F38" s="265">
        <f t="shared" si="13"/>
        <v>49601.612101015875</v>
      </c>
      <c r="G38" s="292">
        <f t="shared" si="20"/>
        <v>936.0484077625531</v>
      </c>
      <c r="H38" s="90">
        <f t="shared" si="14"/>
        <v>936.0484077625531</v>
      </c>
      <c r="I38" s="26">
        <f t="shared" si="15"/>
        <v>29953.549048401699</v>
      </c>
      <c r="J38" s="293">
        <f t="shared" si="16"/>
        <v>3212.0598109920529</v>
      </c>
      <c r="K38" s="287">
        <f t="shared" si="18"/>
        <v>1291.1720000000003</v>
      </c>
      <c r="L38" s="300">
        <f t="shared" si="3"/>
        <v>2156.2572400000004</v>
      </c>
      <c r="M38" s="301">
        <f t="shared" si="4"/>
        <v>38381.378872000008</v>
      </c>
      <c r="N38" s="302">
        <f t="shared" si="5"/>
        <v>4115.8156038871475</v>
      </c>
      <c r="O38" s="280">
        <f t="shared" si="17"/>
        <v>345.84399999999982</v>
      </c>
      <c r="P38" s="300">
        <f t="shared" si="6"/>
        <v>345.84399999999982</v>
      </c>
      <c r="Q38" s="301">
        <f t="shared" si="7"/>
        <v>11067.007999999994</v>
      </c>
      <c r="R38" s="303">
        <f t="shared" si="8"/>
        <v>1186.767269791168</v>
      </c>
      <c r="S38" s="282">
        <f t="shared" si="9"/>
        <v>58116.254785686244</v>
      </c>
    </row>
    <row r="39" spans="2:19" x14ac:dyDescent="0.3">
      <c r="B39" s="152">
        <v>2054</v>
      </c>
      <c r="C39" s="153">
        <f t="shared" si="19"/>
        <v>15638.318126400729</v>
      </c>
      <c r="D39" s="154">
        <f t="shared" si="11"/>
        <v>26115.991271089217</v>
      </c>
      <c r="E39" s="155">
        <f t="shared" si="12"/>
        <v>464864.64462538809</v>
      </c>
      <c r="F39" s="267">
        <f t="shared" si="13"/>
        <v>46588.430057496218</v>
      </c>
      <c r="G39" s="292">
        <f t="shared" si="20"/>
        <v>945.40889184017863</v>
      </c>
      <c r="H39" s="154">
        <f t="shared" si="14"/>
        <v>945.40889184017863</v>
      </c>
      <c r="I39" s="155">
        <f t="shared" si="15"/>
        <v>30253.084538885716</v>
      </c>
      <c r="J39" s="294">
        <f t="shared" si="16"/>
        <v>3031.9443075719382</v>
      </c>
      <c r="K39" s="287">
        <f t="shared" si="18"/>
        <v>1322.8485000000003</v>
      </c>
      <c r="L39" s="300">
        <f t="shared" si="3"/>
        <v>2209.1569950000003</v>
      </c>
      <c r="M39" s="301">
        <f t="shared" si="4"/>
        <v>39322.994511000004</v>
      </c>
      <c r="N39" s="302">
        <f t="shared" si="5"/>
        <v>3940.924741444574</v>
      </c>
      <c r="O39" s="280">
        <f t="shared" si="17"/>
        <v>352.1069999999998</v>
      </c>
      <c r="P39" s="300">
        <f t="shared" si="6"/>
        <v>352.1069999999998</v>
      </c>
      <c r="Q39" s="301">
        <f t="shared" si="7"/>
        <v>11267.423999999994</v>
      </c>
      <c r="R39" s="303">
        <f t="shared" si="8"/>
        <v>1129.2138497113949</v>
      </c>
      <c r="S39" s="282">
        <f t="shared" si="9"/>
        <v>54690.51295622412</v>
      </c>
    </row>
    <row r="40" spans="2:19" x14ac:dyDescent="0.3">
      <c r="B40" s="156">
        <v>2055</v>
      </c>
      <c r="C40" s="110">
        <f t="shared" si="19"/>
        <v>15716.509717032732</v>
      </c>
      <c r="D40" s="157">
        <f t="shared" ref="D40:D41" si="21">C40*$Y$6</f>
        <v>26246.57122744466</v>
      </c>
      <c r="E40" s="158">
        <f t="shared" ref="E40:E41" si="22">D40*$Y$8</f>
        <v>467188.96784851496</v>
      </c>
      <c r="F40" s="266">
        <f t="shared" ref="F40:F41" si="23">E40/1.07^(B40-2020)</f>
        <v>43758.291782975408</v>
      </c>
      <c r="G40" s="292">
        <f t="shared" si="20"/>
        <v>954.86298075858042</v>
      </c>
      <c r="H40" s="157">
        <f t="shared" ref="H40:H41" si="24">G40*$Y$7</f>
        <v>954.86298075858042</v>
      </c>
      <c r="I40" s="158">
        <f t="shared" ref="I40:I41" si="25">H40*$Y$9</f>
        <v>30555.615384274573</v>
      </c>
      <c r="J40" s="295">
        <f t="shared" ref="J40:J41" si="26">I40/1.07^(B40-2020)</f>
        <v>2861.928738923044</v>
      </c>
      <c r="K40" s="287">
        <f t="shared" si="18"/>
        <v>1354.5250000000003</v>
      </c>
      <c r="L40" s="300">
        <f t="shared" si="3"/>
        <v>2262.0567500000006</v>
      </c>
      <c r="M40" s="301">
        <f t="shared" si="4"/>
        <v>40264.610150000015</v>
      </c>
      <c r="N40" s="302">
        <f t="shared" si="5"/>
        <v>3771.3017231236286</v>
      </c>
      <c r="O40" s="280">
        <f t="shared" si="17"/>
        <v>358.36999999999978</v>
      </c>
      <c r="P40" s="300">
        <f t="shared" si="6"/>
        <v>358.36999999999978</v>
      </c>
      <c r="Q40" s="301">
        <f t="shared" si="7"/>
        <v>11467.839999999993</v>
      </c>
      <c r="R40" s="303">
        <f t="shared" si="8"/>
        <v>1074.1115980358256</v>
      </c>
      <c r="S40" s="282">
        <f t="shared" si="9"/>
        <v>51465.633843057905</v>
      </c>
    </row>
    <row r="41" spans="2:19" ht="17.25" thickBot="1" x14ac:dyDescent="0.35">
      <c r="B41" s="113">
        <v>2056</v>
      </c>
      <c r="C41" s="111">
        <f t="shared" si="19"/>
        <v>15795.092265617894</v>
      </c>
      <c r="D41" s="94">
        <f t="shared" si="21"/>
        <v>26377.804083581883</v>
      </c>
      <c r="E41" s="95">
        <f t="shared" si="22"/>
        <v>469524.91268775752</v>
      </c>
      <c r="F41" s="268">
        <f t="shared" si="23"/>
        <v>41100.077796159145</v>
      </c>
      <c r="G41" s="296">
        <f>G40*(1+$Y$11)</f>
        <v>964.41161056616625</v>
      </c>
      <c r="H41" s="297">
        <f t="shared" si="24"/>
        <v>964.41161056616625</v>
      </c>
      <c r="I41" s="298">
        <f t="shared" si="25"/>
        <v>30861.17153811732</v>
      </c>
      <c r="J41" s="299">
        <f t="shared" si="26"/>
        <v>2701.4467535628737</v>
      </c>
      <c r="K41" s="288">
        <f t="shared" si="18"/>
        <v>1386.2015000000004</v>
      </c>
      <c r="L41" s="304">
        <f t="shared" si="3"/>
        <v>2314.9565050000006</v>
      </c>
      <c r="M41" s="305">
        <f t="shared" si="4"/>
        <v>41206.225789000011</v>
      </c>
      <c r="N41" s="307">
        <f t="shared" si="5"/>
        <v>3607.0058049087165</v>
      </c>
      <c r="O41" s="281">
        <f t="shared" si="17"/>
        <v>364.63299999999975</v>
      </c>
      <c r="P41" s="304">
        <f t="shared" si="6"/>
        <v>364.63299999999975</v>
      </c>
      <c r="Q41" s="305">
        <f t="shared" si="7"/>
        <v>11668.255999999992</v>
      </c>
      <c r="R41" s="306">
        <f t="shared" si="8"/>
        <v>1021.3861211330878</v>
      </c>
      <c r="S41" s="327">
        <f t="shared" si="9"/>
        <v>48429.916475763821</v>
      </c>
    </row>
    <row r="42" spans="2:19" ht="17.25" thickBot="1" x14ac:dyDescent="0.35">
      <c r="B42" s="491" t="s">
        <v>119</v>
      </c>
      <c r="C42" s="492"/>
      <c r="D42" s="492"/>
      <c r="E42" s="492"/>
      <c r="F42" s="492"/>
      <c r="G42" s="492"/>
      <c r="H42" s="492"/>
      <c r="I42" s="492"/>
      <c r="J42" s="492"/>
      <c r="K42" s="492"/>
      <c r="L42" s="492"/>
      <c r="M42" s="492"/>
      <c r="N42" s="492"/>
      <c r="O42" s="492"/>
      <c r="P42" s="492"/>
      <c r="Q42" s="492"/>
      <c r="R42" s="492"/>
      <c r="S42" s="221">
        <f>SUM(S4:S41)</f>
        <v>3990610.6117423931</v>
      </c>
    </row>
    <row r="43" spans="2:19" ht="17.25" thickBot="1" x14ac:dyDescent="0.35">
      <c r="B43" s="448" t="s">
        <v>120</v>
      </c>
      <c r="C43" s="449"/>
      <c r="D43" s="449"/>
      <c r="E43" s="449"/>
      <c r="F43" s="449"/>
      <c r="G43" s="449"/>
      <c r="H43" s="449"/>
      <c r="I43" s="449"/>
      <c r="J43" s="449"/>
      <c r="K43" s="449"/>
      <c r="L43" s="449"/>
      <c r="M43" s="449"/>
      <c r="N43" s="449"/>
      <c r="O43" s="449"/>
      <c r="P43" s="449"/>
      <c r="Q43" s="449"/>
      <c r="R43" s="449"/>
      <c r="S43" s="450"/>
    </row>
    <row r="44" spans="2:19" ht="16.5" customHeight="1" x14ac:dyDescent="0.3">
      <c r="B44" s="445" t="s">
        <v>121</v>
      </c>
      <c r="C44" s="446"/>
      <c r="D44" s="446"/>
      <c r="E44" s="446"/>
      <c r="F44" s="446"/>
      <c r="G44" s="446"/>
      <c r="H44" s="446"/>
      <c r="I44" s="446"/>
      <c r="J44" s="446"/>
      <c r="K44" s="446"/>
      <c r="L44" s="446"/>
      <c r="M44" s="446"/>
      <c r="N44" s="446"/>
      <c r="O44" s="446"/>
      <c r="P44" s="446"/>
      <c r="Q44" s="446"/>
      <c r="R44" s="446"/>
      <c r="S44" s="447"/>
    </row>
    <row r="45" spans="2:19" ht="16.5" customHeight="1" x14ac:dyDescent="0.3">
      <c r="B45" s="442" t="s">
        <v>122</v>
      </c>
      <c r="C45" s="443"/>
      <c r="D45" s="443"/>
      <c r="E45" s="443"/>
      <c r="F45" s="443"/>
      <c r="G45" s="443"/>
      <c r="H45" s="443"/>
      <c r="I45" s="443"/>
      <c r="J45" s="443"/>
      <c r="K45" s="443"/>
      <c r="L45" s="443"/>
      <c r="M45" s="443"/>
      <c r="N45" s="443"/>
      <c r="O45" s="443"/>
      <c r="P45" s="443"/>
      <c r="Q45" s="443"/>
      <c r="R45" s="443"/>
      <c r="S45" s="444"/>
    </row>
    <row r="46" spans="2:19" x14ac:dyDescent="0.3">
      <c r="B46" s="1"/>
      <c r="C46" s="87"/>
      <c r="D46" s="63"/>
      <c r="E46" s="1"/>
      <c r="F46" s="1"/>
    </row>
  </sheetData>
  <mergeCells count="36">
    <mergeCell ref="U4:AL4"/>
    <mergeCell ref="K2:N2"/>
    <mergeCell ref="O2:R2"/>
    <mergeCell ref="B42:R42"/>
    <mergeCell ref="U14:X14"/>
    <mergeCell ref="Z14:AL14"/>
    <mergeCell ref="U12:X12"/>
    <mergeCell ref="Z12:AL12"/>
    <mergeCell ref="U13:X13"/>
    <mergeCell ref="Z13:AL13"/>
    <mergeCell ref="U15:X15"/>
    <mergeCell ref="Z15:AL15"/>
    <mergeCell ref="Z11:AL11"/>
    <mergeCell ref="U11:X11"/>
    <mergeCell ref="Z5:AL5"/>
    <mergeCell ref="Z10:AL10"/>
    <mergeCell ref="Z9:AL9"/>
    <mergeCell ref="Z8:AL8"/>
    <mergeCell ref="Z6:AL6"/>
    <mergeCell ref="Z7:AL7"/>
    <mergeCell ref="U8:X8"/>
    <mergeCell ref="U10:X10"/>
    <mergeCell ref="U9:X9"/>
    <mergeCell ref="U7:X7"/>
    <mergeCell ref="U5:X5"/>
    <mergeCell ref="U6:X6"/>
    <mergeCell ref="B45:S45"/>
    <mergeCell ref="B44:S44"/>
    <mergeCell ref="B43:S43"/>
    <mergeCell ref="G2:J2"/>
    <mergeCell ref="C2:F2"/>
    <mergeCell ref="B2:B3"/>
    <mergeCell ref="G4:J5"/>
    <mergeCell ref="C4:F5"/>
    <mergeCell ref="K4:N9"/>
    <mergeCell ref="O4:R9"/>
  </mergeCells>
  <pageMargins left="0.7" right="0.7" top="0.75" bottom="0.75" header="0.3" footer="0.3"/>
  <pageSetup orientation="portrait" r:id="rId1"/>
  <ignoredErrors>
    <ignoredError sqref="G30 K30 O3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2D53E-F65C-49F8-8A61-E7E47E88BA39}">
  <sheetPr>
    <tabColor theme="9" tint="0.39997558519241921"/>
  </sheetPr>
  <dimension ref="B1:AB58"/>
  <sheetViews>
    <sheetView topLeftCell="A4" zoomScale="85" zoomScaleNormal="85" workbookViewId="0">
      <selection activeCell="B45" sqref="B2:I45"/>
    </sheetView>
  </sheetViews>
  <sheetFormatPr defaultColWidth="9.140625" defaultRowHeight="16.5" x14ac:dyDescent="0.3"/>
  <cols>
    <col min="1" max="1" width="9.140625" style="1"/>
    <col min="2" max="2" width="9.140625" style="3"/>
    <col min="3" max="3" width="12.7109375" style="3" customWidth="1"/>
    <col min="4" max="5" width="16.7109375" style="3" customWidth="1"/>
    <col min="6" max="6" width="12.7109375" style="1" customWidth="1"/>
    <col min="7" max="8" width="16.7109375" style="1" customWidth="1"/>
    <col min="9" max="9" width="23.7109375" style="1" customWidth="1"/>
    <col min="10" max="14" width="9.140625" style="1"/>
    <col min="15" max="15" width="9.140625" style="1" bestFit="1" customWidth="1"/>
    <col min="16" max="24" width="9.140625" style="1"/>
    <col min="25" max="25" width="24.42578125" style="1" customWidth="1"/>
    <col min="26" max="16384" width="9.140625" style="1"/>
  </cols>
  <sheetData>
    <row r="1" spans="2:28" x14ac:dyDescent="0.3">
      <c r="B1" s="16"/>
      <c r="C1" s="16"/>
    </row>
    <row r="2" spans="2:28" ht="36" customHeight="1" thickBot="1" x14ac:dyDescent="0.35">
      <c r="B2" s="455" t="s">
        <v>88</v>
      </c>
      <c r="C2" s="453" t="s">
        <v>123</v>
      </c>
      <c r="D2" s="453"/>
      <c r="E2" s="454"/>
      <c r="F2" s="508" t="s">
        <v>124</v>
      </c>
      <c r="G2" s="453"/>
      <c r="H2" s="454"/>
      <c r="I2" s="108" t="s">
        <v>125</v>
      </c>
    </row>
    <row r="3" spans="2:28" ht="51.75" thickBot="1" x14ac:dyDescent="0.35">
      <c r="B3" s="456"/>
      <c r="C3" s="283" t="s">
        <v>126</v>
      </c>
      <c r="D3" s="285" t="s">
        <v>127</v>
      </c>
      <c r="E3" s="286" t="s">
        <v>128</v>
      </c>
      <c r="F3" s="89" t="s">
        <v>126</v>
      </c>
      <c r="G3" s="10" t="s">
        <v>127</v>
      </c>
      <c r="H3" s="105" t="s">
        <v>128</v>
      </c>
      <c r="I3" s="96" t="s">
        <v>128</v>
      </c>
    </row>
    <row r="4" spans="2:28" ht="17.25" thickBot="1" x14ac:dyDescent="0.35">
      <c r="B4" s="115">
        <v>2019</v>
      </c>
      <c r="C4" s="457" t="s">
        <v>98</v>
      </c>
      <c r="D4" s="458"/>
      <c r="E4" s="458"/>
      <c r="F4" s="516" t="s">
        <v>98</v>
      </c>
      <c r="G4" s="517"/>
      <c r="H4" s="518"/>
      <c r="I4" s="339">
        <v>0</v>
      </c>
      <c r="K4" s="524" t="s">
        <v>100</v>
      </c>
      <c r="L4" s="525"/>
      <c r="M4" s="525"/>
      <c r="N4" s="525"/>
      <c r="O4" s="525"/>
      <c r="P4" s="525"/>
      <c r="Q4" s="525"/>
      <c r="R4" s="525"/>
      <c r="S4" s="525"/>
      <c r="T4" s="525"/>
      <c r="U4" s="525"/>
      <c r="V4" s="525"/>
      <c r="W4" s="525"/>
      <c r="X4" s="525"/>
      <c r="Y4" s="525"/>
      <c r="Z4" s="525"/>
      <c r="AA4" s="525"/>
      <c r="AB4" s="526"/>
    </row>
    <row r="5" spans="2:28" ht="17.25" thickBot="1" x14ac:dyDescent="0.35">
      <c r="B5" s="115">
        <v>2020</v>
      </c>
      <c r="C5" s="460"/>
      <c r="D5" s="461"/>
      <c r="E5" s="461"/>
      <c r="F5" s="519"/>
      <c r="G5" s="464"/>
      <c r="H5" s="520"/>
      <c r="I5" s="339">
        <v>0</v>
      </c>
      <c r="K5" s="527" t="s">
        <v>101</v>
      </c>
      <c r="L5" s="528"/>
      <c r="M5" s="528"/>
      <c r="N5" s="528"/>
      <c r="O5" s="10" t="s">
        <v>102</v>
      </c>
      <c r="P5" s="521" t="s">
        <v>103</v>
      </c>
      <c r="Q5" s="522"/>
      <c r="R5" s="522"/>
      <c r="S5" s="522"/>
      <c r="T5" s="522"/>
      <c r="U5" s="522"/>
      <c r="V5" s="522"/>
      <c r="W5" s="522"/>
      <c r="X5" s="522"/>
      <c r="Y5" s="522"/>
      <c r="Z5" s="522"/>
      <c r="AA5" s="522"/>
      <c r="AB5" s="523"/>
    </row>
    <row r="6" spans="2:28" x14ac:dyDescent="0.3">
      <c r="B6" s="262">
        <v>2021</v>
      </c>
      <c r="C6" s="332">
        <f>C7*(1-($O$8))</f>
        <v>-35850.216554463506</v>
      </c>
      <c r="D6" s="331"/>
      <c r="E6" s="331"/>
      <c r="F6" s="340">
        <f t="shared" ref="F6:F28" si="0">F7*(1-$O$8)</f>
        <v>-1424.9408567266535</v>
      </c>
      <c r="G6" s="341"/>
      <c r="H6" s="342"/>
      <c r="I6" s="339">
        <v>0</v>
      </c>
      <c r="K6" s="529" t="s">
        <v>129</v>
      </c>
      <c r="L6" s="474"/>
      <c r="M6" s="474"/>
      <c r="N6" s="474"/>
      <c r="O6" s="107">
        <v>0.45</v>
      </c>
      <c r="P6" s="540" t="s">
        <v>130</v>
      </c>
      <c r="Q6" s="541"/>
      <c r="R6" s="541"/>
      <c r="S6" s="541"/>
      <c r="T6" s="541"/>
      <c r="U6" s="541"/>
      <c r="V6" s="541"/>
      <c r="W6" s="541"/>
      <c r="X6" s="541"/>
      <c r="Y6" s="541"/>
      <c r="Z6" s="541"/>
      <c r="AA6" s="541"/>
      <c r="AB6" s="542"/>
    </row>
    <row r="7" spans="2:28" x14ac:dyDescent="0.3">
      <c r="B7" s="115">
        <v>2022</v>
      </c>
      <c r="C7" s="333">
        <f t="shared" ref="C7:C28" si="1">C8*(1-($O$8))</f>
        <v>-36030.368396445738</v>
      </c>
      <c r="D7" s="331"/>
      <c r="E7" s="331"/>
      <c r="F7" s="343">
        <f t="shared" si="0"/>
        <v>-1432.1013635443753</v>
      </c>
      <c r="G7" s="341"/>
      <c r="H7" s="342"/>
      <c r="I7" s="339">
        <v>0</v>
      </c>
      <c r="K7" s="529" t="s">
        <v>131</v>
      </c>
      <c r="L7" s="474"/>
      <c r="M7" s="474"/>
      <c r="N7" s="474"/>
      <c r="O7" s="272">
        <v>0.94</v>
      </c>
      <c r="P7" s="537" t="s">
        <v>132</v>
      </c>
      <c r="Q7" s="538"/>
      <c r="R7" s="538"/>
      <c r="S7" s="538"/>
      <c r="T7" s="538"/>
      <c r="U7" s="538"/>
      <c r="V7" s="538"/>
      <c r="W7" s="538"/>
      <c r="X7" s="538"/>
      <c r="Y7" s="538"/>
      <c r="Z7" s="538"/>
      <c r="AA7" s="538"/>
      <c r="AB7" s="539"/>
    </row>
    <row r="8" spans="2:28" x14ac:dyDescent="0.3">
      <c r="B8" s="115">
        <v>2023</v>
      </c>
      <c r="C8" s="333">
        <f t="shared" si="1"/>
        <v>-36211.425524066071</v>
      </c>
      <c r="D8" s="331"/>
      <c r="E8" s="331"/>
      <c r="F8" s="343">
        <f t="shared" si="0"/>
        <v>-1439.2978528084175</v>
      </c>
      <c r="G8" s="341"/>
      <c r="H8" s="342"/>
      <c r="I8" s="339">
        <v>0</v>
      </c>
      <c r="K8" s="534" t="s">
        <v>111</v>
      </c>
      <c r="L8" s="469"/>
      <c r="M8" s="469"/>
      <c r="N8" s="469"/>
      <c r="O8" s="251">
        <v>5.0000000000000001E-3</v>
      </c>
      <c r="P8" s="535" t="s">
        <v>112</v>
      </c>
      <c r="Q8" s="535"/>
      <c r="R8" s="535"/>
      <c r="S8" s="535"/>
      <c r="T8" s="535"/>
      <c r="U8" s="535"/>
      <c r="V8" s="535"/>
      <c r="W8" s="535"/>
      <c r="X8" s="535"/>
      <c r="Y8" s="535"/>
      <c r="Z8" s="535"/>
      <c r="AA8" s="535"/>
      <c r="AB8" s="536"/>
    </row>
    <row r="9" spans="2:28" ht="17.25" thickBot="1" x14ac:dyDescent="0.35">
      <c r="B9" s="115">
        <v>2024</v>
      </c>
      <c r="C9" s="333">
        <f t="shared" si="1"/>
        <v>-36393.392486498567</v>
      </c>
      <c r="D9" s="331"/>
      <c r="E9" s="331"/>
      <c r="F9" s="343">
        <f t="shared" si="0"/>
        <v>-1446.530505335093</v>
      </c>
      <c r="G9" s="341"/>
      <c r="H9" s="342"/>
      <c r="I9" s="339">
        <v>0</v>
      </c>
      <c r="K9" s="530" t="s">
        <v>113</v>
      </c>
      <c r="L9" s="531"/>
      <c r="M9" s="531"/>
      <c r="N9" s="531"/>
      <c r="O9" s="252">
        <v>0.01</v>
      </c>
      <c r="P9" s="532" t="s">
        <v>112</v>
      </c>
      <c r="Q9" s="532"/>
      <c r="R9" s="532"/>
      <c r="S9" s="532"/>
      <c r="T9" s="532"/>
      <c r="U9" s="532"/>
      <c r="V9" s="532"/>
      <c r="W9" s="532"/>
      <c r="X9" s="532"/>
      <c r="Y9" s="532"/>
      <c r="Z9" s="532"/>
      <c r="AA9" s="532"/>
      <c r="AB9" s="533"/>
    </row>
    <row r="10" spans="2:28" x14ac:dyDescent="0.3">
      <c r="B10" s="115">
        <v>2025</v>
      </c>
      <c r="C10" s="333">
        <f t="shared" si="1"/>
        <v>-36576.273855777457</v>
      </c>
      <c r="D10" s="331"/>
      <c r="E10" s="322"/>
      <c r="F10" s="343">
        <f t="shared" si="0"/>
        <v>-1453.7995028493397</v>
      </c>
      <c r="G10" s="341"/>
      <c r="H10" s="344"/>
      <c r="I10" s="339">
        <v>0</v>
      </c>
    </row>
    <row r="11" spans="2:28" x14ac:dyDescent="0.3">
      <c r="B11" s="115">
        <v>2026</v>
      </c>
      <c r="C11" s="333">
        <f t="shared" si="1"/>
        <v>-36760.074226912016</v>
      </c>
      <c r="D11" s="331"/>
      <c r="E11" s="322"/>
      <c r="F11" s="343">
        <f t="shared" si="0"/>
        <v>-1461.1050279892861</v>
      </c>
      <c r="G11" s="341"/>
      <c r="H11" s="344"/>
      <c r="I11" s="339">
        <v>0</v>
      </c>
    </row>
    <row r="12" spans="2:28" x14ac:dyDescent="0.3">
      <c r="B12" s="115">
        <v>2027</v>
      </c>
      <c r="C12" s="334">
        <f>C13*(1-($O$8))</f>
        <v>-36944.798218002026</v>
      </c>
      <c r="D12" s="150">
        <f>C12*$O$6</f>
        <v>-16625.159198100911</v>
      </c>
      <c r="E12" s="266">
        <f>D12/1.07^(B12-2020)</f>
        <v>-10353.313599407578</v>
      </c>
      <c r="F12" s="345">
        <f t="shared" si="0"/>
        <v>-1468.4472643108404</v>
      </c>
      <c r="G12" s="91">
        <f>F12*$O$7</f>
        <v>-1380.3404284521898</v>
      </c>
      <c r="H12" s="103">
        <f>G12/1.07^(B12-2020)</f>
        <v>-859.60664553146717</v>
      </c>
      <c r="I12" s="339">
        <f>E12+H12</f>
        <v>-11212.920244939045</v>
      </c>
    </row>
    <row r="13" spans="2:28" x14ac:dyDescent="0.3">
      <c r="B13" s="115">
        <v>2028</v>
      </c>
      <c r="C13" s="334">
        <f t="shared" si="1"/>
        <v>-37130.450470353797</v>
      </c>
      <c r="D13" s="91">
        <f t="shared" ref="D13:D39" si="2">C13*$O$6</f>
        <v>-16708.702711659211</v>
      </c>
      <c r="E13" s="265">
        <f t="shared" ref="E13:E39" si="3">D13/1.07^(B13-2020)</f>
        <v>-9724.6171036562064</v>
      </c>
      <c r="F13" s="345">
        <f t="shared" si="0"/>
        <v>-1475.826396292302</v>
      </c>
      <c r="G13" s="91">
        <f t="shared" ref="G13:G39" si="4">F13*$O$7</f>
        <v>-1387.2768125147638</v>
      </c>
      <c r="H13" s="103">
        <f t="shared" ref="H13:H39" si="5">G13/1.07^(B13-2020)</f>
        <v>-807.40773543555838</v>
      </c>
      <c r="I13" s="339">
        <f t="shared" ref="I13:I39" si="6">E13+H13</f>
        <v>-10532.024839091764</v>
      </c>
    </row>
    <row r="14" spans="2:28" x14ac:dyDescent="0.3">
      <c r="B14" s="115">
        <v>2029</v>
      </c>
      <c r="C14" s="334">
        <f t="shared" si="1"/>
        <v>-37317.035648596779</v>
      </c>
      <c r="D14" s="91">
        <f t="shared" si="2"/>
        <v>-16792.66604186855</v>
      </c>
      <c r="E14" s="265">
        <f t="shared" si="3"/>
        <v>-9134.097688119291</v>
      </c>
      <c r="F14" s="345">
        <f t="shared" si="0"/>
        <v>-1483.242609338997</v>
      </c>
      <c r="G14" s="91">
        <f t="shared" si="4"/>
        <v>-1394.2480527786572</v>
      </c>
      <c r="H14" s="103">
        <f t="shared" si="5"/>
        <v>-758.37856143855572</v>
      </c>
      <c r="I14" s="339">
        <f t="shared" si="6"/>
        <v>-9892.476249557847</v>
      </c>
    </row>
    <row r="15" spans="2:28" x14ac:dyDescent="0.3">
      <c r="B15" s="115">
        <v>2030</v>
      </c>
      <c r="C15" s="334">
        <f t="shared" si="1"/>
        <v>-37504.558440800785</v>
      </c>
      <c r="D15" s="91">
        <f t="shared" si="2"/>
        <v>-16877.051298360355</v>
      </c>
      <c r="E15" s="265">
        <f t="shared" si="3"/>
        <v>-8579.4370808428066</v>
      </c>
      <c r="F15" s="345">
        <f t="shared" si="0"/>
        <v>-1490.6960897879367</v>
      </c>
      <c r="G15" s="91">
        <f t="shared" si="4"/>
        <v>-1401.2543244006604</v>
      </c>
      <c r="H15" s="103">
        <f t="shared" si="5"/>
        <v>-712.32664390978789</v>
      </c>
      <c r="I15" s="339">
        <f t="shared" si="6"/>
        <v>-9291.7637247525945</v>
      </c>
    </row>
    <row r="16" spans="2:28" x14ac:dyDescent="0.3">
      <c r="B16" s="115">
        <v>2031</v>
      </c>
      <c r="C16" s="334">
        <f t="shared" si="1"/>
        <v>-37693.023558593755</v>
      </c>
      <c r="D16" s="91">
        <f t="shared" si="2"/>
        <v>-16961.860601367189</v>
      </c>
      <c r="E16" s="265">
        <f t="shared" si="3"/>
        <v>-8058.4577850399701</v>
      </c>
      <c r="F16" s="345">
        <f t="shared" si="0"/>
        <v>-1498.1870249124993</v>
      </c>
      <c r="G16" s="91">
        <f t="shared" si="4"/>
        <v>-1408.2958034177493</v>
      </c>
      <c r="H16" s="103">
        <f t="shared" si="5"/>
        <v>-669.07119138664154</v>
      </c>
      <c r="I16" s="339">
        <f t="shared" si="6"/>
        <v>-8727.5289764266108</v>
      </c>
    </row>
    <row r="17" spans="2:9" x14ac:dyDescent="0.3">
      <c r="B17" s="115">
        <v>2032</v>
      </c>
      <c r="C17" s="334">
        <f t="shared" si="1"/>
        <v>-37882.435737280153</v>
      </c>
      <c r="D17" s="91">
        <f t="shared" si="2"/>
        <v>-17047.096081776068</v>
      </c>
      <c r="E17" s="265">
        <f t="shared" si="3"/>
        <v>-7569.1145306344533</v>
      </c>
      <c r="F17" s="345">
        <f t="shared" si="0"/>
        <v>-1505.715602927135</v>
      </c>
      <c r="G17" s="91">
        <f t="shared" si="4"/>
        <v>-1415.3726667515068</v>
      </c>
      <c r="H17" s="103">
        <f t="shared" si="5"/>
        <v>-628.44239082012086</v>
      </c>
      <c r="I17" s="339">
        <f t="shared" si="6"/>
        <v>-8197.556921454574</v>
      </c>
    </row>
    <row r="18" spans="2:9" x14ac:dyDescent="0.3">
      <c r="B18" s="115">
        <v>2033</v>
      </c>
      <c r="C18" s="334">
        <f t="shared" si="1"/>
        <v>-38072.799735959954</v>
      </c>
      <c r="D18" s="91">
        <f t="shared" si="2"/>
        <v>-17132.759881181981</v>
      </c>
      <c r="E18" s="265">
        <f t="shared" si="3"/>
        <v>-7109.4862449015682</v>
      </c>
      <c r="F18" s="345">
        <f t="shared" si="0"/>
        <v>-1513.2820129920956</v>
      </c>
      <c r="G18" s="91">
        <f t="shared" si="4"/>
        <v>-1422.4850922125697</v>
      </c>
      <c r="H18" s="103">
        <f t="shared" si="5"/>
        <v>-590.28074091966448</v>
      </c>
      <c r="I18" s="339">
        <f t="shared" si="6"/>
        <v>-7699.766985821233</v>
      </c>
    </row>
    <row r="19" spans="2:9" x14ac:dyDescent="0.3">
      <c r="B19" s="115">
        <v>2034</v>
      </c>
      <c r="C19" s="334">
        <f t="shared" si="1"/>
        <v>-38264.120337648194</v>
      </c>
      <c r="D19" s="91">
        <f t="shared" si="2"/>
        <v>-17218.854151941687</v>
      </c>
      <c r="E19" s="265">
        <f t="shared" si="3"/>
        <v>-6677.7685106857343</v>
      </c>
      <c r="F19" s="345">
        <f t="shared" si="0"/>
        <v>-1520.8864452181865</v>
      </c>
      <c r="G19" s="91">
        <f t="shared" si="4"/>
        <v>-1429.6332585050952</v>
      </c>
      <c r="H19" s="103">
        <f t="shared" si="5"/>
        <v>-554.43642598005408</v>
      </c>
      <c r="I19" s="339">
        <f t="shared" si="6"/>
        <v>-7232.2049366657884</v>
      </c>
    </row>
    <row r="20" spans="2:9" x14ac:dyDescent="0.3">
      <c r="B20" s="115">
        <v>2035</v>
      </c>
      <c r="C20" s="334">
        <f t="shared" si="1"/>
        <v>-38456.402349395168</v>
      </c>
      <c r="D20" s="91">
        <f t="shared" si="2"/>
        <v>-17305.381057227827</v>
      </c>
      <c r="E20" s="265">
        <f t="shared" si="3"/>
        <v>-6272.2664825865158</v>
      </c>
      <c r="F20" s="345">
        <f t="shared" si="0"/>
        <v>-1528.5290906715443</v>
      </c>
      <c r="G20" s="91">
        <f t="shared" si="4"/>
        <v>-1436.8173452312515</v>
      </c>
      <c r="H20" s="103">
        <f t="shared" si="5"/>
        <v>-520.76872773216928</v>
      </c>
      <c r="I20" s="339">
        <f t="shared" si="6"/>
        <v>-6793.0352103186851</v>
      </c>
    </row>
    <row r="21" spans="2:9" x14ac:dyDescent="0.3">
      <c r="B21" s="115">
        <v>2036</v>
      </c>
      <c r="C21" s="334">
        <f t="shared" si="1"/>
        <v>-38649.650602407208</v>
      </c>
      <c r="D21" s="91">
        <f t="shared" si="2"/>
        <v>-17392.342771083244</v>
      </c>
      <c r="E21" s="265">
        <f t="shared" si="3"/>
        <v>-5891.3882333034489</v>
      </c>
      <c r="F21" s="345">
        <f t="shared" si="0"/>
        <v>-1536.2101413784364</v>
      </c>
      <c r="G21" s="91">
        <f t="shared" si="4"/>
        <v>-1444.0375328957302</v>
      </c>
      <c r="H21" s="103">
        <f t="shared" si="5"/>
        <v>-489.14547290862663</v>
      </c>
      <c r="I21" s="339">
        <f t="shared" si="6"/>
        <v>-6380.5337062120752</v>
      </c>
    </row>
    <row r="22" spans="2:9" x14ac:dyDescent="0.3">
      <c r="B22" s="115">
        <v>2037</v>
      </c>
      <c r="C22" s="334">
        <f t="shared" si="1"/>
        <v>-38843.869952168046</v>
      </c>
      <c r="D22" s="91">
        <f t="shared" si="2"/>
        <v>-17479.741478475622</v>
      </c>
      <c r="E22" s="265">
        <f t="shared" si="3"/>
        <v>-5533.6385040186433</v>
      </c>
      <c r="F22" s="345">
        <f t="shared" si="0"/>
        <v>-1543.9297903300869</v>
      </c>
      <c r="G22" s="91">
        <f t="shared" si="4"/>
        <v>-1451.2940029102815</v>
      </c>
      <c r="H22" s="103">
        <f t="shared" si="5"/>
        <v>-459.44251435554088</v>
      </c>
      <c r="I22" s="339">
        <f t="shared" si="6"/>
        <v>-5993.0810183741842</v>
      </c>
    </row>
    <row r="23" spans="2:9" x14ac:dyDescent="0.3">
      <c r="B23" s="115">
        <v>2038</v>
      </c>
      <c r="C23" s="334">
        <f t="shared" si="1"/>
        <v>-39039.065278560847</v>
      </c>
      <c r="D23" s="91">
        <f t="shared" si="2"/>
        <v>-17567.579375352383</v>
      </c>
      <c r="E23" s="265">
        <f t="shared" si="3"/>
        <v>-5197.6128342822931</v>
      </c>
      <c r="F23" s="345">
        <f t="shared" si="0"/>
        <v>-1551.6882314875245</v>
      </c>
      <c r="G23" s="91">
        <f t="shared" si="4"/>
        <v>-1458.5869375982729</v>
      </c>
      <c r="H23" s="103">
        <f t="shared" si="5"/>
        <v>-431.54324365335168</v>
      </c>
      <c r="I23" s="339">
        <f t="shared" si="6"/>
        <v>-5629.156077935645</v>
      </c>
    </row>
    <row r="24" spans="2:9" x14ac:dyDescent="0.3">
      <c r="B24" s="115">
        <v>2039</v>
      </c>
      <c r="C24" s="334">
        <f t="shared" si="1"/>
        <v>-39235.241485990802</v>
      </c>
      <c r="D24" s="91">
        <f t="shared" si="2"/>
        <v>-17655.858668695862</v>
      </c>
      <c r="E24" s="265">
        <f t="shared" si="3"/>
        <v>-4881.9920483560727</v>
      </c>
      <c r="F24" s="345">
        <f t="shared" si="0"/>
        <v>-1559.4856597864568</v>
      </c>
      <c r="G24" s="91">
        <f t="shared" si="4"/>
        <v>-1465.9165201992694</v>
      </c>
      <c r="H24" s="103">
        <f t="shared" si="5"/>
        <v>-405.33813333335058</v>
      </c>
      <c r="I24" s="339">
        <f t="shared" si="6"/>
        <v>-5287.3301816894236</v>
      </c>
    </row>
    <row r="25" spans="2:9" x14ac:dyDescent="0.3">
      <c r="B25" s="115">
        <v>2040</v>
      </c>
      <c r="C25" s="334">
        <f t="shared" si="1"/>
        <v>-39432.403503508343</v>
      </c>
      <c r="D25" s="91">
        <f t="shared" si="2"/>
        <v>-17744.581576578756</v>
      </c>
      <c r="E25" s="265">
        <f t="shared" si="3"/>
        <v>-4585.5370763688279</v>
      </c>
      <c r="F25" s="345">
        <f t="shared" si="0"/>
        <v>-1567.3222711421677</v>
      </c>
      <c r="G25" s="91">
        <f t="shared" si="4"/>
        <v>-1473.2829348736375</v>
      </c>
      <c r="H25" s="103">
        <f t="shared" si="5"/>
        <v>-380.72430689273529</v>
      </c>
      <c r="I25" s="339">
        <f t="shared" si="6"/>
        <v>-4966.2613832615634</v>
      </c>
    </row>
    <row r="26" spans="2:9" x14ac:dyDescent="0.3">
      <c r="B26" s="115">
        <v>2041</v>
      </c>
      <c r="C26" s="334">
        <f t="shared" si="1"/>
        <v>-39630.556284933009</v>
      </c>
      <c r="D26" s="91">
        <f t="shared" si="2"/>
        <v>-17833.750328219856</v>
      </c>
      <c r="E26" s="265">
        <f t="shared" si="3"/>
        <v>-4307.0840899533441</v>
      </c>
      <c r="F26" s="345">
        <f t="shared" si="0"/>
        <v>-1575.1982624544398</v>
      </c>
      <c r="G26" s="91">
        <f t="shared" si="4"/>
        <v>-1480.6863667071734</v>
      </c>
      <c r="H26" s="103">
        <f t="shared" si="5"/>
        <v>-357.60513492014769</v>
      </c>
      <c r="I26" s="339">
        <f t="shared" si="6"/>
        <v>-4664.6892248734921</v>
      </c>
    </row>
    <row r="27" spans="2:9" x14ac:dyDescent="0.3">
      <c r="B27" s="115">
        <v>2042</v>
      </c>
      <c r="C27" s="334">
        <f t="shared" si="1"/>
        <v>-39829.704808977898</v>
      </c>
      <c r="D27" s="91">
        <f t="shared" si="2"/>
        <v>-17923.367164040053</v>
      </c>
      <c r="E27" s="265">
        <f t="shared" si="3"/>
        <v>-4045.5399332675938</v>
      </c>
      <c r="F27" s="345">
        <f t="shared" si="0"/>
        <v>-1583.1138316125023</v>
      </c>
      <c r="G27" s="91">
        <f t="shared" si="4"/>
        <v>-1488.1270017157522</v>
      </c>
      <c r="H27" s="103">
        <f t="shared" si="5"/>
        <v>-335.88985574615856</v>
      </c>
      <c r="I27" s="339">
        <f t="shared" si="6"/>
        <v>-4381.4297890137523</v>
      </c>
    </row>
    <row r="28" spans="2:9" x14ac:dyDescent="0.3">
      <c r="B28" s="115">
        <v>2043</v>
      </c>
      <c r="C28" s="334">
        <f t="shared" si="1"/>
        <v>-40029.854079374774</v>
      </c>
      <c r="D28" s="91">
        <f t="shared" si="2"/>
        <v>-18013.434335718648</v>
      </c>
      <c r="E28" s="265">
        <f t="shared" si="3"/>
        <v>-3799.8778314634801</v>
      </c>
      <c r="F28" s="345">
        <f t="shared" si="0"/>
        <v>-1591.0691775000023</v>
      </c>
      <c r="G28" s="91">
        <f t="shared" si="4"/>
        <v>-1495.6050268500021</v>
      </c>
      <c r="H28" s="103">
        <f t="shared" si="5"/>
        <v>-315.49321912944021</v>
      </c>
      <c r="I28" s="339">
        <f t="shared" si="6"/>
        <v>-4115.3710505929203</v>
      </c>
    </row>
    <row r="29" spans="2:9" x14ac:dyDescent="0.3">
      <c r="B29" s="115">
        <v>2044</v>
      </c>
      <c r="C29" s="334">
        <f>C30*(1-($O$8))</f>
        <v>-40231.009124999771</v>
      </c>
      <c r="D29" s="91">
        <f t="shared" si="2"/>
        <v>-18103.954106249897</v>
      </c>
      <c r="E29" s="265">
        <f t="shared" si="3"/>
        <v>-3569.1333597552998</v>
      </c>
      <c r="F29" s="345">
        <f>F30*(1-$O$8)</f>
        <v>-1599.0645000000022</v>
      </c>
      <c r="G29" s="91">
        <f t="shared" si="4"/>
        <v>-1503.1206300000019</v>
      </c>
      <c r="H29" s="103">
        <f t="shared" si="5"/>
        <v>-296.33515157980571</v>
      </c>
      <c r="I29" s="339">
        <f t="shared" si="6"/>
        <v>-3865.4685113351056</v>
      </c>
    </row>
    <row r="30" spans="2:9" x14ac:dyDescent="0.3">
      <c r="B30" s="115">
        <v>2045</v>
      </c>
      <c r="C30" s="334">
        <f>'Traffic Assumptions'!O24</f>
        <v>-40433.17499999977</v>
      </c>
      <c r="D30" s="91">
        <f t="shared" si="2"/>
        <v>-18194.928749999897</v>
      </c>
      <c r="E30" s="265">
        <f t="shared" si="3"/>
        <v>-3352.4006572632316</v>
      </c>
      <c r="F30" s="345">
        <f>'Traffic Assumptions'!U24</f>
        <v>-1607.1000000000022</v>
      </c>
      <c r="G30" s="91">
        <f t="shared" si="4"/>
        <v>-1510.674000000002</v>
      </c>
      <c r="H30" s="103">
        <f t="shared" si="5"/>
        <v>-278.3404420042321</v>
      </c>
      <c r="I30" s="339">
        <f t="shared" si="6"/>
        <v>-3630.7410992674636</v>
      </c>
    </row>
    <row r="31" spans="2:9" x14ac:dyDescent="0.3">
      <c r="B31" s="115">
        <v>2046</v>
      </c>
      <c r="C31" s="334">
        <f>C30*(1+$O$9)</f>
        <v>-40837.506749999768</v>
      </c>
      <c r="D31" s="91">
        <f t="shared" si="2"/>
        <v>-18376.878037499897</v>
      </c>
      <c r="E31" s="265">
        <f t="shared" si="3"/>
        <v>-3164.4155736783778</v>
      </c>
      <c r="F31" s="345">
        <f>F30*(1+$O$9)</f>
        <v>-1623.1710000000023</v>
      </c>
      <c r="G31" s="91">
        <f t="shared" si="4"/>
        <v>-1525.7807400000022</v>
      </c>
      <c r="H31" s="103">
        <f t="shared" si="5"/>
        <v>-262.7325667516584</v>
      </c>
      <c r="I31" s="339">
        <f t="shared" si="6"/>
        <v>-3427.1481404300362</v>
      </c>
    </row>
    <row r="32" spans="2:9" x14ac:dyDescent="0.3">
      <c r="B32" s="115">
        <v>2047</v>
      </c>
      <c r="C32" s="334">
        <f t="shared" ref="C32:C41" si="7">C31*(1+$O$9)</f>
        <v>-41245.881817499765</v>
      </c>
      <c r="D32" s="91">
        <f t="shared" si="2"/>
        <v>-18560.646817874895</v>
      </c>
      <c r="E32" s="265">
        <f t="shared" si="3"/>
        <v>-2986.9717097337953</v>
      </c>
      <c r="F32" s="345">
        <f t="shared" ref="F32:F41" si="8">F31*(1+$O$9)</f>
        <v>-1639.4027100000023</v>
      </c>
      <c r="G32" s="91">
        <f t="shared" si="4"/>
        <v>-1541.038547400002</v>
      </c>
      <c r="H32" s="103">
        <f t="shared" si="5"/>
        <v>-247.9998994571728</v>
      </c>
      <c r="I32" s="339">
        <f t="shared" si="6"/>
        <v>-3234.9716091909681</v>
      </c>
    </row>
    <row r="33" spans="2:9" x14ac:dyDescent="0.3">
      <c r="B33" s="115">
        <v>2048</v>
      </c>
      <c r="C33" s="334">
        <f t="shared" si="7"/>
        <v>-41658.340635674766</v>
      </c>
      <c r="D33" s="91">
        <f t="shared" si="2"/>
        <v>-18746.253286053645</v>
      </c>
      <c r="E33" s="265">
        <f t="shared" si="3"/>
        <v>-2819.4779690010596</v>
      </c>
      <c r="F33" s="345">
        <f t="shared" si="8"/>
        <v>-1655.7967371000025</v>
      </c>
      <c r="G33" s="91">
        <f t="shared" si="4"/>
        <v>-1556.4489328740021</v>
      </c>
      <c r="H33" s="103">
        <f t="shared" si="5"/>
        <v>-234.09336303901364</v>
      </c>
      <c r="I33" s="339">
        <f t="shared" si="6"/>
        <v>-3053.5713320400732</v>
      </c>
    </row>
    <row r="34" spans="2:9" x14ac:dyDescent="0.3">
      <c r="B34" s="115">
        <v>2049</v>
      </c>
      <c r="C34" s="334">
        <f t="shared" si="7"/>
        <v>-42074.924042031511</v>
      </c>
      <c r="D34" s="91">
        <f t="shared" si="2"/>
        <v>-18933.715818914181</v>
      </c>
      <c r="E34" s="265">
        <f t="shared" si="3"/>
        <v>-2661.37640064586</v>
      </c>
      <c r="F34" s="345">
        <f t="shared" si="8"/>
        <v>-1672.3547044710026</v>
      </c>
      <c r="G34" s="91">
        <f t="shared" si="4"/>
        <v>-1572.0134222027423</v>
      </c>
      <c r="H34" s="103">
        <f t="shared" si="5"/>
        <v>-220.96663240131195</v>
      </c>
      <c r="I34" s="339">
        <f t="shared" si="6"/>
        <v>-2882.343033047172</v>
      </c>
    </row>
    <row r="35" spans="2:9" x14ac:dyDescent="0.3">
      <c r="B35" s="115">
        <v>2050</v>
      </c>
      <c r="C35" s="334">
        <f t="shared" si="7"/>
        <v>-42495.673282451826</v>
      </c>
      <c r="D35" s="91">
        <f t="shared" si="2"/>
        <v>-19123.052977103322</v>
      </c>
      <c r="E35" s="265">
        <f t="shared" si="3"/>
        <v>-2512.1403407965595</v>
      </c>
      <c r="F35" s="345">
        <f t="shared" si="8"/>
        <v>-1689.0782515157127</v>
      </c>
      <c r="G35" s="91">
        <f t="shared" si="4"/>
        <v>-1587.7335564247699</v>
      </c>
      <c r="H35" s="103">
        <f t="shared" si="5"/>
        <v>-208.57598011712628</v>
      </c>
      <c r="I35" s="339">
        <f t="shared" si="6"/>
        <v>-2720.7163209136856</v>
      </c>
    </row>
    <row r="36" spans="2:9" x14ac:dyDescent="0.3">
      <c r="B36" s="115">
        <v>2051</v>
      </c>
      <c r="C36" s="334">
        <f t="shared" si="7"/>
        <v>-42920.630015276343</v>
      </c>
      <c r="D36" s="91">
        <f t="shared" si="2"/>
        <v>-19314.283506874355</v>
      </c>
      <c r="E36" s="265">
        <f t="shared" si="3"/>
        <v>-2371.2726581350698</v>
      </c>
      <c r="F36" s="345">
        <f t="shared" si="8"/>
        <v>-1705.9690340308698</v>
      </c>
      <c r="G36" s="91">
        <f t="shared" si="4"/>
        <v>-1603.6108919890175</v>
      </c>
      <c r="H36" s="103">
        <f t="shared" si="5"/>
        <v>-196.880130764764</v>
      </c>
      <c r="I36" s="339">
        <f t="shared" si="6"/>
        <v>-2568.1527888998339</v>
      </c>
    </row>
    <row r="37" spans="2:9" x14ac:dyDescent="0.3">
      <c r="B37" s="115">
        <v>2052</v>
      </c>
      <c r="C37" s="334">
        <f t="shared" si="7"/>
        <v>-43349.836315429107</v>
      </c>
      <c r="D37" s="91">
        <f t="shared" si="2"/>
        <v>-19507.426341943097</v>
      </c>
      <c r="E37" s="265">
        <f t="shared" si="3"/>
        <v>-2238.3040978658137</v>
      </c>
      <c r="F37" s="345">
        <f t="shared" si="8"/>
        <v>-1723.0287243711784</v>
      </c>
      <c r="G37" s="91">
        <f t="shared" si="4"/>
        <v>-1619.6470009089076</v>
      </c>
      <c r="H37" s="103">
        <f t="shared" si="5"/>
        <v>-185.84012343216042</v>
      </c>
      <c r="I37" s="339">
        <f t="shared" si="6"/>
        <v>-2424.1442212979741</v>
      </c>
    </row>
    <row r="38" spans="2:9" x14ac:dyDescent="0.3">
      <c r="B38" s="115">
        <v>2053</v>
      </c>
      <c r="C38" s="334">
        <f t="shared" si="7"/>
        <v>-43783.3346785834</v>
      </c>
      <c r="D38" s="91">
        <f t="shared" si="2"/>
        <v>-19702.500605362529</v>
      </c>
      <c r="E38" s="265">
        <f t="shared" si="3"/>
        <v>-2112.7917185462352</v>
      </c>
      <c r="F38" s="345">
        <f t="shared" si="8"/>
        <v>-1740.2590116148901</v>
      </c>
      <c r="G38" s="91">
        <f t="shared" si="4"/>
        <v>-1635.8434709179967</v>
      </c>
      <c r="H38" s="103">
        <f t="shared" si="5"/>
        <v>-175.4191819312916</v>
      </c>
      <c r="I38" s="339">
        <f t="shared" si="6"/>
        <v>-2288.2109004775266</v>
      </c>
    </row>
    <row r="39" spans="2:9" x14ac:dyDescent="0.3">
      <c r="B39" s="146">
        <v>2054</v>
      </c>
      <c r="C39" s="334">
        <f t="shared" si="7"/>
        <v>-44221.168025369232</v>
      </c>
      <c r="D39" s="147">
        <f t="shared" si="2"/>
        <v>-19899.525611416157</v>
      </c>
      <c r="E39" s="267">
        <f t="shared" si="3"/>
        <v>-1994.3174165716803</v>
      </c>
      <c r="F39" s="345">
        <f t="shared" si="8"/>
        <v>-1757.6616017310391</v>
      </c>
      <c r="G39" s="147">
        <f t="shared" si="4"/>
        <v>-1652.2019056271768</v>
      </c>
      <c r="H39" s="148">
        <f t="shared" si="5"/>
        <v>-165.58259229028462</v>
      </c>
      <c r="I39" s="339">
        <f t="shared" si="6"/>
        <v>-2159.900008861965</v>
      </c>
    </row>
    <row r="40" spans="2:9" x14ac:dyDescent="0.3">
      <c r="B40" s="149">
        <v>2055</v>
      </c>
      <c r="C40" s="334">
        <f t="shared" si="7"/>
        <v>-44663.379705622923</v>
      </c>
      <c r="D40" s="150">
        <f t="shared" ref="D40:D41" si="9">C40*$O$6</f>
        <v>-20098.520867530315</v>
      </c>
      <c r="E40" s="266">
        <f t="shared" ref="E40:E41" si="10">D40/1.07^(B40-2020)</f>
        <v>-1882.4865333994362</v>
      </c>
      <c r="F40" s="345">
        <f t="shared" si="8"/>
        <v>-1775.2382177483496</v>
      </c>
      <c r="G40" s="150">
        <f t="shared" ref="G40:G41" si="11">F40*$O$7</f>
        <v>-1668.7239246834486</v>
      </c>
      <c r="H40" s="151">
        <f t="shared" ref="H40:H41" si="12">G40/1.07^(B40-2020)</f>
        <v>-156.29758711512847</v>
      </c>
      <c r="I40" s="339">
        <f t="shared" ref="I40:I41" si="13">E40+H40</f>
        <v>-2038.7841205145646</v>
      </c>
    </row>
    <row r="41" spans="2:9" ht="17.25" thickBot="1" x14ac:dyDescent="0.35">
      <c r="B41" s="116">
        <v>2056</v>
      </c>
      <c r="C41" s="335">
        <f t="shared" si="7"/>
        <v>-45110.013502679154</v>
      </c>
      <c r="D41" s="336">
        <f t="shared" si="9"/>
        <v>-20299.50607620562</v>
      </c>
      <c r="E41" s="338">
        <f t="shared" si="10"/>
        <v>-1776.9265408723652</v>
      </c>
      <c r="F41" s="346">
        <f t="shared" si="8"/>
        <v>-1792.9905999258331</v>
      </c>
      <c r="G41" s="117">
        <f t="shared" si="11"/>
        <v>-1685.411163930283</v>
      </c>
      <c r="H41" s="104">
        <f t="shared" si="12"/>
        <v>-147.53323643577548</v>
      </c>
      <c r="I41" s="339">
        <f t="shared" si="13"/>
        <v>-1924.4597773081407</v>
      </c>
    </row>
    <row r="42" spans="2:9" ht="17.25" thickBot="1" x14ac:dyDescent="0.35">
      <c r="B42" s="509" t="s">
        <v>119</v>
      </c>
      <c r="C42" s="510"/>
      <c r="D42" s="510"/>
      <c r="E42" s="510"/>
      <c r="F42" s="510"/>
      <c r="G42" s="510"/>
      <c r="H42" s="511"/>
      <c r="I42" s="118">
        <f>SUM(I4:I41)</f>
        <v>-157215.7423845657</v>
      </c>
    </row>
    <row r="43" spans="2:9" x14ac:dyDescent="0.3">
      <c r="B43" s="448" t="s">
        <v>120</v>
      </c>
      <c r="C43" s="449"/>
      <c r="D43" s="449"/>
      <c r="E43" s="449"/>
      <c r="F43" s="449"/>
      <c r="G43" s="449"/>
      <c r="H43" s="449"/>
      <c r="I43" s="512"/>
    </row>
    <row r="44" spans="2:9" x14ac:dyDescent="0.3">
      <c r="B44" s="513" t="s">
        <v>133</v>
      </c>
      <c r="C44" s="514"/>
      <c r="D44" s="514"/>
      <c r="E44" s="514"/>
      <c r="F44" s="514"/>
      <c r="G44" s="514"/>
      <c r="H44" s="514"/>
      <c r="I44" s="515"/>
    </row>
    <row r="45" spans="2:9" x14ac:dyDescent="0.3">
      <c r="B45" s="505" t="s">
        <v>122</v>
      </c>
      <c r="C45" s="506"/>
      <c r="D45" s="506"/>
      <c r="E45" s="506"/>
      <c r="F45" s="506"/>
      <c r="G45" s="506"/>
      <c r="H45" s="506"/>
      <c r="I45" s="507"/>
    </row>
    <row r="57" s="1" customFormat="1" x14ac:dyDescent="0.3"/>
    <row r="58" s="1" customFormat="1" x14ac:dyDescent="0.3"/>
  </sheetData>
  <mergeCells count="20">
    <mergeCell ref="P5:AB5"/>
    <mergeCell ref="K4:AB4"/>
    <mergeCell ref="K5:N5"/>
    <mergeCell ref="K7:N7"/>
    <mergeCell ref="K9:N9"/>
    <mergeCell ref="P9:AB9"/>
    <mergeCell ref="K6:N6"/>
    <mergeCell ref="K8:N8"/>
    <mergeCell ref="P8:AB8"/>
    <mergeCell ref="P7:AB7"/>
    <mergeCell ref="P6:AB6"/>
    <mergeCell ref="B45:I45"/>
    <mergeCell ref="F2:H2"/>
    <mergeCell ref="C2:E2"/>
    <mergeCell ref="B2:B3"/>
    <mergeCell ref="B42:H42"/>
    <mergeCell ref="B43:I43"/>
    <mergeCell ref="B44:I44"/>
    <mergeCell ref="F4:H5"/>
    <mergeCell ref="C4:E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48CF-324A-4B55-AC25-FD6E4177AEBF}">
  <sheetPr>
    <tabColor theme="9" tint="0.39997558519241921"/>
  </sheetPr>
  <dimension ref="B1:W64"/>
  <sheetViews>
    <sheetView zoomScale="70" zoomScaleNormal="70" workbookViewId="0">
      <selection activeCell="B43" sqref="B43:W43"/>
    </sheetView>
  </sheetViews>
  <sheetFormatPr defaultColWidth="9.140625" defaultRowHeight="16.5" x14ac:dyDescent="0.3"/>
  <cols>
    <col min="1" max="1" width="2.7109375" style="1" customWidth="1"/>
    <col min="2" max="2" width="9.140625" style="1"/>
    <col min="3" max="3" width="11.140625" style="1" customWidth="1"/>
    <col min="4" max="5" width="14.7109375" style="1" customWidth="1"/>
    <col min="6" max="6" width="13.7109375" style="1" customWidth="1"/>
    <col min="7" max="7" width="12.7109375" style="1" customWidth="1"/>
    <col min="8" max="8" width="11.140625" style="1" customWidth="1"/>
    <col min="9" max="10" width="14.7109375" style="1" customWidth="1"/>
    <col min="11" max="11" width="13.7109375" style="1" customWidth="1"/>
    <col min="12" max="12" width="12.7109375" style="1" customWidth="1"/>
    <col min="13" max="13" width="11.140625" style="1" customWidth="1"/>
    <col min="14" max="14" width="14.7109375" style="1" customWidth="1"/>
    <col min="15" max="15" width="15" style="1" customWidth="1"/>
    <col min="16" max="16" width="13.7109375" style="1" customWidth="1"/>
    <col min="17" max="17" width="12.7109375" style="1" customWidth="1"/>
    <col min="18" max="18" width="11.140625" style="1" customWidth="1"/>
    <col min="19" max="20" width="14.7109375" style="1" customWidth="1"/>
    <col min="21" max="21" width="13.7109375" style="1" customWidth="1"/>
    <col min="22" max="22" width="12.7109375" style="1" customWidth="1"/>
    <col min="23" max="23" width="24.7109375" style="18" customWidth="1"/>
    <col min="24" max="16384" width="9.140625" style="1"/>
  </cols>
  <sheetData>
    <row r="1" spans="2:23" ht="17.25" thickBot="1" x14ac:dyDescent="0.35"/>
    <row r="2" spans="2:23" ht="36" customHeight="1" thickBot="1" x14ac:dyDescent="0.35">
      <c r="B2" s="455" t="s">
        <v>88</v>
      </c>
      <c r="C2" s="435" t="s">
        <v>134</v>
      </c>
      <c r="D2" s="435"/>
      <c r="E2" s="435"/>
      <c r="F2" s="435"/>
      <c r="G2" s="436"/>
      <c r="H2" s="434" t="s">
        <v>135</v>
      </c>
      <c r="I2" s="435"/>
      <c r="J2" s="435"/>
      <c r="K2" s="435"/>
      <c r="L2" s="436"/>
      <c r="M2" s="434" t="s">
        <v>136</v>
      </c>
      <c r="N2" s="435"/>
      <c r="O2" s="435"/>
      <c r="P2" s="435"/>
      <c r="Q2" s="436"/>
      <c r="R2" s="434" t="s">
        <v>137</v>
      </c>
      <c r="S2" s="435"/>
      <c r="T2" s="435"/>
      <c r="U2" s="435"/>
      <c r="V2" s="436"/>
      <c r="W2" s="120" t="s">
        <v>138</v>
      </c>
    </row>
    <row r="3" spans="2:23" ht="51.75" customHeight="1" x14ac:dyDescent="0.3">
      <c r="B3" s="456"/>
      <c r="C3" s="17" t="s">
        <v>139</v>
      </c>
      <c r="D3" s="10" t="s">
        <v>140</v>
      </c>
      <c r="E3" s="10" t="s">
        <v>141</v>
      </c>
      <c r="F3" s="27" t="s">
        <v>142</v>
      </c>
      <c r="G3" s="11" t="s">
        <v>143</v>
      </c>
      <c r="H3" s="17" t="s">
        <v>139</v>
      </c>
      <c r="I3" s="10" t="s">
        <v>144</v>
      </c>
      <c r="J3" s="10" t="s">
        <v>145</v>
      </c>
      <c r="K3" s="27" t="s">
        <v>142</v>
      </c>
      <c r="L3" s="11" t="s">
        <v>143</v>
      </c>
      <c r="M3" s="17" t="s">
        <v>139</v>
      </c>
      <c r="N3" s="10" t="s">
        <v>146</v>
      </c>
      <c r="O3" s="10" t="s">
        <v>147</v>
      </c>
      <c r="P3" s="27" t="s">
        <v>142</v>
      </c>
      <c r="Q3" s="11" t="s">
        <v>143</v>
      </c>
      <c r="R3" s="17" t="s">
        <v>139</v>
      </c>
      <c r="S3" s="10" t="s">
        <v>148</v>
      </c>
      <c r="T3" s="10" t="s">
        <v>149</v>
      </c>
      <c r="U3" s="27" t="s">
        <v>142</v>
      </c>
      <c r="V3" s="11" t="s">
        <v>150</v>
      </c>
      <c r="W3" s="19" t="s">
        <v>151</v>
      </c>
    </row>
    <row r="4" spans="2:23" ht="16.5" customHeight="1" x14ac:dyDescent="0.3">
      <c r="B4" s="114">
        <v>2019</v>
      </c>
      <c r="C4" s="543" t="s">
        <v>152</v>
      </c>
      <c r="D4" s="544"/>
      <c r="E4" s="544"/>
      <c r="F4" s="544"/>
      <c r="G4" s="545"/>
      <c r="H4" s="543" t="s">
        <v>152</v>
      </c>
      <c r="I4" s="544"/>
      <c r="J4" s="544"/>
      <c r="K4" s="544"/>
      <c r="L4" s="545"/>
      <c r="M4" s="543" t="s">
        <v>152</v>
      </c>
      <c r="N4" s="544"/>
      <c r="O4" s="544"/>
      <c r="P4" s="544"/>
      <c r="Q4" s="545"/>
      <c r="R4" s="543" t="s">
        <v>152</v>
      </c>
      <c r="S4" s="544"/>
      <c r="T4" s="544"/>
      <c r="U4" s="544"/>
      <c r="V4" s="545"/>
      <c r="W4" s="20">
        <v>0</v>
      </c>
    </row>
    <row r="5" spans="2:23" x14ac:dyDescent="0.3">
      <c r="B5" s="115">
        <v>2020</v>
      </c>
      <c r="C5" s="546"/>
      <c r="D5" s="461"/>
      <c r="E5" s="461"/>
      <c r="F5" s="461"/>
      <c r="G5" s="547"/>
      <c r="H5" s="546"/>
      <c r="I5" s="461"/>
      <c r="J5" s="461"/>
      <c r="K5" s="461"/>
      <c r="L5" s="547"/>
      <c r="M5" s="546"/>
      <c r="N5" s="461"/>
      <c r="O5" s="461"/>
      <c r="P5" s="461"/>
      <c r="Q5" s="547"/>
      <c r="R5" s="546"/>
      <c r="S5" s="461"/>
      <c r="T5" s="461"/>
      <c r="U5" s="461"/>
      <c r="V5" s="547"/>
      <c r="W5" s="20">
        <v>0</v>
      </c>
    </row>
    <row r="6" spans="2:23" x14ac:dyDescent="0.3">
      <c r="B6" s="115">
        <v>2021</v>
      </c>
      <c r="C6" s="546"/>
      <c r="D6" s="461"/>
      <c r="E6" s="461"/>
      <c r="F6" s="461"/>
      <c r="G6" s="547"/>
      <c r="H6" s="546"/>
      <c r="I6" s="461"/>
      <c r="J6" s="461"/>
      <c r="K6" s="461"/>
      <c r="L6" s="547"/>
      <c r="M6" s="546"/>
      <c r="N6" s="461"/>
      <c r="O6" s="461"/>
      <c r="P6" s="461"/>
      <c r="Q6" s="547"/>
      <c r="R6" s="546"/>
      <c r="S6" s="461"/>
      <c r="T6" s="461"/>
      <c r="U6" s="461"/>
      <c r="V6" s="547"/>
      <c r="W6" s="20">
        <v>0</v>
      </c>
    </row>
    <row r="7" spans="2:23" x14ac:dyDescent="0.3">
      <c r="B7" s="115">
        <v>2022</v>
      </c>
      <c r="C7" s="546"/>
      <c r="D7" s="461"/>
      <c r="E7" s="461"/>
      <c r="F7" s="461"/>
      <c r="G7" s="547"/>
      <c r="H7" s="546"/>
      <c r="I7" s="461"/>
      <c r="J7" s="461"/>
      <c r="K7" s="461"/>
      <c r="L7" s="547"/>
      <c r="M7" s="546"/>
      <c r="N7" s="461"/>
      <c r="O7" s="461"/>
      <c r="P7" s="461"/>
      <c r="Q7" s="547"/>
      <c r="R7" s="546"/>
      <c r="S7" s="461"/>
      <c r="T7" s="461"/>
      <c r="U7" s="461"/>
      <c r="V7" s="547"/>
      <c r="W7" s="20">
        <v>0</v>
      </c>
    </row>
    <row r="8" spans="2:23" x14ac:dyDescent="0.3">
      <c r="B8" s="115">
        <v>2023</v>
      </c>
      <c r="C8" s="546"/>
      <c r="D8" s="461"/>
      <c r="E8" s="461"/>
      <c r="F8" s="461"/>
      <c r="G8" s="547"/>
      <c r="H8" s="546"/>
      <c r="I8" s="461"/>
      <c r="J8" s="461"/>
      <c r="K8" s="461"/>
      <c r="L8" s="547"/>
      <c r="M8" s="546"/>
      <c r="N8" s="461"/>
      <c r="O8" s="461"/>
      <c r="P8" s="461"/>
      <c r="Q8" s="547"/>
      <c r="R8" s="546"/>
      <c r="S8" s="461"/>
      <c r="T8" s="461"/>
      <c r="U8" s="461"/>
      <c r="V8" s="547"/>
      <c r="W8" s="20">
        <v>0</v>
      </c>
    </row>
    <row r="9" spans="2:23" x14ac:dyDescent="0.3">
      <c r="B9" s="115">
        <v>2024</v>
      </c>
      <c r="C9" s="546"/>
      <c r="D9" s="461"/>
      <c r="E9" s="461"/>
      <c r="F9" s="461"/>
      <c r="G9" s="547"/>
      <c r="H9" s="546"/>
      <c r="I9" s="461"/>
      <c r="J9" s="461"/>
      <c r="K9" s="461"/>
      <c r="L9" s="547"/>
      <c r="M9" s="546"/>
      <c r="N9" s="461"/>
      <c r="O9" s="461"/>
      <c r="P9" s="461"/>
      <c r="Q9" s="547"/>
      <c r="R9" s="546"/>
      <c r="S9" s="461"/>
      <c r="T9" s="461"/>
      <c r="U9" s="461"/>
      <c r="V9" s="547"/>
      <c r="W9" s="20">
        <v>0</v>
      </c>
    </row>
    <row r="10" spans="2:23" x14ac:dyDescent="0.3">
      <c r="B10" s="115">
        <v>2025</v>
      </c>
      <c r="C10" s="546"/>
      <c r="D10" s="461"/>
      <c r="E10" s="461"/>
      <c r="F10" s="461"/>
      <c r="G10" s="547"/>
      <c r="H10" s="546"/>
      <c r="I10" s="461"/>
      <c r="J10" s="461"/>
      <c r="K10" s="461"/>
      <c r="L10" s="547"/>
      <c r="M10" s="546"/>
      <c r="N10" s="461"/>
      <c r="O10" s="461"/>
      <c r="P10" s="461"/>
      <c r="Q10" s="547"/>
      <c r="R10" s="546"/>
      <c r="S10" s="461"/>
      <c r="T10" s="461"/>
      <c r="U10" s="461"/>
      <c r="V10" s="547"/>
      <c r="W10" s="20">
        <v>0</v>
      </c>
    </row>
    <row r="11" spans="2:23" x14ac:dyDescent="0.3">
      <c r="B11" s="115">
        <v>2026</v>
      </c>
      <c r="C11" s="548"/>
      <c r="D11" s="549"/>
      <c r="E11" s="549"/>
      <c r="F11" s="549"/>
      <c r="G11" s="550"/>
      <c r="H11" s="548"/>
      <c r="I11" s="549"/>
      <c r="J11" s="549"/>
      <c r="K11" s="549"/>
      <c r="L11" s="550"/>
      <c r="M11" s="548"/>
      <c r="N11" s="549"/>
      <c r="O11" s="549"/>
      <c r="P11" s="549"/>
      <c r="Q11" s="550"/>
      <c r="R11" s="548"/>
      <c r="S11" s="549"/>
      <c r="T11" s="549"/>
      <c r="U11" s="549"/>
      <c r="V11" s="550"/>
      <c r="W11" s="20">
        <v>0</v>
      </c>
    </row>
    <row r="12" spans="2:23" x14ac:dyDescent="0.3">
      <c r="B12" s="115">
        <v>2027</v>
      </c>
      <c r="C12" s="137">
        <v>17300</v>
      </c>
      <c r="D12" s="35">
        <f>('Vehicle Operating Cost Savings'!C12)*$F$53*$F$62</f>
        <v>-7.0934012578563882E-3</v>
      </c>
      <c r="E12" s="260">
        <f>((('Vehicle Operating Cost Savings'!C12)*$F$63)+(('Vehicle Operating Cost Savings'!F12)*$F$64))*$F$54*$F$62</f>
        <v>-6.1219566449118926E-3</v>
      </c>
      <c r="F12" s="28">
        <f>C12*(D12+E12)</f>
        <v>-228.62569171789124</v>
      </c>
      <c r="G12" s="25">
        <f>F12/1.07^(B12-2020)</f>
        <v>-142.37659050550286</v>
      </c>
      <c r="H12" s="29">
        <v>46500</v>
      </c>
      <c r="I12" s="259">
        <f>('Vehicle Operating Cost Savings'!C12)*$F$55*$F$61*$F$51</f>
        <v>-8.1709467149727538E-5</v>
      </c>
      <c r="J12" s="259">
        <f>((('Vehicle Operating Cost Savings'!C12)*$F$63)+(('Vehicle Operating Cost Savings'!F12)*$F$64))*$F$56*$F$61*$F$52</f>
        <v>-1.3325811478719008E-6</v>
      </c>
      <c r="K12" s="28">
        <f>H12*(I12+J12)</f>
        <v>-3.861455245838374</v>
      </c>
      <c r="L12" s="25">
        <f>K12/1.07^(B12-2020)</f>
        <v>-2.4047202576447475</v>
      </c>
      <c r="M12" s="30">
        <v>827400</v>
      </c>
      <c r="N12" s="259">
        <f>('Vehicle Operating Cost Savings'!C12)*$F$57*$F$62</f>
        <v>-3.5097558307101921E-4</v>
      </c>
      <c r="O12" s="259">
        <f>((('Vehicle Operating Cost Savings'!C12)*$F$63)+(('Vehicle Operating Cost Savings'!F12)*$F$64))*$F$62*$F$58</f>
        <v>-1.7474522445298999E-4</v>
      </c>
      <c r="P12" s="28">
        <f>M12*(N12+O12)</f>
        <v>-434.98139614536518</v>
      </c>
      <c r="Q12" s="25">
        <f>P12/1.07^(B12-2020)</f>
        <v>-270.88455217412525</v>
      </c>
      <c r="R12" s="65">
        <v>58</v>
      </c>
      <c r="S12" s="35">
        <f>('Vehicle Operating Cost Savings'!C12)*($F$59*$F$62)/$F$51</f>
        <v>-14.723247612707802</v>
      </c>
      <c r="T12" s="261">
        <f>((('Vehicle Operating Cost Savings'!C12)*$F$63)+(('Vehicle Operating Cost Savings'!F12)*$F$64))*($F$60*$F$62)/$F$52</f>
        <v>-2.4506218279810419</v>
      </c>
      <c r="U12" s="28">
        <f>R12*(S12)</f>
        <v>-853.94836153705251</v>
      </c>
      <c r="V12" s="25">
        <f>U12/1.03^(B12-2020)</f>
        <v>-694.33816389134267</v>
      </c>
      <c r="W12" s="20">
        <f>G12+L12+Q12+V12</f>
        <v>-1110.0040268286157</v>
      </c>
    </row>
    <row r="13" spans="2:23" x14ac:dyDescent="0.3">
      <c r="B13" s="115">
        <v>2028</v>
      </c>
      <c r="C13" s="137">
        <v>17500</v>
      </c>
      <c r="D13" s="35">
        <f>('Vehicle Operating Cost Savings'!C13)*$F$53*$F$62</f>
        <v>-7.1290464903079288E-3</v>
      </c>
      <c r="E13" s="260">
        <f>((('Vehicle Operating Cost Savings'!C13)*$F$63)+(('Vehicle Operating Cost Savings'!F13)*$F$64))*$F$54*$F$62</f>
        <v>-6.1527202461426058E-3</v>
      </c>
      <c r="F13" s="28">
        <f t="shared" ref="F13:F41" si="0">C13*(D13+E13)</f>
        <v>-232.43091788788436</v>
      </c>
      <c r="G13" s="25">
        <f t="shared" ref="G13:G41" si="1">F13/1.07^(B13-2020)</f>
        <v>-135.27691039315755</v>
      </c>
      <c r="H13" s="29">
        <v>47300</v>
      </c>
      <c r="I13" s="259">
        <f>('Vehicle Operating Cost Savings'!C13)*$F$55*$F$61*$F$51</f>
        <v>-8.2120067487163352E-5</v>
      </c>
      <c r="J13" s="259">
        <f>((('Vehicle Operating Cost Savings'!C13)*$F$63)+(('Vehicle Operating Cost Savings'!F13)*$F$64))*$F$56*$F$61*$F$52</f>
        <v>-1.3392775355496492E-6</v>
      </c>
      <c r="K13" s="28">
        <f t="shared" ref="K13:K39" si="2">H13*(I13+J13)</f>
        <v>-3.9476270195743246</v>
      </c>
      <c r="L13" s="25">
        <f t="shared" ref="L13:L39" si="3">K13/1.07^(B13-2020)</f>
        <v>-2.2975548668192043</v>
      </c>
      <c r="M13" s="30">
        <v>840600</v>
      </c>
      <c r="N13" s="259">
        <f>('Vehicle Operating Cost Savings'!C13)*$F$57*$F$62</f>
        <v>-3.5273927946836108E-4</v>
      </c>
      <c r="O13" s="259">
        <f>((('Vehicle Operating Cost Savings'!C13)*$F$63)+(('Vehicle Operating Cost Savings'!F13)*$F$64))*$F$62*$F$58</f>
        <v>-1.7562334115878392E-4</v>
      </c>
      <c r="P13" s="28">
        <f t="shared" ref="P13:P39" si="4">M13*(N13+O13)</f>
        <v>-444.14161889917813</v>
      </c>
      <c r="Q13" s="25">
        <f t="shared" ref="Q13:Q39" si="5">P13/1.07^(B13-2020)</f>
        <v>-258.49446591557722</v>
      </c>
      <c r="R13" s="65">
        <v>60</v>
      </c>
      <c r="S13" s="35">
        <f>('Vehicle Operating Cost Savings'!C13)*($F$59*$F$62)/$F$51</f>
        <v>-14.797233781615882</v>
      </c>
      <c r="T13" s="261">
        <f>((('Vehicle Operating Cost Savings'!C13)*$F$63)+(('Vehicle Operating Cost Savings'!F13)*$F$64))*($F$60*$F$62)/$F$52</f>
        <v>-2.4629365105337104</v>
      </c>
      <c r="U13" s="28">
        <f t="shared" ref="U13:U39" si="6">R13*(S13+T13)</f>
        <v>-1035.6102175289755</v>
      </c>
      <c r="V13" s="25">
        <f t="shared" ref="V13:V39" si="7">U13/1.03^(B13-2020)</f>
        <v>-817.52026886723695</v>
      </c>
      <c r="W13" s="20">
        <f t="shared" ref="W13:W39" si="8">G13+L13+Q13+V13</f>
        <v>-1213.5892000427909</v>
      </c>
    </row>
    <row r="14" spans="2:23" x14ac:dyDescent="0.3">
      <c r="B14" s="115">
        <v>2029</v>
      </c>
      <c r="C14" s="137">
        <v>17700</v>
      </c>
      <c r="D14" s="35">
        <f>('Vehicle Operating Cost Savings'!C14)*$F$53*$F$62</f>
        <v>-7.164870844530582E-3</v>
      </c>
      <c r="E14" s="260">
        <f>((('Vehicle Operating Cost Savings'!C14)*$F$63)+(('Vehicle Operating Cost Savings'!F14)*$F$64))*$F$54*$F$62</f>
        <v>-6.1836384383342768E-3</v>
      </c>
      <c r="F14" s="28">
        <f t="shared" si="0"/>
        <v>-236.26861430670797</v>
      </c>
      <c r="G14" s="25">
        <f t="shared" si="1"/>
        <v>-128.51447163501825</v>
      </c>
      <c r="H14" s="29">
        <v>48200</v>
      </c>
      <c r="I14" s="259">
        <f>('Vehicle Operating Cost Savings'!C14)*$F$55*$F$61*$F$51</f>
        <v>-8.2532731142877743E-5</v>
      </c>
      <c r="J14" s="259">
        <f>((('Vehicle Operating Cost Savings'!C14)*$F$63)+(('Vehicle Operating Cost Savings'!F14)*$F$64))*$F$56*$F$61*$F$52</f>
        <v>-1.3460075734167327E-6</v>
      </c>
      <c r="K14" s="28">
        <f t="shared" si="2"/>
        <v>-4.0429552061253933</v>
      </c>
      <c r="L14" s="25">
        <f t="shared" si="3"/>
        <v>-2.1990997563678509</v>
      </c>
      <c r="M14" s="30">
        <v>854000</v>
      </c>
      <c r="N14" s="259">
        <f>('Vehicle Operating Cost Savings'!C14)*$F$57*$F$62</f>
        <v>-3.5451183866166936E-4</v>
      </c>
      <c r="O14" s="259">
        <f>((('Vehicle Operating Cost Savings'!C14)*$F$63)+(('Vehicle Operating Cost Savings'!F14)*$F$64))*$F$62*$F$58</f>
        <v>-1.7650587051134062E-4</v>
      </c>
      <c r="P14" s="28">
        <f t="shared" si="4"/>
        <v>-453.48912363375052</v>
      </c>
      <c r="Q14" s="25">
        <f t="shared" si="5"/>
        <v>-246.66803623931133</v>
      </c>
      <c r="R14" s="65">
        <v>61</v>
      </c>
      <c r="S14" s="35">
        <f>('Vehicle Operating Cost Savings'!C14)*($F$59*$F$62)/$F$51</f>
        <v>-14.871591740317466</v>
      </c>
      <c r="T14" s="261">
        <f>((('Vehicle Operating Cost Savings'!C14)*$F$63)+(('Vehicle Operating Cost Savings'!F14)*$F$64))*($F$60*$F$62)/$F$52</f>
        <v>-2.4753130759132769</v>
      </c>
      <c r="U14" s="28">
        <f t="shared" si="6"/>
        <v>-1058.1611937900755</v>
      </c>
      <c r="V14" s="25">
        <f t="shared" si="7"/>
        <v>-810.992444437421</v>
      </c>
      <c r="W14" s="20">
        <f t="shared" si="8"/>
        <v>-1188.3740520681185</v>
      </c>
    </row>
    <row r="15" spans="2:23" x14ac:dyDescent="0.3">
      <c r="B15" s="115">
        <v>2030</v>
      </c>
      <c r="C15" s="137">
        <v>18000</v>
      </c>
      <c r="D15" s="35">
        <f>('Vehicle Operating Cost Savings'!C15)*$F$53*$F$62</f>
        <v>-7.2008752206337507E-3</v>
      </c>
      <c r="E15" s="260">
        <f>((('Vehicle Operating Cost Savings'!C15)*$F$63)+(('Vehicle Operating Cost Savings'!F15)*$F$64))*$F$54*$F$62</f>
        <v>-6.2147119983259067E-3</v>
      </c>
      <c r="F15" s="28">
        <f t="shared" si="0"/>
        <v>-241.48056994127384</v>
      </c>
      <c r="G15" s="25">
        <f t="shared" si="1"/>
        <v>-122.75647679393477</v>
      </c>
      <c r="H15" s="29">
        <v>49100</v>
      </c>
      <c r="I15" s="259">
        <f>('Vehicle Operating Cost Savings'!C15)*$F$55*$F$61*$F$51</f>
        <v>-8.2947468485304265E-5</v>
      </c>
      <c r="J15" s="259">
        <f>((('Vehicle Operating Cost Savings'!C15)*$F$63)+(('Vehicle Operating Cost Savings'!F15)*$F$64))*$F$56*$F$61*$F$52</f>
        <v>-1.3527714305695809E-6</v>
      </c>
      <c r="K15" s="28">
        <f t="shared" si="2"/>
        <v>-4.1391417798694059</v>
      </c>
      <c r="L15" s="25">
        <f t="shared" si="3"/>
        <v>-2.1041297938418486</v>
      </c>
      <c r="M15" s="30">
        <v>867600</v>
      </c>
      <c r="N15" s="259">
        <f>('Vehicle Operating Cost Savings'!C15)*$F$57*$F$62</f>
        <v>-3.5629330518760743E-4</v>
      </c>
      <c r="O15" s="259">
        <f>((('Vehicle Operating Cost Savings'!C15)*$F$63)+(('Vehicle Operating Cost Savings'!F15)*$F$64))*$F$62*$F$58</f>
        <v>-1.7739283468476443E-4</v>
      </c>
      <c r="P15" s="28">
        <f t="shared" si="4"/>
        <v>-463.02609495326982</v>
      </c>
      <c r="Q15" s="25">
        <f t="shared" si="5"/>
        <v>-235.37898760939734</v>
      </c>
      <c r="R15" s="65">
        <v>62</v>
      </c>
      <c r="S15" s="35">
        <f>('Vehicle Operating Cost Savings'!C15)*($F$59*$F$62)/$F$51</f>
        <v>-14.946323357102983</v>
      </c>
      <c r="T15" s="261">
        <f>((('Vehicle Operating Cost Savings'!C15)*$F$63)+(('Vehicle Operating Cost Savings'!F15)*$F$64))*($F$60*$F$62)/$F$52</f>
        <v>-2.4877518350887207</v>
      </c>
      <c r="U15" s="28">
        <f t="shared" si="6"/>
        <v>-1080.9126619158856</v>
      </c>
      <c r="V15" s="25">
        <f t="shared" si="7"/>
        <v>-804.30053426643167</v>
      </c>
      <c r="W15" s="20">
        <f t="shared" si="8"/>
        <v>-1164.5401284636057</v>
      </c>
    </row>
    <row r="16" spans="2:23" x14ac:dyDescent="0.3">
      <c r="B16" s="115">
        <v>2031</v>
      </c>
      <c r="C16" s="137">
        <v>18000</v>
      </c>
      <c r="D16" s="35">
        <f>('Vehicle Operating Cost Savings'!C16)*$F$53*$F$62</f>
        <v>-7.2370605232500006E-3</v>
      </c>
      <c r="E16" s="260">
        <f>((('Vehicle Operating Cost Savings'!C16)*$F$63)+(('Vehicle Operating Cost Savings'!F16)*$F$64))*$F$54*$F$62</f>
        <v>-6.2459417068602089E-3</v>
      </c>
      <c r="F16" s="28">
        <f t="shared" si="0"/>
        <v>-242.69404014198378</v>
      </c>
      <c r="G16" s="25">
        <f t="shared" si="1"/>
        <v>-115.30219019765629</v>
      </c>
      <c r="H16" s="29">
        <v>49100</v>
      </c>
      <c r="I16" s="259">
        <f>('Vehicle Operating Cost Savings'!C16)*$F$55*$F$61*$F$51</f>
        <v>-8.3364289934979179E-5</v>
      </c>
      <c r="J16" s="259">
        <f>((('Vehicle Operating Cost Savings'!C16)*$F$63)+(('Vehicle Operating Cost Savings'!F16)*$F$64))*$F$56*$F$61*$F$52</f>
        <v>-1.3595692769543525E-6</v>
      </c>
      <c r="K16" s="28">
        <f t="shared" si="2"/>
        <v>-4.1599414873059359</v>
      </c>
      <c r="L16" s="25">
        <f t="shared" si="3"/>
        <v>-1.9763582340129136</v>
      </c>
      <c r="M16" s="30">
        <v>867600</v>
      </c>
      <c r="N16" s="259">
        <f>('Vehicle Operating Cost Savings'!C16)*$F$57*$F$62</f>
        <v>-3.5808372380664063E-4</v>
      </c>
      <c r="O16" s="259">
        <f>((('Vehicle Operating Cost Savings'!C16)*$F$63)+(('Vehicle Operating Cost Savings'!F16)*$F$64))*$F$62*$F$58</f>
        <v>-1.7828425596458738E-4</v>
      </c>
      <c r="P16" s="28">
        <f t="shared" si="4"/>
        <v>-465.35285924951739</v>
      </c>
      <c r="Q16" s="25">
        <f t="shared" si="5"/>
        <v>-221.08579120781224</v>
      </c>
      <c r="R16" s="65">
        <v>63</v>
      </c>
      <c r="S16" s="35">
        <f>('Vehicle Operating Cost Savings'!C16)*($F$59*$F$62)/$F$51</f>
        <v>-15.021430509651241</v>
      </c>
      <c r="T16" s="261">
        <f>((('Vehicle Operating Cost Savings'!C16)*$F$63)+(('Vehicle Operating Cost Savings'!F16)*$F$64))*($F$60*$F$62)/$F$52</f>
        <v>-2.5002531005916793</v>
      </c>
      <c r="U16" s="28">
        <f t="shared" si="6"/>
        <v>-1103.866067445304</v>
      </c>
      <c r="V16" s="25">
        <f t="shared" si="7"/>
        <v>-797.45633363789193</v>
      </c>
      <c r="W16" s="20">
        <f t="shared" si="8"/>
        <v>-1135.8206732773733</v>
      </c>
    </row>
    <row r="17" spans="2:23" x14ac:dyDescent="0.3">
      <c r="B17" s="115">
        <v>2032</v>
      </c>
      <c r="C17" s="137">
        <v>18000</v>
      </c>
      <c r="D17" s="35">
        <f>('Vehicle Operating Cost Savings'!C17)*$F$53*$F$62</f>
        <v>-7.2734276615577884E-3</v>
      </c>
      <c r="E17" s="260">
        <f>((('Vehicle Operating Cost Savings'!C17)*$F$63)+(('Vehicle Operating Cost Savings'!F17)*$F$64))*$F$54*$F$62</f>
        <v>-6.2773283486032248E-3</v>
      </c>
      <c r="F17" s="28">
        <f t="shared" si="0"/>
        <v>-243.91360818289823</v>
      </c>
      <c r="G17" s="25">
        <f t="shared" si="1"/>
        <v>-108.30055905476569</v>
      </c>
      <c r="H17" s="29">
        <v>49100</v>
      </c>
      <c r="I17" s="259">
        <f>('Vehicle Operating Cost Savings'!C17)*$F$55*$F$61*$F$51</f>
        <v>-8.3783205964803176E-5</v>
      </c>
      <c r="J17" s="259">
        <f>((('Vehicle Operating Cost Savings'!C17)*$F$63)+(('Vehicle Operating Cost Savings'!F17)*$F$64))*$F$56*$F$61*$F$52</f>
        <v>-1.3664012833712086E-6</v>
      </c>
      <c r="K17" s="28">
        <f t="shared" si="2"/>
        <v>-4.1808457158853622</v>
      </c>
      <c r="L17" s="25">
        <f t="shared" si="3"/>
        <v>-1.8563454975934941</v>
      </c>
      <c r="M17" s="30">
        <v>867600</v>
      </c>
      <c r="N17" s="259">
        <f>('Vehicle Operating Cost Savings'!C17)*$F$57*$F$62</f>
        <v>-3.5988313950416139E-4</v>
      </c>
      <c r="O17" s="259">
        <f>((('Vehicle Operating Cost Savings'!C17)*$F$63)+(('Vehicle Operating Cost Savings'!F17)*$F$64))*$F$62*$F$58</f>
        <v>-1.7918015674832905E-4</v>
      </c>
      <c r="P17" s="28">
        <f t="shared" si="4"/>
        <v>-467.69131582866066</v>
      </c>
      <c r="Q17" s="25">
        <f t="shared" si="5"/>
        <v>-207.66053746096114</v>
      </c>
      <c r="R17" s="65">
        <v>64</v>
      </c>
      <c r="S17" s="35">
        <f>('Vehicle Operating Cost Savings'!C17)*($F$59*$F$62)/$F$51</f>
        <v>-15.096915085076622</v>
      </c>
      <c r="T17" s="261">
        <f>((('Vehicle Operating Cost Savings'!C17)*$F$63)+(('Vehicle Operating Cost Savings'!F17)*$F$64))*($F$60*$F$62)/$F$52</f>
        <v>-2.512817186524301</v>
      </c>
      <c r="U17" s="28">
        <f t="shared" si="6"/>
        <v>-1127.022865382459</v>
      </c>
      <c r="V17" s="25">
        <f t="shared" si="7"/>
        <v>-790.47116229669052</v>
      </c>
      <c r="W17" s="20">
        <f t="shared" si="8"/>
        <v>-1108.2886043100109</v>
      </c>
    </row>
    <row r="18" spans="2:23" x14ac:dyDescent="0.3">
      <c r="B18" s="115">
        <v>2033</v>
      </c>
      <c r="C18" s="137">
        <v>18000</v>
      </c>
      <c r="D18" s="35">
        <f>('Vehicle Operating Cost Savings'!C18)*$F$53*$F$62</f>
        <v>-7.3099775493043117E-3</v>
      </c>
      <c r="E18" s="260">
        <f>((('Vehicle Operating Cost Savings'!C18)*$F$63)+(('Vehicle Operating Cost Savings'!F18)*$F$64))*$F$54*$F$62</f>
        <v>-6.3088727121640457E-3</v>
      </c>
      <c r="F18" s="28">
        <f t="shared" si="0"/>
        <v>-245.13930470643044</v>
      </c>
      <c r="G18" s="25">
        <f t="shared" si="1"/>
        <v>-101.7240962332839</v>
      </c>
      <c r="H18" s="29">
        <v>49100</v>
      </c>
      <c r="I18" s="259">
        <f>('Vehicle Operating Cost Savings'!C18)*$F$55*$F$61*$F$51</f>
        <v>-8.4204227100304716E-5</v>
      </c>
      <c r="J18" s="259">
        <f>((('Vehicle Operating Cost Savings'!C18)*$F$63)+(('Vehicle Operating Cost Savings'!F18)*$F$64))*$F$56*$F$61*$F$52</f>
        <v>-1.3732676214786018E-6</v>
      </c>
      <c r="K18" s="28">
        <f t="shared" si="2"/>
        <v>-4.2018549908395606</v>
      </c>
      <c r="L18" s="25">
        <f t="shared" si="3"/>
        <v>-1.7436204363814345</v>
      </c>
      <c r="M18" s="30">
        <v>867600</v>
      </c>
      <c r="N18" s="259">
        <f>('Vehicle Operating Cost Savings'!C18)*$F$57*$F$62</f>
        <v>-3.6169159749161958E-4</v>
      </c>
      <c r="O18" s="259">
        <f>((('Vehicle Operating Cost Savings'!C18)*$F$63)+(('Vehicle Operating Cost Savings'!F18)*$F$64))*$F$62*$F$58</f>
        <v>-1.8008055954605936E-4</v>
      </c>
      <c r="P18" s="28">
        <f t="shared" si="4"/>
        <v>-470.04152344589022</v>
      </c>
      <c r="Q18" s="25">
        <f t="shared" si="5"/>
        <v>-195.05052126141095</v>
      </c>
      <c r="R18" s="65">
        <v>65</v>
      </c>
      <c r="S18" s="35">
        <f>('Vehicle Operating Cost Savings'!C18)*($F$59*$F$62)/$F$51</f>
        <v>-15.172778979976506</v>
      </c>
      <c r="T18" s="261">
        <f>((('Vehicle Operating Cost Savings'!C18)*$F$63)+(('Vehicle Operating Cost Savings'!F18)*$F$64))*($F$60*$F$62)/$F$52</f>
        <v>-2.5254444085671368</v>
      </c>
      <c r="U18" s="28">
        <f t="shared" si="6"/>
        <v>-1150.3845202553368</v>
      </c>
      <c r="V18" s="25">
        <f t="shared" si="7"/>
        <v>-783.35588057528071</v>
      </c>
      <c r="W18" s="20">
        <f t="shared" si="8"/>
        <v>-1081.874118506357</v>
      </c>
    </row>
    <row r="19" spans="2:23" x14ac:dyDescent="0.3">
      <c r="B19" s="115">
        <v>2034</v>
      </c>
      <c r="C19" s="137">
        <v>18000</v>
      </c>
      <c r="D19" s="35">
        <f>('Vehicle Operating Cost Savings'!C19)*$F$53*$F$62</f>
        <v>-7.3467111048284529E-3</v>
      </c>
      <c r="E19" s="260">
        <f>((('Vehicle Operating Cost Savings'!C19)*$F$63)+(('Vehicle Operating Cost Savings'!F19)*$F$64))*$F$54*$F$62</f>
        <v>-6.340575590114618E-3</v>
      </c>
      <c r="F19" s="28">
        <f t="shared" si="0"/>
        <v>-246.37116050897529</v>
      </c>
      <c r="G19" s="25">
        <f t="shared" si="1"/>
        <v>-95.546983734827307</v>
      </c>
      <c r="H19" s="29">
        <v>49100</v>
      </c>
      <c r="I19" s="259">
        <f>('Vehicle Operating Cost Savings'!C19)*$F$55*$F$61*$F$51</f>
        <v>-8.4627363919904236E-5</v>
      </c>
      <c r="J19" s="259">
        <f>((('Vehicle Operating Cost Savings'!C19)*$F$63)+(('Vehicle Operating Cost Savings'!F19)*$F$64))*$F$56*$F$61*$F$52</f>
        <v>-1.3801684637975897E-6</v>
      </c>
      <c r="K19" s="28">
        <f t="shared" si="2"/>
        <v>-4.2229698400397595</v>
      </c>
      <c r="L19" s="25">
        <f t="shared" si="3"/>
        <v>-1.6377405122635933</v>
      </c>
      <c r="M19" s="30">
        <v>867600</v>
      </c>
      <c r="N19" s="259">
        <f>('Vehicle Operating Cost Savings'!C19)*$F$57*$F$62</f>
        <v>-3.6350914320765779E-4</v>
      </c>
      <c r="O19" s="259">
        <f>((('Vehicle Operating Cost Savings'!C19)*$F$63)+(('Vehicle Operating Cost Savings'!F19)*$F$64))*$F$62*$F$58</f>
        <v>-1.8098548698096417E-4</v>
      </c>
      <c r="P19" s="28">
        <f t="shared" si="4"/>
        <v>-472.40354115164843</v>
      </c>
      <c r="Q19" s="25">
        <f t="shared" si="5"/>
        <v>-183.2062379762466</v>
      </c>
      <c r="R19" s="65">
        <v>66</v>
      </c>
      <c r="S19" s="35">
        <f>('Vehicle Operating Cost Savings'!C19)*($F$59*$F$62)/$F$51</f>
        <v>-15.2490241004789</v>
      </c>
      <c r="T19" s="261">
        <f>((('Vehicle Operating Cost Savings'!C19)*$F$63)+(('Vehicle Operating Cost Savings'!F19)*$F$64))*($F$60*$F$62)/$F$52</f>
        <v>-2.538135083987072</v>
      </c>
      <c r="U19" s="28">
        <f t="shared" si="6"/>
        <v>-1173.952506174754</v>
      </c>
      <c r="V19" s="25">
        <f t="shared" si="7"/>
        <v>-776.12090501752243</v>
      </c>
      <c r="W19" s="20">
        <f t="shared" si="8"/>
        <v>-1056.5118672408598</v>
      </c>
    </row>
    <row r="20" spans="2:23" x14ac:dyDescent="0.3">
      <c r="B20" s="115">
        <v>2035</v>
      </c>
      <c r="C20" s="137">
        <v>18000</v>
      </c>
      <c r="D20" s="35">
        <f>('Vehicle Operating Cost Savings'!C20)*$F$53*$F$62</f>
        <v>-7.3836292510838716E-3</v>
      </c>
      <c r="E20" s="260">
        <f>((('Vehicle Operating Cost Savings'!C20)*$F$63)+(('Vehicle Operating Cost Savings'!F20)*$F$64))*$F$54*$F$62</f>
        <v>-6.3724377790096674E-3</v>
      </c>
      <c r="F20" s="28">
        <f t="shared" si="0"/>
        <v>-247.6092065416837</v>
      </c>
      <c r="G20" s="25">
        <f t="shared" si="1"/>
        <v>-89.744971337836191</v>
      </c>
      <c r="H20" s="29">
        <v>49100</v>
      </c>
      <c r="I20" s="259">
        <f>('Vehicle Operating Cost Savings'!C20)*$F$55*$F$61*$F$51</f>
        <v>-8.5052627055180117E-5</v>
      </c>
      <c r="J20" s="259">
        <f>((('Vehicle Operating Cost Savings'!C20)*$F$63)+(('Vehicle Operating Cost Savings'!F20)*$F$64))*$F$56*$F$61*$F$52</f>
        <v>-1.3871039837161706E-6</v>
      </c>
      <c r="K20" s="28">
        <f t="shared" si="2"/>
        <v>-4.2441907940098078</v>
      </c>
      <c r="L20" s="25">
        <f t="shared" si="3"/>
        <v>-1.5382900598916009</v>
      </c>
      <c r="M20" s="30">
        <v>867600</v>
      </c>
      <c r="N20" s="259">
        <f>('Vehicle Operating Cost Savings'!C20)*$F$57*$F$62</f>
        <v>-3.6533582231925408E-4</v>
      </c>
      <c r="O20" s="259">
        <f>((('Vehicle Operating Cost Savings'!C20)*$F$63)+(('Vehicle Operating Cost Savings'!F20)*$F$64))*$F$62*$F$58</f>
        <v>-1.8189496178991376E-4</v>
      </c>
      <c r="P20" s="28">
        <f t="shared" si="4"/>
        <v>-474.77742829311404</v>
      </c>
      <c r="Q20" s="25">
        <f t="shared" si="5"/>
        <v>-172.08118910087501</v>
      </c>
      <c r="R20" s="65">
        <v>67</v>
      </c>
      <c r="S20" s="35">
        <f>('Vehicle Operating Cost Savings'!C20)*($F$59*$F$62)/$F$51</f>
        <v>-15.32565236229035</v>
      </c>
      <c r="T20" s="261">
        <f>((('Vehicle Operating Cost Savings'!C20)*$F$63)+(('Vehicle Operating Cost Savings'!F20)*$F$64))*($F$60*$F$62)/$F$52</f>
        <v>-2.5508895316452986</v>
      </c>
      <c r="U20" s="28">
        <f t="shared" si="6"/>
        <v>-1197.7283068936886</v>
      </c>
      <c r="V20" s="25">
        <f t="shared" si="7"/>
        <v>-768.77622351495643</v>
      </c>
      <c r="W20" s="20">
        <f t="shared" si="8"/>
        <v>-1032.1406740135592</v>
      </c>
    </row>
    <row r="21" spans="2:23" x14ac:dyDescent="0.3">
      <c r="B21" s="115">
        <v>2036</v>
      </c>
      <c r="C21" s="137">
        <v>18000</v>
      </c>
      <c r="D21" s="35">
        <f>('Vehicle Operating Cost Savings'!C21)*$F$53*$F$62</f>
        <v>-7.4207329156621843E-3</v>
      </c>
      <c r="E21" s="260">
        <f>((('Vehicle Operating Cost Savings'!C21)*$F$63)+(('Vehicle Operating Cost Savings'!F21)*$F$64))*$F$54*$F$62</f>
        <v>-6.4044600794067007E-3</v>
      </c>
      <c r="F21" s="28">
        <f t="shared" si="0"/>
        <v>-248.85347391123992</v>
      </c>
      <c r="G21" s="25">
        <f t="shared" si="1"/>
        <v>-84.295281395610019</v>
      </c>
      <c r="H21" s="29">
        <v>49100</v>
      </c>
      <c r="I21" s="259">
        <f>('Vehicle Operating Cost Savings'!C21)*$F$55*$F$61*$F$51</f>
        <v>-8.5480027191135806E-5</v>
      </c>
      <c r="J21" s="259">
        <f>((('Vehicle Operating Cost Savings'!C21)*$F$63)+(('Vehicle Operating Cost Savings'!F21)*$F$64))*$F$56*$F$61*$F$52</f>
        <v>-1.3940743554936387E-6</v>
      </c>
      <c r="K21" s="28">
        <f t="shared" si="2"/>
        <v>-4.2655183859395054</v>
      </c>
      <c r="L21" s="25">
        <f t="shared" si="3"/>
        <v>-1.4448786548552117</v>
      </c>
      <c r="M21" s="30">
        <v>867600</v>
      </c>
      <c r="N21" s="259">
        <f>('Vehicle Operating Cost Savings'!C21)*$F$57*$F$62</f>
        <v>-3.6717168072286844E-4</v>
      </c>
      <c r="O21" s="259">
        <f>((('Vehicle Operating Cost Savings'!C21)*$F$63)+(('Vehicle Operating Cost Savings'!F21)*$F$64))*$F$62*$F$58</f>
        <v>-1.8280900682403391E-4</v>
      </c>
      <c r="P21" s="28">
        <f t="shared" si="4"/>
        <v>-477.1632445156925</v>
      </c>
      <c r="Q21" s="25">
        <f t="shared" si="5"/>
        <v>-161.63169971434277</v>
      </c>
      <c r="R21" s="65">
        <v>69</v>
      </c>
      <c r="S21" s="35">
        <f>('Vehicle Operating Cost Savings'!C21)*($F$59*$F$62)/$F$51</f>
        <v>-15.402665690744072</v>
      </c>
      <c r="T21" s="261">
        <f>((('Vehicle Operating Cost Savings'!C21)*$F$63)+(('Vehicle Operating Cost Savings'!F21)*$F$64))*($F$60*$F$62)/$F$52</f>
        <v>-2.5637080720053254</v>
      </c>
      <c r="U21" s="28">
        <f t="shared" si="6"/>
        <v>-1239.6797896297085</v>
      </c>
      <c r="V21" s="25">
        <f t="shared" si="7"/>
        <v>-772.52746011658076</v>
      </c>
      <c r="W21" s="20">
        <f t="shared" si="8"/>
        <v>-1019.8993198813887</v>
      </c>
    </row>
    <row r="22" spans="2:23" x14ac:dyDescent="0.3">
      <c r="B22" s="115">
        <v>2037</v>
      </c>
      <c r="C22" s="137">
        <v>18000</v>
      </c>
      <c r="D22" s="35">
        <f>('Vehicle Operating Cost Savings'!C22)*$F$53*$F$62</f>
        <v>-7.4580230308162647E-3</v>
      </c>
      <c r="E22" s="260">
        <f>((('Vehicle Operating Cost Savings'!C22)*$F$63)+(('Vehicle Operating Cost Savings'!F22)*$F$64))*$F$54*$F$62</f>
        <v>-6.4366432958861313E-3</v>
      </c>
      <c r="F22" s="28">
        <f t="shared" si="0"/>
        <v>-250.10399388064312</v>
      </c>
      <c r="G22" s="25">
        <f t="shared" si="1"/>
        <v>-79.17651941540413</v>
      </c>
      <c r="H22" s="29">
        <v>49100</v>
      </c>
      <c r="I22" s="259">
        <f>('Vehicle Operating Cost Savings'!C22)*$F$55*$F$61*$F$51</f>
        <v>-8.5909575066468152E-5</v>
      </c>
      <c r="J22" s="259">
        <f>((('Vehicle Operating Cost Savings'!C22)*$F$63)+(('Vehicle Operating Cost Savings'!F22)*$F$64))*$F$56*$F$61*$F$52</f>
        <v>-1.4010797542649636E-6</v>
      </c>
      <c r="K22" s="28">
        <f t="shared" si="2"/>
        <v>-4.286953151697996</v>
      </c>
      <c r="L22" s="25">
        <f t="shared" si="3"/>
        <v>-1.3571395809469891</v>
      </c>
      <c r="M22" s="30">
        <v>867600</v>
      </c>
      <c r="N22" s="259">
        <f>('Vehicle Operating Cost Savings'!C22)*$F$57*$F$62</f>
        <v>-3.6901676454559643E-4</v>
      </c>
      <c r="O22" s="259">
        <f>((('Vehicle Operating Cost Savings'!C22)*$F$63)+(('Vehicle Operating Cost Savings'!F22)*$F$64))*$F$62*$F$58</f>
        <v>-1.8372764504928033E-4</v>
      </c>
      <c r="P22" s="28">
        <f t="shared" si="4"/>
        <v>-479.56104976451508</v>
      </c>
      <c r="Q22" s="25">
        <f t="shared" si="5"/>
        <v>-151.81674701953017</v>
      </c>
      <c r="R22" s="65">
        <v>70</v>
      </c>
      <c r="S22" s="35">
        <f>('Vehicle Operating Cost Savings'!C22)*($F$59*$F$62)/$F$51</f>
        <v>-15.480066020848312</v>
      </c>
      <c r="T22" s="261">
        <f>((('Vehicle Operating Cost Savings'!C22)*$F$63)+(('Vehicle Operating Cost Savings'!F22)*$F$64))*($F$60*$F$62)/$F$52</f>
        <v>-2.5765910271410304</v>
      </c>
      <c r="U22" s="28">
        <f t="shared" si="6"/>
        <v>-1263.9659933592541</v>
      </c>
      <c r="V22" s="25">
        <f t="shared" si="7"/>
        <v>-764.72021297087156</v>
      </c>
      <c r="W22" s="20">
        <f t="shared" si="8"/>
        <v>-997.07061898675283</v>
      </c>
    </row>
    <row r="23" spans="2:23" x14ac:dyDescent="0.3">
      <c r="B23" s="115">
        <v>2038</v>
      </c>
      <c r="C23" s="137">
        <v>18000</v>
      </c>
      <c r="D23" s="35">
        <f>('Vehicle Operating Cost Savings'!C23)*$F$53*$F$62</f>
        <v>-7.4955005334836821E-3</v>
      </c>
      <c r="E23" s="260">
        <f>((('Vehicle Operating Cost Savings'!C23)*$F$63)+(('Vehicle Operating Cost Savings'!F23)*$F$64))*$F$54*$F$62</f>
        <v>-6.4689882370714885E-3</v>
      </c>
      <c r="F23" s="28">
        <f t="shared" si="0"/>
        <v>-251.36079786999306</v>
      </c>
      <c r="G23" s="25">
        <f t="shared" si="1"/>
        <v>-74.368590067537809</v>
      </c>
      <c r="H23" s="29">
        <v>49100</v>
      </c>
      <c r="I23" s="259">
        <f>('Vehicle Operating Cost Savings'!C23)*$F$55*$F$61*$F$51</f>
        <v>-8.6341281473837326E-5</v>
      </c>
      <c r="J23" s="259">
        <f>((('Vehicle Operating Cost Savings'!C23)*$F$63)+(('Vehicle Operating Cost Savings'!F23)*$F$64))*$F$56*$F$61*$F$52</f>
        <v>-1.4081203560451895E-6</v>
      </c>
      <c r="K23" s="28">
        <f t="shared" si="2"/>
        <v>-4.3084956298472319</v>
      </c>
      <c r="L23" s="25">
        <f t="shared" si="3"/>
        <v>-1.2747283905010933</v>
      </c>
      <c r="M23" s="30">
        <v>867600</v>
      </c>
      <c r="N23" s="259">
        <f>('Vehicle Operating Cost Savings'!C23)*$F$57*$F$62</f>
        <v>-3.7087112014632805E-4</v>
      </c>
      <c r="O23" s="259">
        <f>((('Vehicle Operating Cost Savings'!C23)*$F$63)+(('Vehicle Operating Cost Savings'!F23)*$F$64))*$F$62*$F$58</f>
        <v>-1.846508995470154E-4</v>
      </c>
      <c r="P23" s="28">
        <f t="shared" si="4"/>
        <v>-481.97090428594475</v>
      </c>
      <c r="Q23" s="25">
        <f t="shared" si="5"/>
        <v>-142.59779929510179</v>
      </c>
      <c r="R23" s="65">
        <v>71</v>
      </c>
      <c r="S23" s="35">
        <f>('Vehicle Operating Cost Savings'!C23)*($F$59*$F$62)/$F$51</f>
        <v>-15.557855297334987</v>
      </c>
      <c r="T23" s="261">
        <f>((('Vehicle Operating Cost Savings'!C23)*$F$63)+(('Vehicle Operating Cost Savings'!F23)*$F$64))*($F$60*$F$62)/$F$52</f>
        <v>-2.5895387207447542</v>
      </c>
      <c r="U23" s="28">
        <f t="shared" si="6"/>
        <v>-1288.4649752836615</v>
      </c>
      <c r="V23" s="25">
        <f t="shared" si="7"/>
        <v>-756.83737858406982</v>
      </c>
      <c r="W23" s="20">
        <f t="shared" si="8"/>
        <v>-975.07849633721048</v>
      </c>
    </row>
    <row r="24" spans="2:23" x14ac:dyDescent="0.3">
      <c r="B24" s="115">
        <v>2039</v>
      </c>
      <c r="C24" s="137">
        <v>18000</v>
      </c>
      <c r="D24" s="35">
        <f>('Vehicle Operating Cost Savings'!C24)*$F$53*$F$62</f>
        <v>-7.5331663653102334E-3</v>
      </c>
      <c r="E24" s="260">
        <f>((('Vehicle Operating Cost Savings'!C24)*$F$63)+(('Vehicle Operating Cost Savings'!F24)*$F$64))*$F$54*$F$62</f>
        <v>-6.5014957156497369E-3</v>
      </c>
      <c r="F24" s="28">
        <f t="shared" si="0"/>
        <v>-252.62391745727948</v>
      </c>
      <c r="G24" s="25">
        <f t="shared" si="1"/>
        <v>-69.852618294780257</v>
      </c>
      <c r="H24" s="29">
        <v>49100</v>
      </c>
      <c r="I24" s="259">
        <f>('Vehicle Operating Cost Savings'!C24)*$F$55*$F$61*$F$51</f>
        <v>-8.6775157260138026E-5</v>
      </c>
      <c r="J24" s="259">
        <f>((('Vehicle Operating Cost Savings'!C24)*$F$63)+(('Vehicle Operating Cost Savings'!F24)*$F$64))*$F$56*$F$61*$F$52</f>
        <v>-1.4151963377338589E-6</v>
      </c>
      <c r="K24" s="28">
        <f t="shared" si="2"/>
        <v>-4.3301463616555091</v>
      </c>
      <c r="L24" s="25">
        <f t="shared" si="3"/>
        <v>-1.1973215521543166</v>
      </c>
      <c r="M24" s="30">
        <v>867600</v>
      </c>
      <c r="N24" s="259">
        <f>('Vehicle Operating Cost Savings'!C24)*$F$57*$F$62</f>
        <v>-3.7273479411691258E-4</v>
      </c>
      <c r="O24" s="259">
        <f>((('Vehicle Operating Cost Savings'!C24)*$F$63)+(('Vehicle Operating Cost Savings'!F24)*$F$64))*$F$62*$F$58</f>
        <v>-1.8557879351458834E-4</v>
      </c>
      <c r="P24" s="28">
        <f t="shared" si="4"/>
        <v>-484.39286862909017</v>
      </c>
      <c r="Q24" s="25">
        <f t="shared" si="5"/>
        <v>-133.93866462696829</v>
      </c>
      <c r="R24" s="65">
        <v>72</v>
      </c>
      <c r="S24" s="35">
        <f>('Vehicle Operating Cost Savings'!C24)*($F$59*$F$62)/$F$51</f>
        <v>-15.636035474708528</v>
      </c>
      <c r="T24" s="261">
        <f>((('Vehicle Operating Cost Savings'!C24)*$F$63)+(('Vehicle Operating Cost Savings'!F24)*$F$64))*($F$60*$F$62)/$F$52</f>
        <v>-2.6025514781354313</v>
      </c>
      <c r="U24" s="28">
        <f t="shared" si="6"/>
        <v>-1313.178260604765</v>
      </c>
      <c r="V24" s="25">
        <f t="shared" si="7"/>
        <v>-748.8872127360861</v>
      </c>
      <c r="W24" s="20">
        <f t="shared" si="8"/>
        <v>-953.87581720998901</v>
      </c>
    </row>
    <row r="25" spans="2:23" x14ac:dyDescent="0.3">
      <c r="B25" s="115">
        <v>2040</v>
      </c>
      <c r="C25" s="137">
        <v>18000</v>
      </c>
      <c r="D25" s="35">
        <f>('Vehicle Operating Cost Savings'!C25)*$F$53*$F$62</f>
        <v>-7.5710214726736015E-3</v>
      </c>
      <c r="E25" s="260">
        <f>((('Vehicle Operating Cost Savings'!C25)*$F$63)+(('Vehicle Operating Cost Savings'!F25)*$F$64))*$F$54*$F$62</f>
        <v>-6.5341665483916967E-3</v>
      </c>
      <c r="F25" s="28">
        <f t="shared" si="0"/>
        <v>-253.89338437917536</v>
      </c>
      <c r="G25" s="25">
        <f t="shared" si="1"/>
        <v>-65.610875212304762</v>
      </c>
      <c r="H25" s="29">
        <v>49100</v>
      </c>
      <c r="I25" s="259">
        <f>('Vehicle Operating Cost Savings'!C25)*$F$55*$F$61*$F$51</f>
        <v>-8.7211213326771886E-5</v>
      </c>
      <c r="J25" s="259">
        <f>((('Vehicle Operating Cost Savings'!C25)*$F$63)+(('Vehicle Operating Cost Savings'!F25)*$F$64))*$F$56*$F$61*$F$52</f>
        <v>-1.422307877119456E-6</v>
      </c>
      <c r="K25" s="28">
        <f t="shared" si="2"/>
        <v>-4.3519058911110653</v>
      </c>
      <c r="L25" s="25">
        <f t="shared" si="3"/>
        <v>-1.1246151807207221</v>
      </c>
      <c r="M25" s="30">
        <v>867600</v>
      </c>
      <c r="N25" s="259">
        <f>('Vehicle Operating Cost Savings'!C25)*$F$57*$F$62</f>
        <v>-3.7460783328332922E-4</v>
      </c>
      <c r="O25" s="259">
        <f>((('Vehicle Operating Cost Savings'!C25)*$F$63)+(('Vehicle Operating Cost Savings'!F25)*$F$64))*$F$62*$F$58</f>
        <v>-1.8651135026591793E-4</v>
      </c>
      <c r="P25" s="28">
        <f t="shared" si="4"/>
        <v>-486.82700364732676</v>
      </c>
      <c r="Q25" s="25">
        <f t="shared" si="5"/>
        <v>-125.8053488254058</v>
      </c>
      <c r="R25" s="65">
        <v>73</v>
      </c>
      <c r="S25" s="35">
        <f>('Vehicle Operating Cost Savings'!C25)*($F$59*$F$62)/$F$51</f>
        <v>-15.714608517295003</v>
      </c>
      <c r="T25" s="261">
        <f>((('Vehicle Operating Cost Savings'!C25)*$F$63)+(('Vehicle Operating Cost Savings'!F25)*$F$64))*($F$60*$F$62)/$F$52</f>
        <v>-2.6156296262667649</v>
      </c>
      <c r="U25" s="28">
        <f t="shared" si="6"/>
        <v>-1338.1073844800092</v>
      </c>
      <c r="V25" s="25">
        <f t="shared" si="7"/>
        <v>-740.87761528427313</v>
      </c>
      <c r="W25" s="20">
        <f t="shared" si="8"/>
        <v>-933.41845450270444</v>
      </c>
    </row>
    <row r="26" spans="2:23" x14ac:dyDescent="0.3">
      <c r="B26" s="115">
        <v>2041</v>
      </c>
      <c r="C26" s="137">
        <v>18000</v>
      </c>
      <c r="D26" s="35">
        <f>('Vehicle Operating Cost Savings'!C26)*$F$53*$F$62</f>
        <v>-7.609066806707138E-3</v>
      </c>
      <c r="E26" s="260">
        <f>((('Vehicle Operating Cost Savings'!C26)*$F$63)+(('Vehicle Operating Cost Savings'!F26)*$F$64))*$F$54*$F$62</f>
        <v>-6.5670015561725579E-3</v>
      </c>
      <c r="F26" s="28">
        <f t="shared" si="0"/>
        <v>-255.1692305318345</v>
      </c>
      <c r="G26" s="25">
        <f t="shared" si="1"/>
        <v>-61.626708507307335</v>
      </c>
      <c r="H26" s="29">
        <v>49100</v>
      </c>
      <c r="I26" s="259">
        <f>('Vehicle Operating Cost Savings'!C26)*$F$55*$F$61*$F$51</f>
        <v>-8.7649460629921468E-5</v>
      </c>
      <c r="J26" s="259">
        <f>((('Vehicle Operating Cost Savings'!C26)*$F$63)+(('Vehicle Operating Cost Savings'!F26)*$F$64))*$F$56*$F$61*$F$52</f>
        <v>-1.4294551528838755E-6</v>
      </c>
      <c r="K26" s="28">
        <f t="shared" si="2"/>
        <v>-4.3737747649357424</v>
      </c>
      <c r="L26" s="25">
        <f t="shared" si="3"/>
        <v>-1.0563238441936051</v>
      </c>
      <c r="M26" s="30">
        <v>867600</v>
      </c>
      <c r="N26" s="259">
        <f>('Vehicle Operating Cost Savings'!C26)*$F$57*$F$62</f>
        <v>-3.7649028470686355E-4</v>
      </c>
      <c r="O26" s="259">
        <f>((('Vehicle Operating Cost Savings'!C26)*$F$63)+(('Vehicle Operating Cost Savings'!F26)*$F$64))*$F$62*$F$58</f>
        <v>-1.8744859323207831E-4</v>
      </c>
      <c r="P26" s="28">
        <f t="shared" si="4"/>
        <v>-489.27337049982594</v>
      </c>
      <c r="Q26" s="25">
        <f t="shared" si="5"/>
        <v>-118.16592197004256</v>
      </c>
      <c r="R26" s="65">
        <v>74</v>
      </c>
      <c r="S26" s="35">
        <f>('Vehicle Operating Cost Savings'!C26)*($F$59*$F$62)/$F$51</f>
        <v>-15.793576399291464</v>
      </c>
      <c r="T26" s="261">
        <f>((('Vehicle Operating Cost Savings'!C26)*$F$63)+(('Vehicle Operating Cost Savings'!F26)*$F$64))*($F$60*$F$62)/$F$52</f>
        <v>-2.6287734937354426</v>
      </c>
      <c r="U26" s="28">
        <f t="shared" si="6"/>
        <v>-1363.2538920839909</v>
      </c>
      <c r="V26" s="25">
        <f t="shared" si="7"/>
        <v>-732.81614256996136</v>
      </c>
      <c r="W26" s="20">
        <f t="shared" si="8"/>
        <v>-913.66509689150485</v>
      </c>
    </row>
    <row r="27" spans="2:23" x14ac:dyDescent="0.3">
      <c r="B27" s="115">
        <v>2042</v>
      </c>
      <c r="C27" s="137">
        <v>18000</v>
      </c>
      <c r="D27" s="35">
        <f>('Vehicle Operating Cost Savings'!C27)*$F$53*$F$62</f>
        <v>-7.647303323323756E-3</v>
      </c>
      <c r="E27" s="260">
        <f>((('Vehicle Operating Cost Savings'!C27)*$F$63)+(('Vehicle Operating Cost Savings'!F27)*$F$64))*$F$54*$F$62</f>
        <v>-6.6000015639925214E-3</v>
      </c>
      <c r="F27" s="28">
        <f t="shared" si="0"/>
        <v>-256.45148797169298</v>
      </c>
      <c r="G27" s="25">
        <f t="shared" si="1"/>
        <v>-57.88447706505174</v>
      </c>
      <c r="H27" s="29">
        <v>49100</v>
      </c>
      <c r="I27" s="259">
        <f>('Vehicle Operating Cost Savings'!C27)*$F$55*$F$61*$F$51</f>
        <v>-8.8089910180825595E-5</v>
      </c>
      <c r="J27" s="259">
        <f>((('Vehicle Operating Cost Savings'!C27)*$F$63)+(('Vehicle Operating Cost Savings'!F27)*$F$64))*$F$56*$F$61*$F$52</f>
        <v>-1.43663834460691E-6</v>
      </c>
      <c r="K27" s="28">
        <f t="shared" si="2"/>
        <v>-4.3957535325987358</v>
      </c>
      <c r="L27" s="25">
        <f t="shared" si="3"/>
        <v>-0.99217944319128826</v>
      </c>
      <c r="M27" s="30">
        <v>867600</v>
      </c>
      <c r="N27" s="259">
        <f>('Vehicle Operating Cost Savings'!C27)*$F$57*$F$62</f>
        <v>-3.7838219568528999E-4</v>
      </c>
      <c r="O27" s="259">
        <f>((('Vehicle Operating Cost Savings'!C27)*$F$63)+(('Vehicle Operating Cost Savings'!F27)*$F$64))*$F$62*$F$58</f>
        <v>-1.8839054596188776E-4</v>
      </c>
      <c r="P27" s="28">
        <f t="shared" si="4"/>
        <v>-491.73203065309144</v>
      </c>
      <c r="Q27" s="25">
        <f t="shared" si="5"/>
        <v>-110.99039305879168</v>
      </c>
      <c r="R27" s="65">
        <v>75</v>
      </c>
      <c r="S27" s="35">
        <f>('Vehicle Operating Cost Savings'!C27)*($F$59*$F$62)/$F$51</f>
        <v>-15.87294110481554</v>
      </c>
      <c r="T27" s="261">
        <f>((('Vehicle Operating Cost Savings'!C27)*$F$63)+(('Vehicle Operating Cost Savings'!F27)*$F$64))*($F$60*$F$62)/$F$52</f>
        <v>-2.6419834107893894</v>
      </c>
      <c r="U27" s="28">
        <f t="shared" si="6"/>
        <v>-1388.6193386703696</v>
      </c>
      <c r="V27" s="25">
        <f t="shared" si="7"/>
        <v>-724.71001943260126</v>
      </c>
      <c r="W27" s="20">
        <f t="shared" si="8"/>
        <v>-894.57706899963591</v>
      </c>
    </row>
    <row r="28" spans="2:23" x14ac:dyDescent="0.3">
      <c r="B28" s="115">
        <v>2043</v>
      </c>
      <c r="C28" s="137">
        <v>18000</v>
      </c>
      <c r="D28" s="35">
        <f>('Vehicle Operating Cost Savings'!C28)*$F$53*$F$62</f>
        <v>-7.6857319832399568E-3</v>
      </c>
      <c r="E28" s="260">
        <f>((('Vehicle Operating Cost Savings'!C28)*$F$63)+(('Vehicle Operating Cost Savings'!F28)*$F$64))*$F$54*$F$62</f>
        <v>-6.6331674009975083E-3</v>
      </c>
      <c r="F28" s="28">
        <f t="shared" si="0"/>
        <v>-257.74018891627435</v>
      </c>
      <c r="G28" s="25">
        <f t="shared" si="1"/>
        <v>-54.369489564694256</v>
      </c>
      <c r="H28" s="29">
        <v>49100</v>
      </c>
      <c r="I28" s="259">
        <f>('Vehicle Operating Cost Savings'!C28)*$F$55*$F$61*$F$51</f>
        <v>-8.8532573046055905E-5</v>
      </c>
      <c r="J28" s="259">
        <f>((('Vehicle Operating Cost Savings'!C28)*$F$63)+(('Vehicle Operating Cost Savings'!F28)*$F$64))*$F$56*$F$61*$F$52</f>
        <v>-1.4438576327707639E-6</v>
      </c>
      <c r="K28" s="28">
        <f t="shared" si="2"/>
        <v>-4.4178427463303898</v>
      </c>
      <c r="L28" s="25">
        <f t="shared" si="3"/>
        <v>-0.93193015844764826</v>
      </c>
      <c r="M28" s="30">
        <v>867600</v>
      </c>
      <c r="N28" s="259">
        <f>('Vehicle Operating Cost Savings'!C28)*$F$57*$F$62</f>
        <v>-3.8028361375406036E-4</v>
      </c>
      <c r="O28" s="259">
        <f>((('Vehicle Operating Cost Savings'!C28)*$F$63)+(('Vehicle Operating Cost Savings'!F28)*$F$64))*$F$62*$F$58</f>
        <v>-1.8933723212250026E-4</v>
      </c>
      <c r="P28" s="28">
        <f t="shared" si="4"/>
        <v>-494.20304588250394</v>
      </c>
      <c r="Q28" s="25">
        <f t="shared" si="5"/>
        <v>-104.25059226862507</v>
      </c>
      <c r="R28" s="65">
        <v>77</v>
      </c>
      <c r="S28" s="35">
        <f>('Vehicle Operating Cost Savings'!C28)*($F$59*$F$62)/$F$51</f>
        <v>-15.952704627955315</v>
      </c>
      <c r="T28" s="261">
        <f>((('Vehicle Operating Cost Savings'!C28)*$F$63)+(('Vehicle Operating Cost Savings'!F28)*$F$64))*($F$60*$F$62)/$F$52</f>
        <v>-2.6552597093360695</v>
      </c>
      <c r="U28" s="28">
        <f t="shared" si="6"/>
        <v>-1432.8132539714366</v>
      </c>
      <c r="V28" s="25">
        <f t="shared" si="7"/>
        <v>-725.99465282802737</v>
      </c>
      <c r="W28" s="20">
        <f t="shared" si="8"/>
        <v>-885.54666481979439</v>
      </c>
    </row>
    <row r="29" spans="2:23" x14ac:dyDescent="0.3">
      <c r="B29" s="115">
        <v>2044</v>
      </c>
      <c r="C29" s="137">
        <v>18000</v>
      </c>
      <c r="D29" s="35">
        <f>('Vehicle Operating Cost Savings'!C29)*$F$53*$F$62</f>
        <v>-7.724353751999956E-3</v>
      </c>
      <c r="E29" s="260">
        <f>((('Vehicle Operating Cost Savings'!C29)*$F$63)+(('Vehicle Operating Cost Savings'!F29)*$F$64))*$F$54*$F$62</f>
        <v>-6.666499900500009E-3</v>
      </c>
      <c r="F29" s="28">
        <f t="shared" si="0"/>
        <v>-259.03536574499941</v>
      </c>
      <c r="G29" s="25">
        <f t="shared" si="1"/>
        <v>-51.067946803826864</v>
      </c>
      <c r="H29" s="29">
        <v>49100</v>
      </c>
      <c r="I29" s="259">
        <f>('Vehicle Operating Cost Savings'!C29)*$F$55*$F$61*$F$51</f>
        <v>-8.8977460347794876E-5</v>
      </c>
      <c r="J29" s="259">
        <f>((('Vehicle Operating Cost Savings'!C29)*$F$63)+(('Vehicle Operating Cost Savings'!F29)*$F$64))*$F$56*$F$61*$F$52</f>
        <v>-1.4511131987645868E-6</v>
      </c>
      <c r="K29" s="28">
        <f t="shared" si="2"/>
        <v>-4.4400429611360694</v>
      </c>
      <c r="L29" s="25">
        <f t="shared" si="3"/>
        <v>-0.87533946221542114</v>
      </c>
      <c r="M29" s="30">
        <v>867600</v>
      </c>
      <c r="N29" s="259">
        <f>('Vehicle Operating Cost Savings'!C29)*$F$57*$F$62</f>
        <v>-3.8219458668749777E-4</v>
      </c>
      <c r="O29" s="259">
        <f>((('Vehicle Operating Cost Savings'!C29)*$F$63)+(('Vehicle Operating Cost Savings'!F29)*$F$64))*$F$62*$F$58</f>
        <v>-1.9028867550000025E-4</v>
      </c>
      <c r="P29" s="28">
        <f t="shared" si="4"/>
        <v>-496.68647827387326</v>
      </c>
      <c r="Q29" s="25">
        <f t="shared" si="5"/>
        <v>-97.920060365965398</v>
      </c>
      <c r="R29" s="65">
        <v>78</v>
      </c>
      <c r="S29" s="35">
        <f>('Vehicle Operating Cost Savings'!C29)*($F$59*$F$62)/$F$51</f>
        <v>-16.032868972819415</v>
      </c>
      <c r="T29" s="261">
        <f>((('Vehicle Operating Cost Savings'!C29)*$F$63)+(('Vehicle Operating Cost Savings'!F29)*$F$64))*($F$60*$F$62)/$F$52</f>
        <v>-2.6686027229508236</v>
      </c>
      <c r="U29" s="28">
        <f t="shared" si="6"/>
        <v>-1458.7147922700785</v>
      </c>
      <c r="V29" s="25">
        <f t="shared" si="7"/>
        <v>-717.59101801513111</v>
      </c>
      <c r="W29" s="20">
        <f t="shared" si="8"/>
        <v>-867.45436464713885</v>
      </c>
    </row>
    <row r="30" spans="2:23" x14ac:dyDescent="0.3">
      <c r="B30" s="115">
        <v>2045</v>
      </c>
      <c r="C30" s="137">
        <v>18000</v>
      </c>
      <c r="D30" s="35">
        <f>('Vehicle Operating Cost Savings'!C30)*$F$53*$F$62</f>
        <v>-7.7631695999999554E-3</v>
      </c>
      <c r="E30" s="260">
        <f>((('Vehicle Operating Cost Savings'!C30)*$F$63)+(('Vehicle Operating Cost Savings'!F30)*$F$64))*$F$54*$F$62</f>
        <v>-6.6999999000000084E-3</v>
      </c>
      <c r="F30" s="28">
        <f t="shared" si="0"/>
        <v>-260.33705099999935</v>
      </c>
      <c r="G30" s="25">
        <f t="shared" si="1"/>
        <v>-47.966887525315215</v>
      </c>
      <c r="H30" s="29">
        <v>49100</v>
      </c>
      <c r="I30" s="259">
        <f>('Vehicle Operating Cost Savings'!C30)*$F$55*$F$61*$F$51</f>
        <v>-8.9424583264115448E-5</v>
      </c>
      <c r="J30" s="259">
        <f>((('Vehicle Operating Cost Savings'!C30)*$F$63)+(('Vehicle Operating Cost Savings'!F30)*$F$64))*$F$56*$F$61*$F$52</f>
        <v>-1.4584052248890318E-6</v>
      </c>
      <c r="K30" s="28">
        <f t="shared" si="2"/>
        <v>-4.4623547348101198</v>
      </c>
      <c r="L30" s="25">
        <f t="shared" si="3"/>
        <v>-0.82218518970123611</v>
      </c>
      <c r="M30" s="30">
        <v>867600</v>
      </c>
      <c r="N30" s="259">
        <f>('Vehicle Operating Cost Savings'!C30)*$F$57*$F$62</f>
        <v>-3.8411516249999776E-4</v>
      </c>
      <c r="O30" s="259">
        <f>((('Vehicle Operating Cost Savings'!C30)*$F$63)+(('Vehicle Operating Cost Savings'!F30)*$F$64))*$F$62*$F$58</f>
        <v>-1.9124490000000025E-4</v>
      </c>
      <c r="P30" s="28">
        <f t="shared" si="4"/>
        <v>-499.1823902249983</v>
      </c>
      <c r="Q30" s="25">
        <f t="shared" si="5"/>
        <v>-91.973944832541576</v>
      </c>
      <c r="R30" s="65">
        <v>79</v>
      </c>
      <c r="S30" s="35">
        <f>('Vehicle Operating Cost Savings'!C30)*($F$59*$F$62)/$F$51</f>
        <v>-16.113436153587351</v>
      </c>
      <c r="T30" s="261">
        <f>((('Vehicle Operating Cost Savings'!C30)*$F$63)+(('Vehicle Operating Cost Savings'!F30)*$F$64))*($F$60*$F$62)/$F$52</f>
        <v>-2.6820127868852497</v>
      </c>
      <c r="U30" s="28">
        <f t="shared" si="6"/>
        <v>-1484.8404662973353</v>
      </c>
      <c r="V30" s="25">
        <f t="shared" si="7"/>
        <v>-709.16807616868698</v>
      </c>
      <c r="W30" s="20">
        <f t="shared" si="8"/>
        <v>-849.93109371624496</v>
      </c>
    </row>
    <row r="31" spans="2:23" x14ac:dyDescent="0.3">
      <c r="B31" s="115">
        <v>2046</v>
      </c>
      <c r="C31" s="137">
        <v>18000</v>
      </c>
      <c r="D31" s="35">
        <f>('Vehicle Operating Cost Savings'!C31)*$F$53*$F$62</f>
        <v>-7.8408012959999551E-3</v>
      </c>
      <c r="E31" s="260">
        <f>((('Vehicle Operating Cost Savings'!C31)*$F$63)+(('Vehicle Operating Cost Savings'!F31)*$F$64))*$F$54*$F$62</f>
        <v>-6.7669998990000091E-3</v>
      </c>
      <c r="F31" s="28">
        <f t="shared" si="0"/>
        <v>-262.94042150999934</v>
      </c>
      <c r="G31" s="25">
        <f t="shared" si="1"/>
        <v>-45.277155514549882</v>
      </c>
      <c r="H31" s="29">
        <v>49100</v>
      </c>
      <c r="I31" s="259">
        <f>('Vehicle Operating Cost Savings'!C31)*$F$55*$F$61*$F$51</f>
        <v>-9.0318829096756593E-5</v>
      </c>
      <c r="J31" s="259">
        <f>((('Vehicle Operating Cost Savings'!C31)*$F$63)+(('Vehicle Operating Cost Savings'!F31)*$F$64))*$F$56*$F$61*$F$52</f>
        <v>-1.4729892771379223E-6</v>
      </c>
      <c r="K31" s="28">
        <f t="shared" si="2"/>
        <v>-4.5069782821582205</v>
      </c>
      <c r="L31" s="25">
        <f t="shared" si="3"/>
        <v>-0.77608134728808265</v>
      </c>
      <c r="M31" s="30">
        <v>867600</v>
      </c>
      <c r="N31" s="259">
        <f>('Vehicle Operating Cost Savings'!C31)*$F$57*$F$62</f>
        <v>-3.8795631412499778E-4</v>
      </c>
      <c r="O31" s="259">
        <f>((('Vehicle Operating Cost Savings'!C31)*$F$63)+(('Vehicle Operating Cost Savings'!F31)*$F$64))*$F$62*$F$58</f>
        <v>-1.9315734900000027E-4</v>
      </c>
      <c r="P31" s="28">
        <f t="shared" si="4"/>
        <v>-504.17421412724826</v>
      </c>
      <c r="Q31" s="25">
        <f t="shared" si="5"/>
        <v>-86.816527365296267</v>
      </c>
      <c r="R31" s="65">
        <v>80</v>
      </c>
      <c r="S31" s="35">
        <f>('Vehicle Operating Cost Savings'!C31)*($F$59*$F$62)/$F$51</f>
        <v>-16.274570515123223</v>
      </c>
      <c r="T31" s="261">
        <f>((('Vehicle Operating Cost Savings'!C31)*$F$63)+(('Vehicle Operating Cost Savings'!F31)*$F$64))*($F$60*$F$62)/$F$52</f>
        <v>-2.7088329147541024</v>
      </c>
      <c r="U31" s="28">
        <f t="shared" si="6"/>
        <v>-1518.672274390186</v>
      </c>
      <c r="V31" s="25">
        <f t="shared" si="7"/>
        <v>-704.20032634177096</v>
      </c>
      <c r="W31" s="20">
        <f t="shared" si="8"/>
        <v>-837.07009056890524</v>
      </c>
    </row>
    <row r="32" spans="2:23" x14ac:dyDescent="0.3">
      <c r="B32" s="115">
        <v>2047</v>
      </c>
      <c r="C32" s="137">
        <v>18000</v>
      </c>
      <c r="D32" s="35">
        <f>('Vehicle Operating Cost Savings'!C32)*$F$53*$F$62</f>
        <v>-7.9192093089599548E-3</v>
      </c>
      <c r="E32" s="260">
        <f>((('Vehicle Operating Cost Savings'!C32)*$F$63)+(('Vehicle Operating Cost Savings'!F32)*$F$64))*$F$54*$F$62</f>
        <v>-6.8346698979900094E-3</v>
      </c>
      <c r="F32" s="28">
        <f t="shared" si="0"/>
        <v>-265.56982572509935</v>
      </c>
      <c r="G32" s="25">
        <f t="shared" si="1"/>
        <v>-42.738249597846142</v>
      </c>
      <c r="H32" s="29">
        <v>49100</v>
      </c>
      <c r="I32" s="259">
        <f>('Vehicle Operating Cost Savings'!C32)*$F$55*$F$61*$F$51</f>
        <v>-9.1222017387724156E-5</v>
      </c>
      <c r="J32" s="259">
        <f>((('Vehicle Operating Cost Savings'!C32)*$F$63)+(('Vehicle Operating Cost Savings'!F32)*$F$64))*$F$56*$F$61*$F$52</f>
        <v>-1.4877191699093017E-6</v>
      </c>
      <c r="K32" s="28">
        <f t="shared" si="2"/>
        <v>-4.552048064979803</v>
      </c>
      <c r="L32" s="25">
        <f t="shared" si="3"/>
        <v>-0.73256276706632084</v>
      </c>
      <c r="M32" s="30">
        <v>867600</v>
      </c>
      <c r="N32" s="259">
        <f>('Vehicle Operating Cost Savings'!C32)*$F$57*$F$62</f>
        <v>-3.918358772662477E-4</v>
      </c>
      <c r="O32" s="259">
        <f>((('Vehicle Operating Cost Savings'!C32)*$F$63)+(('Vehicle Operating Cost Savings'!F32)*$F$64))*$F$62*$F$58</f>
        <v>-1.9508892249000027E-4</v>
      </c>
      <c r="P32" s="28">
        <f t="shared" si="4"/>
        <v>-509.2159562685207</v>
      </c>
      <c r="Q32" s="25">
        <f t="shared" si="5"/>
        <v>-81.948310877522616</v>
      </c>
      <c r="R32" s="65">
        <v>81</v>
      </c>
      <c r="S32" s="35">
        <f>('Vehicle Operating Cost Savings'!C32)*($F$59*$F$62)/$F$51</f>
        <v>-16.437316220274454</v>
      </c>
      <c r="T32" s="261">
        <f>((('Vehicle Operating Cost Savings'!C32)*$F$63)+(('Vehicle Operating Cost Savings'!F32)*$F$64))*($F$60*$F$62)/$F$52</f>
        <v>-2.7359212439016432</v>
      </c>
      <c r="U32" s="28">
        <f t="shared" si="6"/>
        <v>-1553.0322345982638</v>
      </c>
      <c r="V32" s="25">
        <f t="shared" si="7"/>
        <v>-699.15811526723644</v>
      </c>
      <c r="W32" s="20">
        <f t="shared" si="8"/>
        <v>-824.57723850967147</v>
      </c>
    </row>
    <row r="33" spans="2:23" x14ac:dyDescent="0.3">
      <c r="B33" s="115">
        <v>2048</v>
      </c>
      <c r="C33" s="137">
        <v>18000</v>
      </c>
      <c r="D33" s="35">
        <f>('Vehicle Operating Cost Savings'!C33)*$F$53*$F$62</f>
        <v>-7.9984014020495556E-3</v>
      </c>
      <c r="E33" s="260">
        <f>((('Vehicle Operating Cost Savings'!C33)*$F$63)+(('Vehicle Operating Cost Savings'!F33)*$F$64))*$F$54*$F$62</f>
        <v>-6.9030165969699098E-3</v>
      </c>
      <c r="F33" s="28">
        <f t="shared" si="0"/>
        <v>-268.22552398235035</v>
      </c>
      <c r="G33" s="25">
        <f t="shared" si="1"/>
        <v>-40.341712237219269</v>
      </c>
      <c r="H33" s="29">
        <v>49100</v>
      </c>
      <c r="I33" s="259">
        <f>('Vehicle Operating Cost Savings'!C33)*$F$55*$F$61*$F$51</f>
        <v>-9.2134237561601422E-5</v>
      </c>
      <c r="J33" s="259">
        <f>((('Vehicle Operating Cost Savings'!C33)*$F$63)+(('Vehicle Operating Cost Savings'!F33)*$F$64))*$F$56*$F$61*$F$52</f>
        <v>-1.5025963616083946E-6</v>
      </c>
      <c r="K33" s="28">
        <f t="shared" si="2"/>
        <v>-4.5975685456296018</v>
      </c>
      <c r="L33" s="25">
        <f t="shared" si="3"/>
        <v>-0.69148448106260219</v>
      </c>
      <c r="M33" s="30">
        <v>867600</v>
      </c>
      <c r="N33" s="259">
        <f>('Vehicle Operating Cost Savings'!C33)*$F$57*$F$62</f>
        <v>-3.9575423603891027E-4</v>
      </c>
      <c r="O33" s="259">
        <f>((('Vehicle Operating Cost Savings'!C33)*$F$63)+(('Vehicle Operating Cost Savings'!F33)*$F$64))*$F$62*$F$58</f>
        <v>-1.9703981171490027E-4</v>
      </c>
      <c r="P33" s="28">
        <f t="shared" si="4"/>
        <v>-514.30811583120601</v>
      </c>
      <c r="Q33" s="25">
        <f t="shared" si="5"/>
        <v>-77.35307849186718</v>
      </c>
      <c r="R33" s="65">
        <v>82</v>
      </c>
      <c r="S33" s="35">
        <f>('Vehicle Operating Cost Savings'!C33)*($F$59*$F$62)/$F$51</f>
        <v>-16.6016893824772</v>
      </c>
      <c r="T33" s="261">
        <f>((('Vehicle Operating Cost Savings'!C33)*$F$63)+(('Vehicle Operating Cost Savings'!F33)*$F$64))*($F$60*$F$62)/$F$52</f>
        <v>-2.7632804563406599</v>
      </c>
      <c r="U33" s="28">
        <f t="shared" si="6"/>
        <v>-1587.9275267830644</v>
      </c>
      <c r="V33" s="25">
        <f t="shared" si="7"/>
        <v>-694.0462076762858</v>
      </c>
      <c r="W33" s="20">
        <f t="shared" si="8"/>
        <v>-812.43248288643485</v>
      </c>
    </row>
    <row r="34" spans="2:23" x14ac:dyDescent="0.3">
      <c r="B34" s="115">
        <v>2049</v>
      </c>
      <c r="C34" s="137">
        <v>18000</v>
      </c>
      <c r="D34" s="35">
        <f>('Vehicle Operating Cost Savings'!C34)*$F$53*$F$62</f>
        <v>-8.0783854160700504E-3</v>
      </c>
      <c r="E34" s="260">
        <f>((('Vehicle Operating Cost Savings'!C34)*$F$63)+(('Vehicle Operating Cost Savings'!F34)*$F$64))*$F$54*$F$62</f>
        <v>-6.972046762939609E-3</v>
      </c>
      <c r="F34" s="28">
        <f t="shared" si="0"/>
        <v>-270.90777922217387</v>
      </c>
      <c r="G34" s="25">
        <f t="shared" si="1"/>
        <v>-38.0795601491509</v>
      </c>
      <c r="H34" s="29">
        <v>49100</v>
      </c>
      <c r="I34" s="259">
        <f>('Vehicle Operating Cost Savings'!C34)*$F$55*$F$61*$F$51</f>
        <v>-9.3055579937217426E-5</v>
      </c>
      <c r="J34" s="259">
        <f>((('Vehicle Operating Cost Savings'!C34)*$F$63)+(('Vehicle Operating Cost Savings'!F34)*$F$64))*$F$56*$F$61*$F$52</f>
        <v>-1.5176223252244786E-6</v>
      </c>
      <c r="K34" s="28">
        <f t="shared" si="2"/>
        <v>-4.6435442310858974</v>
      </c>
      <c r="L34" s="25">
        <f t="shared" si="3"/>
        <v>-0.65270965034881134</v>
      </c>
      <c r="M34" s="30">
        <v>867600</v>
      </c>
      <c r="N34" s="259">
        <f>('Vehicle Operating Cost Savings'!C34)*$F$57*$F$62</f>
        <v>-3.9971177839929936E-4</v>
      </c>
      <c r="O34" s="259">
        <f>((('Vehicle Operating Cost Savings'!C34)*$F$63)+(('Vehicle Operating Cost Savings'!F34)*$F$64))*$F$62*$F$58</f>
        <v>-1.9901020983204931E-4</v>
      </c>
      <c r="P34" s="28">
        <f t="shared" si="4"/>
        <v>-519.45119698951817</v>
      </c>
      <c r="Q34" s="25">
        <f t="shared" si="5"/>
        <v>-73.015522688584909</v>
      </c>
      <c r="R34" s="65">
        <v>83</v>
      </c>
      <c r="S34" s="35">
        <f>('Vehicle Operating Cost Savings'!C34)*($F$59*$F$62)/$F$51</f>
        <v>-16.767706276301972</v>
      </c>
      <c r="T34" s="261">
        <f>((('Vehicle Operating Cost Savings'!C34)*$F$63)+(('Vehicle Operating Cost Savings'!F34)*$F$64))*($F$60*$F$62)/$F$52</f>
        <v>-2.7909132609040666</v>
      </c>
      <c r="U34" s="28">
        <f t="shared" si="6"/>
        <v>-1623.3654215881011</v>
      </c>
      <c r="V34" s="25">
        <f t="shared" si="7"/>
        <v>-688.86921133676356</v>
      </c>
      <c r="W34" s="20">
        <f t="shared" si="8"/>
        <v>-800.61700382484821</v>
      </c>
    </row>
    <row r="35" spans="2:23" x14ac:dyDescent="0.3">
      <c r="B35" s="115">
        <v>2050</v>
      </c>
      <c r="C35" s="137">
        <v>18000</v>
      </c>
      <c r="D35" s="35">
        <f>('Vehicle Operating Cost Savings'!C35)*$F$53*$F$62</f>
        <v>-8.1591692702307501E-3</v>
      </c>
      <c r="E35" s="260">
        <f>((('Vehicle Operating Cost Savings'!C35)*$F$63)+(('Vehicle Operating Cost Savings'!F35)*$F$64))*$F$54*$F$62</f>
        <v>-7.0417672305690057E-3</v>
      </c>
      <c r="F35" s="28">
        <f t="shared" si="0"/>
        <v>-273.61685701439558</v>
      </c>
      <c r="G35" s="25">
        <f t="shared" si="1"/>
        <v>-35.944257710880748</v>
      </c>
      <c r="H35" s="29">
        <v>49100</v>
      </c>
      <c r="I35" s="259">
        <f>('Vehicle Operating Cost Savings'!C35)*$F$55*$F$61*$F$51</f>
        <v>-9.3986135736589589E-5</v>
      </c>
      <c r="J35" s="259">
        <f>((('Vehicle Operating Cost Savings'!C35)*$F$63)+(('Vehicle Operating Cost Savings'!F35)*$F$64))*$F$56*$F$61*$F$52</f>
        <v>-1.5327985484767237E-6</v>
      </c>
      <c r="K35" s="28">
        <f t="shared" si="2"/>
        <v>-4.6899796733967554</v>
      </c>
      <c r="L35" s="25">
        <f t="shared" si="3"/>
        <v>-0.61610910920775641</v>
      </c>
      <c r="M35" s="30">
        <v>867600</v>
      </c>
      <c r="N35" s="259">
        <f>('Vehicle Operating Cost Savings'!C35)*$F$57*$F$62</f>
        <v>-4.0370889618329231E-4</v>
      </c>
      <c r="O35" s="259">
        <f>((('Vehicle Operating Cost Savings'!C35)*$F$63)+(('Vehicle Operating Cost Savings'!F35)*$F$64))*$F$62*$F$58</f>
        <v>-2.0100031193036981E-4</v>
      </c>
      <c r="P35" s="28">
        <f t="shared" si="4"/>
        <v>-524.64570895941324</v>
      </c>
      <c r="Q35" s="25">
        <f t="shared" si="5"/>
        <v>-68.921194313524069</v>
      </c>
      <c r="R35" s="65">
        <v>85</v>
      </c>
      <c r="S35" s="35">
        <f>('Vehicle Operating Cost Savings'!C35)*($F$59*$F$62)/$F$51</f>
        <v>-16.935383339064991</v>
      </c>
      <c r="T35" s="261">
        <f>((('Vehicle Operating Cost Savings'!C35)*$F$63)+(('Vehicle Operating Cost Savings'!F35)*$F$64))*($F$60*$F$62)/$F$52</f>
        <v>-2.8188223935131078</v>
      </c>
      <c r="U35" s="28">
        <f t="shared" si="6"/>
        <v>-1679.1074872691386</v>
      </c>
      <c r="V35" s="25">
        <f t="shared" si="7"/>
        <v>-691.77005255890936</v>
      </c>
      <c r="W35" s="20">
        <f t="shared" si="8"/>
        <v>-797.25161369252191</v>
      </c>
    </row>
    <row r="36" spans="2:23" x14ac:dyDescent="0.3">
      <c r="B36" s="115">
        <v>2051</v>
      </c>
      <c r="C36" s="137">
        <v>18000</v>
      </c>
      <c r="D36" s="35">
        <f>('Vehicle Operating Cost Savings'!C36)*$F$53*$F$62</f>
        <v>-8.2407609629330577E-3</v>
      </c>
      <c r="E36" s="260">
        <f>((('Vehicle Operating Cost Savings'!C36)*$F$63)+(('Vehicle Operating Cost Savings'!F36)*$F$64))*$F$54*$F$62</f>
        <v>-7.1121849028746948E-3</v>
      </c>
      <c r="F36" s="28">
        <f t="shared" si="0"/>
        <v>-276.35302558453952</v>
      </c>
      <c r="G36" s="25">
        <f t="shared" si="1"/>
        <v>-33.928691857934162</v>
      </c>
      <c r="H36" s="29">
        <v>49100</v>
      </c>
      <c r="I36" s="259">
        <f>('Vehicle Operating Cost Savings'!C36)*$F$55*$F$61*$F$51</f>
        <v>-9.4925997093955474E-5</v>
      </c>
      <c r="J36" s="259">
        <f>((('Vehicle Operating Cost Savings'!C36)*$F$63)+(('Vehicle Operating Cost Savings'!F36)*$F$64))*$F$56*$F$61*$F$52</f>
        <v>-1.5481265339614907E-6</v>
      </c>
      <c r="K36" s="28">
        <f t="shared" si="2"/>
        <v>-4.7368794701307229</v>
      </c>
      <c r="L36" s="25">
        <f t="shared" si="3"/>
        <v>-0.58156093485965776</v>
      </c>
      <c r="M36" s="30">
        <v>867600</v>
      </c>
      <c r="N36" s="259">
        <f>('Vehicle Operating Cost Savings'!C36)*$F$57*$F$62</f>
        <v>-4.0774598514512525E-4</v>
      </c>
      <c r="O36" s="259">
        <f>((('Vehicle Operating Cost Savings'!C36)*$F$63)+(('Vehicle Operating Cost Savings'!F36)*$F$64))*$F$62*$F$58</f>
        <v>-2.0301031504967349E-4</v>
      </c>
      <c r="P36" s="28">
        <f t="shared" si="4"/>
        <v>-529.89216604900741</v>
      </c>
      <c r="Q36" s="25">
        <f t="shared" si="5"/>
        <v>-65.056454445475978</v>
      </c>
      <c r="R36" s="65">
        <f t="shared" ref="R36:R41" si="9">R35</f>
        <v>85</v>
      </c>
      <c r="S36" s="35">
        <f>('Vehicle Operating Cost Savings'!C36)*($F$59*$F$62)/$F$51</f>
        <v>-17.104737172455643</v>
      </c>
      <c r="T36" s="261">
        <f>((('Vehicle Operating Cost Savings'!C36)*$F$63)+(('Vehicle Operating Cost Savings'!F36)*$F$64))*($F$60*$F$62)/$F$52</f>
        <v>-2.8470106174482388</v>
      </c>
      <c r="U36" s="28">
        <f t="shared" si="6"/>
        <v>-1695.8985621418299</v>
      </c>
      <c r="V36" s="25">
        <f t="shared" si="7"/>
        <v>-678.33762435388178</v>
      </c>
      <c r="W36" s="20">
        <f t="shared" si="8"/>
        <v>-777.90433159215161</v>
      </c>
    </row>
    <row r="37" spans="2:23" x14ac:dyDescent="0.3">
      <c r="B37" s="115">
        <v>2052</v>
      </c>
      <c r="C37" s="137">
        <v>18000</v>
      </c>
      <c r="D37" s="35">
        <f>('Vehicle Operating Cost Savings'!C37)*$F$53*$F$62</f>
        <v>-8.3231685725623887E-3</v>
      </c>
      <c r="E37" s="260">
        <f>((('Vehicle Operating Cost Savings'!C37)*$F$63)+(('Vehicle Operating Cost Savings'!F37)*$F$64))*$F$54*$F$62</f>
        <v>-7.1833067519034418E-3</v>
      </c>
      <c r="F37" s="28">
        <f t="shared" si="0"/>
        <v>-279.11655584038499</v>
      </c>
      <c r="G37" s="25">
        <f t="shared" si="1"/>
        <v>-32.026148389264968</v>
      </c>
      <c r="H37" s="29">
        <v>49100</v>
      </c>
      <c r="I37" s="259">
        <f>('Vehicle Operating Cost Savings'!C37)*$F$55*$F$61*$F$51</f>
        <v>-9.5875257064895032E-5</v>
      </c>
      <c r="J37" s="259">
        <f>((('Vehicle Operating Cost Savings'!C37)*$F$63)+(('Vehicle Operating Cost Savings'!F37)*$F$64))*$F$56*$F$61*$F$52</f>
        <v>-1.5636077993011054E-6</v>
      </c>
      <c r="K37" s="28">
        <f t="shared" si="2"/>
        <v>-4.7842482648320308</v>
      </c>
      <c r="L37" s="25">
        <f t="shared" si="3"/>
        <v>-0.54895004131612568</v>
      </c>
      <c r="M37" s="30">
        <v>867600</v>
      </c>
      <c r="N37" s="259">
        <f>('Vehicle Operating Cost Savings'!C37)*$F$57*$F$62</f>
        <v>-4.1182344499657644E-4</v>
      </c>
      <c r="O37" s="259">
        <f>((('Vehicle Operating Cost Savings'!C37)*$F$63)+(('Vehicle Operating Cost Savings'!F37)*$F$64))*$F$62*$F$58</f>
        <v>-2.0504041820017021E-4</v>
      </c>
      <c r="P37" s="28">
        <f t="shared" si="4"/>
        <v>-535.19108770949742</v>
      </c>
      <c r="Q37" s="25">
        <f t="shared" si="5"/>
        <v>-61.408428962552094</v>
      </c>
      <c r="R37" s="65">
        <f t="shared" si="9"/>
        <v>85</v>
      </c>
      <c r="S37" s="35">
        <f>('Vehicle Operating Cost Savings'!C37)*($F$59*$F$62)/$F$51</f>
        <v>-17.275784544180198</v>
      </c>
      <c r="T37" s="261">
        <f>((('Vehicle Operating Cost Savings'!C37)*$F$63)+(('Vehicle Operating Cost Savings'!F37)*$F$64))*($F$60*$F$62)/$F$52</f>
        <v>-2.8754807236227209</v>
      </c>
      <c r="U37" s="28">
        <f t="shared" si="6"/>
        <v>-1712.8575477632482</v>
      </c>
      <c r="V37" s="25">
        <f t="shared" si="7"/>
        <v>-665.16601999749594</v>
      </c>
      <c r="W37" s="20">
        <f t="shared" si="8"/>
        <v>-759.1495473906291</v>
      </c>
    </row>
    <row r="38" spans="2:23" x14ac:dyDescent="0.3">
      <c r="B38" s="115">
        <v>2053</v>
      </c>
      <c r="C38" s="137">
        <v>18000</v>
      </c>
      <c r="D38" s="35">
        <f>('Vehicle Operating Cost Savings'!C38)*$F$53*$F$62</f>
        <v>-8.4064002582880121E-3</v>
      </c>
      <c r="E38" s="260">
        <f>((('Vehicle Operating Cost Savings'!C38)*$F$63)+(('Vehicle Operating Cost Savings'!F38)*$F$64))*$F$54*$F$62</f>
        <v>-7.2551398194224759E-3</v>
      </c>
      <c r="F38" s="28">
        <f t="shared" si="0"/>
        <v>-281.90772139878879</v>
      </c>
      <c r="G38" s="25">
        <f t="shared" si="1"/>
        <v>-30.230289601081878</v>
      </c>
      <c r="H38" s="29">
        <v>49100</v>
      </c>
      <c r="I38" s="259">
        <f>('Vehicle Operating Cost Savings'!C38)*$F$55*$F$61*$F$51</f>
        <v>-9.6834009635543992E-5</v>
      </c>
      <c r="J38" s="259">
        <f>((('Vehicle Operating Cost Savings'!C38)*$F$63)+(('Vehicle Operating Cost Savings'!F38)*$F$64))*$F$56*$F$61*$F$52</f>
        <v>-1.5792438772941166E-6</v>
      </c>
      <c r="K38" s="28">
        <f t="shared" si="2"/>
        <v>-4.8320907474803505</v>
      </c>
      <c r="L38" s="25">
        <f t="shared" si="3"/>
        <v>-0.51816779600867935</v>
      </c>
      <c r="M38" s="30">
        <v>867600</v>
      </c>
      <c r="N38" s="259">
        <f>('Vehicle Operating Cost Savings'!C38)*$F$57*$F$62</f>
        <v>-4.1594167944654229E-4</v>
      </c>
      <c r="O38" s="259">
        <f>((('Vehicle Operating Cost Savings'!C38)*$F$63)+(('Vehicle Operating Cost Savings'!F38)*$F$64))*$F$62*$F$58</f>
        <v>-2.0709082238217191E-4</v>
      </c>
      <c r="P38" s="28">
        <f t="shared" si="4"/>
        <v>-540.54299858659238</v>
      </c>
      <c r="Q38" s="25">
        <f t="shared" si="5"/>
        <v>-57.964965656240757</v>
      </c>
      <c r="R38" s="65">
        <f t="shared" si="9"/>
        <v>85</v>
      </c>
      <c r="S38" s="35">
        <f>('Vehicle Operating Cost Savings'!C38)*($F$59*$F$62)/$F$51</f>
        <v>-17.448542389622002</v>
      </c>
      <c r="T38" s="261">
        <f>((('Vehicle Operating Cost Savings'!C38)*$F$63)+(('Vehicle Operating Cost Savings'!F38)*$F$64))*($F$60*$F$62)/$F$52</f>
        <v>-2.9042355308589478</v>
      </c>
      <c r="U38" s="28">
        <f t="shared" si="6"/>
        <v>-1729.9861232408807</v>
      </c>
      <c r="V38" s="25">
        <f t="shared" si="7"/>
        <v>-652.25017494900078</v>
      </c>
      <c r="W38" s="20">
        <f t="shared" si="8"/>
        <v>-740.96359800233211</v>
      </c>
    </row>
    <row r="39" spans="2:23" ht="17.25" thickBot="1" x14ac:dyDescent="0.35">
      <c r="B39" s="138">
        <v>2054</v>
      </c>
      <c r="C39" s="137">
        <v>18000</v>
      </c>
      <c r="D39" s="35">
        <f>('Vehicle Operating Cost Savings'!C39)*$F$53*$F$62</f>
        <v>-8.4904642608708922E-3</v>
      </c>
      <c r="E39" s="260">
        <f>((('Vehicle Operating Cost Savings'!C39)*$F$63)+(('Vehicle Operating Cost Savings'!F39)*$F$64))*$F$54*$F$62</f>
        <v>-7.3276912176167015E-3</v>
      </c>
      <c r="F39" s="28">
        <f t="shared" si="0"/>
        <v>-284.72679861277669</v>
      </c>
      <c r="G39" s="25">
        <f t="shared" si="1"/>
        <v>-28.535133174852991</v>
      </c>
      <c r="H39" s="140">
        <v>49100</v>
      </c>
      <c r="I39" s="259">
        <f>('Vehicle Operating Cost Savings'!C39)*$F$55*$F$61*$F$51</f>
        <v>-9.7802349731899443E-5</v>
      </c>
      <c r="J39" s="259">
        <f>((('Vehicle Operating Cost Savings'!C39)*$F$63)+(('Vehicle Operating Cost Savings'!F39)*$F$64))*$F$56*$F$61*$F$52</f>
        <v>-1.5950363160670575E-6</v>
      </c>
      <c r="K39" s="139">
        <f t="shared" si="2"/>
        <v>-4.8804116549551555</v>
      </c>
      <c r="L39" s="136">
        <f t="shared" si="3"/>
        <v>-0.48911165791473488</v>
      </c>
      <c r="M39" s="141">
        <v>867600</v>
      </c>
      <c r="N39" s="259">
        <f>('Vehicle Operating Cost Savings'!C39)*$F$57*$F$62</f>
        <v>-4.2010109624100766E-4</v>
      </c>
      <c r="O39" s="259">
        <f>((('Vehicle Operating Cost Savings'!C39)*$F$63)+(('Vehicle Operating Cost Savings'!F39)*$F$64))*$F$62*$F$58</f>
        <v>-2.0916173060599364E-4</v>
      </c>
      <c r="P39" s="139">
        <f t="shared" si="4"/>
        <v>-545.94842857245828</v>
      </c>
      <c r="Q39" s="136">
        <f t="shared" si="5"/>
        <v>-54.714593750283335</v>
      </c>
      <c r="R39" s="142">
        <f t="shared" si="9"/>
        <v>85</v>
      </c>
      <c r="S39" s="35">
        <f>('Vehicle Operating Cost Savings'!C39)*($F$59*$F$62)/$F$51</f>
        <v>-17.62302781351822</v>
      </c>
      <c r="T39" s="261">
        <f>((('Vehicle Operating Cost Savings'!C39)*$F$63)+(('Vehicle Operating Cost Savings'!F39)*$F$64))*($F$60*$F$62)/$F$52</f>
        <v>-2.9332778861675375</v>
      </c>
      <c r="U39" s="139">
        <f t="shared" si="6"/>
        <v>-1747.2859844732895</v>
      </c>
      <c r="V39" s="136">
        <f t="shared" si="7"/>
        <v>-639.58512300824361</v>
      </c>
      <c r="W39" s="20">
        <f t="shared" si="8"/>
        <v>-723.32396159129462</v>
      </c>
    </row>
    <row r="40" spans="2:23" x14ac:dyDescent="0.3">
      <c r="B40" s="115">
        <v>2055</v>
      </c>
      <c r="C40" s="137">
        <v>18000</v>
      </c>
      <c r="D40" s="35">
        <f>('Vehicle Operating Cost Savings'!C40)*$F$53*$F$62</f>
        <v>-8.5753689034796E-3</v>
      </c>
      <c r="E40" s="260">
        <f>((('Vehicle Operating Cost Savings'!C40)*$F$63)+(('Vehicle Operating Cost Savings'!F40)*$F$64))*$F$54*$F$62</f>
        <v>-7.4009681297928691E-3</v>
      </c>
      <c r="F40" s="28">
        <f t="shared" si="0"/>
        <v>-287.57406659890444</v>
      </c>
      <c r="G40" s="25">
        <f t="shared" si="1"/>
        <v>-26.935032249160297</v>
      </c>
      <c r="H40" s="29">
        <v>49100</v>
      </c>
      <c r="I40" s="259">
        <f>('Vehicle Operating Cost Savings'!C40)*$F$55*$F$61*$F$51</f>
        <v>-9.8780373229218405E-5</v>
      </c>
      <c r="J40" s="259">
        <f>((('Vehicle Operating Cost Savings'!C40)*$F$63)+(('Vehicle Operating Cost Savings'!F40)*$F$64))*$F$56*$F$61*$F$52</f>
        <v>-1.6109866792277284E-6</v>
      </c>
      <c r="K40" s="28">
        <f t="shared" ref="K40:K41" si="10">H40*(I40+J40)</f>
        <v>-4.9292157715047056</v>
      </c>
      <c r="L40" s="25">
        <f t="shared" ref="L40:L41" si="11">K40/1.07^(B40-2020)</f>
        <v>-0.46168483597559068</v>
      </c>
      <c r="M40" s="30">
        <v>867600</v>
      </c>
      <c r="N40" s="259">
        <f>('Vehicle Operating Cost Savings'!C40)*$F$57*$F$62</f>
        <v>-4.2430210720341774E-4</v>
      </c>
      <c r="O40" s="259">
        <f>((('Vehicle Operating Cost Savings'!C40)*$F$63)+(('Vehicle Operating Cost Savings'!F40)*$F$64))*$F$62*$F$58</f>
        <v>-2.1125334791205358E-4</v>
      </c>
      <c r="P40" s="28">
        <f t="shared" ref="P40:P41" si="12">M40*(N40+O40)</f>
        <v>-551.40791285818295</v>
      </c>
      <c r="Q40" s="25">
        <f t="shared" ref="Q40:Q41" si="13">P40/1.07^(B40-2020)</f>
        <v>-51.646485689519785</v>
      </c>
      <c r="R40" s="65">
        <f t="shared" si="9"/>
        <v>85</v>
      </c>
      <c r="S40" s="35">
        <f>('Vehicle Operating Cost Savings'!C40)*($F$59*$F$62)/$F$51</f>
        <v>-17.799258091653403</v>
      </c>
      <c r="T40" s="261">
        <f>((('Vehicle Operating Cost Savings'!C40)*$F$63)+(('Vehicle Operating Cost Savings'!F40)*$F$64))*($F$60*$F$62)/$F$52</f>
        <v>-2.9626106650292132</v>
      </c>
      <c r="U40" s="28">
        <f t="shared" ref="U40:U41" si="14">R40*(S40+T40)</f>
        <v>-1764.7588443180225</v>
      </c>
      <c r="V40" s="25">
        <f t="shared" ref="V40:V41" si="15">U40/1.03^(B40-2020)</f>
        <v>-627.16599440614175</v>
      </c>
      <c r="W40" s="20">
        <f t="shared" ref="W40:W41" si="16">G40+L40+Q40+V40</f>
        <v>-706.20919718079745</v>
      </c>
    </row>
    <row r="41" spans="2:23" x14ac:dyDescent="0.3">
      <c r="B41" s="138">
        <v>2056</v>
      </c>
      <c r="C41" s="137">
        <v>18000</v>
      </c>
      <c r="D41" s="35">
        <f>('Vehicle Operating Cost Savings'!C41)*$F$53*$F$62</f>
        <v>-8.6611225925143972E-3</v>
      </c>
      <c r="E41" s="260">
        <f>((('Vehicle Operating Cost Savings'!C41)*$F$63)+(('Vehicle Operating Cost Savings'!F41)*$F$64))*$F$54*$F$62</f>
        <v>-7.4749778110907968E-3</v>
      </c>
      <c r="F41" s="28">
        <f t="shared" si="0"/>
        <v>-290.44980726489348</v>
      </c>
      <c r="G41" s="25">
        <f t="shared" si="1"/>
        <v>-25.424656609020467</v>
      </c>
      <c r="H41" s="140">
        <v>49100</v>
      </c>
      <c r="I41" s="259">
        <f>('Vehicle Operating Cost Savings'!C41)*$F$55*$F$61*$F$51</f>
        <v>-9.9768176961510615E-5</v>
      </c>
      <c r="J41" s="259">
        <f>((('Vehicle Operating Cost Savings'!C41)*$F$63)+(('Vehicle Operating Cost Savings'!F41)*$F$64))*$F$56*$F$61*$F$52</f>
        <v>-1.6270965460200057E-6</v>
      </c>
      <c r="K41" s="139">
        <f t="shared" si="10"/>
        <v>-4.9785079292197532</v>
      </c>
      <c r="L41" s="136">
        <f t="shared" si="11"/>
        <v>-0.43579596666854831</v>
      </c>
      <c r="M41" s="141">
        <v>867600</v>
      </c>
      <c r="N41" s="259">
        <f>('Vehicle Operating Cost Savings'!C41)*$F$57*$F$62</f>
        <v>-4.285451282754519E-4</v>
      </c>
      <c r="O41" s="259">
        <f>((('Vehicle Operating Cost Savings'!C41)*$F$63)+(('Vehicle Operating Cost Savings'!F41)*$F$64))*$F$62*$F$58</f>
        <v>-2.133658813911741E-4</v>
      </c>
      <c r="P41" s="139">
        <f t="shared" si="12"/>
        <v>-556.92199198676474</v>
      </c>
      <c r="Q41" s="136">
        <f t="shared" si="13"/>
        <v>-48.750421071415872</v>
      </c>
      <c r="R41" s="142">
        <f t="shared" si="9"/>
        <v>85</v>
      </c>
      <c r="S41" s="35">
        <f>('Vehicle Operating Cost Savings'!C41)*($F$59*$F$62)/$F$51</f>
        <v>-17.977250672569937</v>
      </c>
      <c r="T41" s="261">
        <f>((('Vehicle Operating Cost Savings'!C41)*$F$63)+(('Vehicle Operating Cost Savings'!F41)*$F$64))*($F$60*$F$62)/$F$52</f>
        <v>-2.9922367716795053</v>
      </c>
      <c r="U41" s="139">
        <f t="shared" si="14"/>
        <v>-1782.4064327612025</v>
      </c>
      <c r="V41" s="136">
        <f t="shared" si="15"/>
        <v>-614.98801393223596</v>
      </c>
      <c r="W41" s="20">
        <f t="shared" si="16"/>
        <v>-689.59888757934084</v>
      </c>
    </row>
    <row r="42" spans="2:23" ht="17.25" thickBot="1" x14ac:dyDescent="0.35">
      <c r="B42" s="509" t="s">
        <v>119</v>
      </c>
      <c r="C42" s="510"/>
      <c r="D42" s="510"/>
      <c r="E42" s="510"/>
      <c r="F42" s="510"/>
      <c r="G42" s="510"/>
      <c r="H42" s="510"/>
      <c r="I42" s="510"/>
      <c r="J42" s="510"/>
      <c r="K42" s="510"/>
      <c r="L42" s="510"/>
      <c r="M42" s="510"/>
      <c r="N42" s="510"/>
      <c r="O42" s="510"/>
      <c r="P42" s="510"/>
      <c r="Q42" s="510"/>
      <c r="R42" s="510"/>
      <c r="S42" s="510"/>
      <c r="T42" s="510"/>
      <c r="U42" s="510"/>
      <c r="V42" s="511"/>
      <c r="W42" s="21">
        <f>SUM(W4:W41)</f>
        <v>-27850.75829356258</v>
      </c>
    </row>
    <row r="43" spans="2:23" ht="17.25" thickBot="1" x14ac:dyDescent="0.35">
      <c r="B43" s="448" t="s">
        <v>120</v>
      </c>
      <c r="C43" s="449"/>
      <c r="D43" s="449"/>
      <c r="E43" s="449"/>
      <c r="F43" s="449"/>
      <c r="G43" s="449"/>
      <c r="H43" s="449"/>
      <c r="I43" s="449"/>
      <c r="J43" s="449"/>
      <c r="K43" s="449"/>
      <c r="L43" s="449"/>
      <c r="M43" s="449"/>
      <c r="N43" s="449"/>
      <c r="O43" s="449"/>
      <c r="P43" s="449"/>
      <c r="Q43" s="449"/>
      <c r="R43" s="449"/>
      <c r="S43" s="449"/>
      <c r="T43" s="449"/>
      <c r="U43" s="449"/>
      <c r="V43" s="449"/>
      <c r="W43" s="512"/>
    </row>
    <row r="44" spans="2:23" ht="17.25" customHeight="1" x14ac:dyDescent="0.3">
      <c r="B44" s="576" t="s">
        <v>153</v>
      </c>
      <c r="C44" s="577"/>
      <c r="D44" s="577"/>
      <c r="E44" s="577"/>
      <c r="F44" s="577"/>
      <c r="G44" s="577"/>
      <c r="H44" s="577"/>
      <c r="I44" s="577"/>
      <c r="J44" s="577"/>
      <c r="K44" s="577"/>
      <c r="L44" s="577"/>
      <c r="M44" s="577"/>
      <c r="N44" s="577"/>
      <c r="O44" s="577"/>
      <c r="P44" s="577"/>
      <c r="Q44" s="577"/>
      <c r="R44" s="577"/>
      <c r="S44" s="577"/>
      <c r="T44" s="577"/>
      <c r="U44" s="577"/>
      <c r="V44" s="577"/>
      <c r="W44" s="578"/>
    </row>
    <row r="45" spans="2:23" ht="17.25" customHeight="1" x14ac:dyDescent="0.3">
      <c r="B45" s="576" t="s">
        <v>154</v>
      </c>
      <c r="C45" s="577"/>
      <c r="D45" s="577"/>
      <c r="E45" s="577"/>
      <c r="F45" s="577"/>
      <c r="G45" s="577"/>
      <c r="H45" s="577"/>
      <c r="I45" s="577"/>
      <c r="J45" s="577"/>
      <c r="K45" s="577"/>
      <c r="L45" s="577"/>
      <c r="M45" s="577"/>
      <c r="N45" s="577"/>
      <c r="O45" s="577"/>
      <c r="P45" s="577"/>
      <c r="Q45" s="577"/>
      <c r="R45" s="577"/>
      <c r="S45" s="577"/>
      <c r="T45" s="577"/>
      <c r="U45" s="577"/>
      <c r="V45" s="577"/>
      <c r="W45" s="578"/>
    </row>
    <row r="46" spans="2:23" ht="17.25" customHeight="1" x14ac:dyDescent="0.3">
      <c r="B46" s="576" t="s">
        <v>155</v>
      </c>
      <c r="C46" s="577"/>
      <c r="D46" s="577"/>
      <c r="E46" s="577"/>
      <c r="F46" s="577"/>
      <c r="G46" s="577"/>
      <c r="H46" s="577"/>
      <c r="I46" s="577"/>
      <c r="J46" s="577"/>
      <c r="K46" s="577"/>
      <c r="L46" s="577"/>
      <c r="M46" s="577"/>
      <c r="N46" s="577"/>
      <c r="O46" s="577"/>
      <c r="P46" s="577"/>
      <c r="Q46" s="577"/>
      <c r="R46" s="577"/>
      <c r="S46" s="577"/>
      <c r="T46" s="577"/>
      <c r="U46" s="577"/>
      <c r="V46" s="577"/>
      <c r="W46" s="578"/>
    </row>
    <row r="47" spans="2:23" ht="17.25" customHeight="1" thickBot="1" x14ac:dyDescent="0.35">
      <c r="B47" s="505" t="s">
        <v>156</v>
      </c>
      <c r="C47" s="506"/>
      <c r="D47" s="506"/>
      <c r="E47" s="506"/>
      <c r="F47" s="506"/>
      <c r="G47" s="506"/>
      <c r="H47" s="506"/>
      <c r="I47" s="506"/>
      <c r="J47" s="506"/>
      <c r="K47" s="506"/>
      <c r="L47" s="506"/>
      <c r="M47" s="506"/>
      <c r="N47" s="506"/>
      <c r="O47" s="506"/>
      <c r="P47" s="506"/>
      <c r="Q47" s="506"/>
      <c r="R47" s="506"/>
      <c r="S47" s="506"/>
      <c r="T47" s="506"/>
      <c r="U47" s="506"/>
      <c r="V47" s="506"/>
      <c r="W47" s="507"/>
    </row>
    <row r="48" spans="2:23" ht="17.25" thickBot="1" x14ac:dyDescent="0.35"/>
    <row r="49" spans="2:20" ht="16.5" customHeight="1" thickBot="1" x14ac:dyDescent="0.35">
      <c r="B49" s="434" t="s">
        <v>100</v>
      </c>
      <c r="C49" s="435"/>
      <c r="D49" s="435"/>
      <c r="E49" s="435"/>
      <c r="F49" s="435"/>
      <c r="G49" s="435"/>
      <c r="H49" s="435"/>
      <c r="I49" s="435"/>
      <c r="J49" s="435"/>
      <c r="K49" s="435"/>
      <c r="L49" s="435"/>
      <c r="M49" s="435"/>
      <c r="N49" s="435"/>
      <c r="O49" s="435"/>
      <c r="P49" s="435"/>
      <c r="Q49" s="435"/>
      <c r="R49" s="435"/>
      <c r="S49" s="435"/>
      <c r="T49" s="436"/>
    </row>
    <row r="50" spans="2:20" ht="17.25" thickBot="1" x14ac:dyDescent="0.35">
      <c r="B50" s="527" t="s">
        <v>101</v>
      </c>
      <c r="C50" s="528"/>
      <c r="D50" s="528"/>
      <c r="E50" s="528"/>
      <c r="F50" s="10" t="s">
        <v>102</v>
      </c>
      <c r="G50" s="560" t="s">
        <v>103</v>
      </c>
      <c r="H50" s="528"/>
      <c r="I50" s="528"/>
      <c r="J50" s="528"/>
      <c r="K50" s="528"/>
      <c r="L50" s="528"/>
      <c r="M50" s="528"/>
      <c r="N50" s="528"/>
      <c r="O50" s="528"/>
      <c r="P50" s="528"/>
      <c r="Q50" s="528"/>
      <c r="R50" s="528"/>
      <c r="S50" s="528"/>
      <c r="T50" s="561"/>
    </row>
    <row r="51" spans="2:20" x14ac:dyDescent="0.3">
      <c r="B51" s="574" t="s">
        <v>157</v>
      </c>
      <c r="C51" s="575"/>
      <c r="D51" s="575"/>
      <c r="E51" s="575"/>
      <c r="F51" s="257">
        <v>22.3</v>
      </c>
      <c r="G51" s="562" t="s">
        <v>158</v>
      </c>
      <c r="H51" s="563"/>
      <c r="I51" s="563"/>
      <c r="J51" s="563"/>
      <c r="K51" s="563"/>
      <c r="L51" s="563"/>
      <c r="M51" s="563"/>
      <c r="N51" s="563"/>
      <c r="O51" s="563"/>
      <c r="P51" s="563"/>
      <c r="Q51" s="563"/>
      <c r="R51" s="563"/>
      <c r="S51" s="563"/>
      <c r="T51" s="564"/>
    </row>
    <row r="52" spans="2:20" x14ac:dyDescent="0.3">
      <c r="B52" s="556" t="s">
        <v>159</v>
      </c>
      <c r="C52" s="471"/>
      <c r="D52" s="471"/>
      <c r="E52" s="471"/>
      <c r="F52" s="258">
        <v>6.1</v>
      </c>
      <c r="G52" s="565" t="s">
        <v>160</v>
      </c>
      <c r="H52" s="566"/>
      <c r="I52" s="566"/>
      <c r="J52" s="566"/>
      <c r="K52" s="566"/>
      <c r="L52" s="566"/>
      <c r="M52" s="566"/>
      <c r="N52" s="566"/>
      <c r="O52" s="566"/>
      <c r="P52" s="566"/>
      <c r="Q52" s="566"/>
      <c r="R52" s="566"/>
      <c r="S52" s="566"/>
      <c r="T52" s="567"/>
    </row>
    <row r="53" spans="2:20" x14ac:dyDescent="0.3">
      <c r="B53" s="556" t="s">
        <v>161</v>
      </c>
      <c r="C53" s="471"/>
      <c r="D53" s="471"/>
      <c r="E53" s="471"/>
      <c r="F53" s="55">
        <v>0.192</v>
      </c>
      <c r="G53" s="568" t="s">
        <v>162</v>
      </c>
      <c r="H53" s="569"/>
      <c r="I53" s="569"/>
      <c r="J53" s="569"/>
      <c r="K53" s="569"/>
      <c r="L53" s="569"/>
      <c r="M53" s="569"/>
      <c r="N53" s="569"/>
      <c r="O53" s="569"/>
      <c r="P53" s="569"/>
      <c r="Q53" s="569"/>
      <c r="R53" s="569"/>
      <c r="S53" s="569"/>
      <c r="T53" s="570"/>
    </row>
    <row r="54" spans="2:20" x14ac:dyDescent="0.3">
      <c r="B54" s="556" t="s">
        <v>163</v>
      </c>
      <c r="C54" s="471"/>
      <c r="D54" s="471"/>
      <c r="E54" s="471"/>
      <c r="F54" s="31">
        <v>4.1689999999999996</v>
      </c>
      <c r="G54" s="571" t="s">
        <v>164</v>
      </c>
      <c r="H54" s="572"/>
      <c r="I54" s="572"/>
      <c r="J54" s="572"/>
      <c r="K54" s="572"/>
      <c r="L54" s="572"/>
      <c r="M54" s="572"/>
      <c r="N54" s="572"/>
      <c r="O54" s="572"/>
      <c r="P54" s="572"/>
      <c r="Q54" s="572"/>
      <c r="R54" s="572"/>
      <c r="S54" s="572"/>
      <c r="T54" s="573"/>
    </row>
    <row r="55" spans="2:20" x14ac:dyDescent="0.3">
      <c r="B55" s="556" t="s">
        <v>165</v>
      </c>
      <c r="C55" s="471"/>
      <c r="D55" s="471"/>
      <c r="E55" s="471"/>
      <c r="F55" s="32">
        <v>10</v>
      </c>
      <c r="G55" s="557" t="s">
        <v>166</v>
      </c>
      <c r="H55" s="558"/>
      <c r="I55" s="558"/>
      <c r="J55" s="558"/>
      <c r="K55" s="558"/>
      <c r="L55" s="558"/>
      <c r="M55" s="558"/>
      <c r="N55" s="558"/>
      <c r="O55" s="558"/>
      <c r="P55" s="558"/>
      <c r="Q55" s="558"/>
      <c r="R55" s="558"/>
      <c r="S55" s="558"/>
      <c r="T55" s="559"/>
    </row>
    <row r="56" spans="2:20" x14ac:dyDescent="0.3">
      <c r="B56" s="556" t="s">
        <v>167</v>
      </c>
      <c r="C56" s="471"/>
      <c r="D56" s="471"/>
      <c r="E56" s="471"/>
      <c r="F56" s="32">
        <v>15</v>
      </c>
      <c r="G56" s="557" t="s">
        <v>166</v>
      </c>
      <c r="H56" s="558"/>
      <c r="I56" s="558"/>
      <c r="J56" s="558"/>
      <c r="K56" s="558"/>
      <c r="L56" s="558"/>
      <c r="M56" s="558"/>
      <c r="N56" s="558"/>
      <c r="O56" s="558"/>
      <c r="P56" s="558"/>
      <c r="Q56" s="558"/>
      <c r="R56" s="558"/>
      <c r="S56" s="558"/>
      <c r="T56" s="559"/>
    </row>
    <row r="57" spans="2:20" x14ac:dyDescent="0.3">
      <c r="B57" s="556" t="s">
        <v>168</v>
      </c>
      <c r="C57" s="471"/>
      <c r="D57" s="471"/>
      <c r="E57" s="471"/>
      <c r="F57" s="31">
        <f>((0.004+0.003+0.001)+(0.007+0.003+0.001))/2</f>
        <v>9.4999999999999998E-3</v>
      </c>
      <c r="G57" s="571" t="s">
        <v>169</v>
      </c>
      <c r="H57" s="572"/>
      <c r="I57" s="572"/>
      <c r="J57" s="572"/>
      <c r="K57" s="572"/>
      <c r="L57" s="572"/>
      <c r="M57" s="572"/>
      <c r="N57" s="572"/>
      <c r="O57" s="572"/>
      <c r="P57" s="572"/>
      <c r="Q57" s="572"/>
      <c r="R57" s="572"/>
      <c r="S57" s="572"/>
      <c r="T57" s="573"/>
    </row>
    <row r="58" spans="2:20" x14ac:dyDescent="0.3">
      <c r="B58" s="556" t="s">
        <v>170</v>
      </c>
      <c r="C58" s="471"/>
      <c r="D58" s="471"/>
      <c r="E58" s="471"/>
      <c r="F58" s="31">
        <f>0.106+0.009+0.004</f>
        <v>0.11899999999999999</v>
      </c>
      <c r="G58" s="571" t="s">
        <v>171</v>
      </c>
      <c r="H58" s="572"/>
      <c r="I58" s="572"/>
      <c r="J58" s="572"/>
      <c r="K58" s="572"/>
      <c r="L58" s="572"/>
      <c r="M58" s="572"/>
      <c r="N58" s="572"/>
      <c r="O58" s="572"/>
      <c r="P58" s="572"/>
      <c r="Q58" s="572"/>
      <c r="R58" s="572"/>
      <c r="S58" s="572"/>
      <c r="T58" s="573"/>
    </row>
    <row r="59" spans="2:20" x14ac:dyDescent="0.3">
      <c r="B59" s="556" t="s">
        <v>172</v>
      </c>
      <c r="C59" s="471"/>
      <c r="D59" s="471"/>
      <c r="E59" s="471"/>
      <c r="F59" s="33">
        <v>8887</v>
      </c>
      <c r="G59" s="571" t="s">
        <v>158</v>
      </c>
      <c r="H59" s="572"/>
      <c r="I59" s="572"/>
      <c r="J59" s="572"/>
      <c r="K59" s="572"/>
      <c r="L59" s="572"/>
      <c r="M59" s="572"/>
      <c r="N59" s="572"/>
      <c r="O59" s="572"/>
      <c r="P59" s="572"/>
      <c r="Q59" s="572"/>
      <c r="R59" s="572"/>
      <c r="S59" s="572"/>
      <c r="T59" s="573"/>
    </row>
    <row r="60" spans="2:20" x14ac:dyDescent="0.3">
      <c r="B60" s="556" t="s">
        <v>173</v>
      </c>
      <c r="C60" s="471"/>
      <c r="D60" s="471"/>
      <c r="E60" s="471"/>
      <c r="F60" s="33">
        <v>10180</v>
      </c>
      <c r="G60" s="571" t="s">
        <v>158</v>
      </c>
      <c r="H60" s="572"/>
      <c r="I60" s="572"/>
      <c r="J60" s="572"/>
      <c r="K60" s="572"/>
      <c r="L60" s="572"/>
      <c r="M60" s="572"/>
      <c r="N60" s="572"/>
      <c r="O60" s="572"/>
      <c r="P60" s="572"/>
      <c r="Q60" s="572"/>
      <c r="R60" s="572"/>
      <c r="S60" s="572"/>
      <c r="T60" s="573"/>
    </row>
    <row r="61" spans="2:20" x14ac:dyDescent="0.3">
      <c r="B61" s="556" t="s">
        <v>174</v>
      </c>
      <c r="C61" s="471"/>
      <c r="D61" s="471"/>
      <c r="E61" s="471"/>
      <c r="F61" s="34">
        <f>2.62*3.78541*10^-12</f>
        <v>9.9177741999999993E-12</v>
      </c>
      <c r="G61" s="557" t="s">
        <v>175</v>
      </c>
      <c r="H61" s="558"/>
      <c r="I61" s="558"/>
      <c r="J61" s="558"/>
      <c r="K61" s="558"/>
      <c r="L61" s="558"/>
      <c r="M61" s="558"/>
      <c r="N61" s="558"/>
      <c r="O61" s="558"/>
      <c r="P61" s="558"/>
      <c r="Q61" s="558"/>
      <c r="R61" s="558"/>
      <c r="S61" s="558"/>
      <c r="T61" s="559"/>
    </row>
    <row r="62" spans="2:20" x14ac:dyDescent="0.3">
      <c r="B62" s="556" t="s">
        <v>176</v>
      </c>
      <c r="C62" s="471"/>
      <c r="D62" s="471"/>
      <c r="E62" s="471"/>
      <c r="F62" s="34">
        <f>1/1000000</f>
        <v>9.9999999999999995E-7</v>
      </c>
      <c r="G62" s="557"/>
      <c r="H62" s="558"/>
      <c r="I62" s="558"/>
      <c r="J62" s="558"/>
      <c r="K62" s="558"/>
      <c r="L62" s="558"/>
      <c r="M62" s="558"/>
      <c r="N62" s="558"/>
      <c r="O62" s="558"/>
      <c r="P62" s="558"/>
      <c r="Q62" s="558"/>
      <c r="R62" s="558"/>
      <c r="S62" s="558"/>
      <c r="T62" s="559"/>
    </row>
    <row r="63" spans="2:20" x14ac:dyDescent="0.3">
      <c r="B63" s="556" t="s">
        <v>177</v>
      </c>
      <c r="C63" s="471"/>
      <c r="D63" s="471"/>
      <c r="E63" s="471"/>
      <c r="F63" s="78">
        <v>0</v>
      </c>
      <c r="G63" s="557" t="s">
        <v>178</v>
      </c>
      <c r="H63" s="558"/>
      <c r="I63" s="558"/>
      <c r="J63" s="558"/>
      <c r="K63" s="558"/>
      <c r="L63" s="558"/>
      <c r="M63" s="558"/>
      <c r="N63" s="558"/>
      <c r="O63" s="558"/>
      <c r="P63" s="558"/>
      <c r="Q63" s="558"/>
      <c r="R63" s="558"/>
      <c r="S63" s="558"/>
      <c r="T63" s="559"/>
    </row>
    <row r="64" spans="2:20" ht="17.25" thickBot="1" x14ac:dyDescent="0.35">
      <c r="B64" s="551" t="s">
        <v>179</v>
      </c>
      <c r="C64" s="552"/>
      <c r="D64" s="552"/>
      <c r="E64" s="552"/>
      <c r="F64" s="275">
        <v>1</v>
      </c>
      <c r="G64" s="553" t="s">
        <v>178</v>
      </c>
      <c r="H64" s="554"/>
      <c r="I64" s="554"/>
      <c r="J64" s="554"/>
      <c r="K64" s="554"/>
      <c r="L64" s="554"/>
      <c r="M64" s="554"/>
      <c r="N64" s="554"/>
      <c r="O64" s="554"/>
      <c r="P64" s="554"/>
      <c r="Q64" s="554"/>
      <c r="R64" s="554"/>
      <c r="S64" s="554"/>
      <c r="T64" s="555"/>
    </row>
  </sheetData>
  <mergeCells count="46">
    <mergeCell ref="B43:W43"/>
    <mergeCell ref="B44:W44"/>
    <mergeCell ref="B45:W45"/>
    <mergeCell ref="B46:W46"/>
    <mergeCell ref="B47:W47"/>
    <mergeCell ref="B63:E63"/>
    <mergeCell ref="G63:T63"/>
    <mergeCell ref="G61:T61"/>
    <mergeCell ref="B61:E61"/>
    <mergeCell ref="B56:E56"/>
    <mergeCell ref="B57:E57"/>
    <mergeCell ref="B58:E58"/>
    <mergeCell ref="B59:E59"/>
    <mergeCell ref="B60:E60"/>
    <mergeCell ref="G60:T60"/>
    <mergeCell ref="G58:T58"/>
    <mergeCell ref="B55:E55"/>
    <mergeCell ref="B54:E54"/>
    <mergeCell ref="B52:E52"/>
    <mergeCell ref="B51:E51"/>
    <mergeCell ref="B53:E53"/>
    <mergeCell ref="B42:V42"/>
    <mergeCell ref="B64:E64"/>
    <mergeCell ref="G64:T64"/>
    <mergeCell ref="B62:E62"/>
    <mergeCell ref="G62:T62"/>
    <mergeCell ref="G50:T50"/>
    <mergeCell ref="G51:T51"/>
    <mergeCell ref="G52:T52"/>
    <mergeCell ref="G53:T53"/>
    <mergeCell ref="G54:T54"/>
    <mergeCell ref="G55:T55"/>
    <mergeCell ref="G56:T56"/>
    <mergeCell ref="G57:T57"/>
    <mergeCell ref="B50:E50"/>
    <mergeCell ref="G59:T59"/>
    <mergeCell ref="B49:T49"/>
    <mergeCell ref="C4:G11"/>
    <mergeCell ref="H4:L11"/>
    <mergeCell ref="M4:Q11"/>
    <mergeCell ref="R4:V11"/>
    <mergeCell ref="B2:B3"/>
    <mergeCell ref="H2:L2"/>
    <mergeCell ref="M2:Q2"/>
    <mergeCell ref="R2:V2"/>
    <mergeCell ref="C2:G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C5AA7-8BAE-4B24-BD4B-0AAA6FC2EEE9}">
  <sheetPr>
    <tabColor theme="9" tint="0.39997558519241921"/>
  </sheetPr>
  <dimension ref="B1:Z55"/>
  <sheetViews>
    <sheetView topLeftCell="A28" zoomScaleNormal="100" workbookViewId="0">
      <selection activeCell="B44" sqref="B2:M44"/>
    </sheetView>
  </sheetViews>
  <sheetFormatPr defaultColWidth="9.140625" defaultRowHeight="16.5" x14ac:dyDescent="0.3"/>
  <cols>
    <col min="1" max="1" width="2.7109375" style="1" customWidth="1"/>
    <col min="2" max="2" width="9.140625" style="1" customWidth="1"/>
    <col min="3" max="3" width="13.42578125" style="1" bestFit="1" customWidth="1"/>
    <col min="4" max="4" width="12" style="1" customWidth="1"/>
    <col min="5" max="5" width="10.5703125" style="1" bestFit="1" customWidth="1"/>
    <col min="6" max="6" width="13.28515625" style="1" customWidth="1"/>
    <col min="7" max="7" width="13.85546875" style="1" bestFit="1" customWidth="1"/>
    <col min="8" max="8" width="13.140625" style="1" bestFit="1" customWidth="1"/>
    <col min="9" max="9" width="13.140625" style="1" customWidth="1"/>
    <col min="10" max="10" width="10.5703125" style="1" bestFit="1" customWidth="1"/>
    <col min="11" max="12" width="13.28515625" style="1" customWidth="1"/>
    <col min="13" max="13" width="18.5703125" style="1" bestFit="1" customWidth="1"/>
    <col min="14" max="16" width="9.140625" style="1"/>
    <col min="17" max="17" width="9.85546875" style="1" customWidth="1"/>
    <col min="18" max="18" width="10.5703125" style="1" customWidth="1"/>
    <col min="19" max="25" width="9.140625" style="1"/>
    <col min="26" max="26" width="29.140625" style="1" customWidth="1"/>
    <col min="27" max="16384" width="9.140625" style="1"/>
  </cols>
  <sheetData>
    <row r="1" spans="2:26" ht="17.25" thickBot="1" x14ac:dyDescent="0.35">
      <c r="B1" s="7"/>
      <c r="C1" s="53"/>
    </row>
    <row r="2" spans="2:26" ht="36" customHeight="1" thickBot="1" x14ac:dyDescent="0.35">
      <c r="B2" s="579" t="s">
        <v>88</v>
      </c>
      <c r="C2" s="581" t="s">
        <v>180</v>
      </c>
      <c r="D2" s="582"/>
      <c r="E2" s="582"/>
      <c r="F2" s="582"/>
      <c r="G2" s="583"/>
      <c r="H2" s="581" t="s">
        <v>181</v>
      </c>
      <c r="I2" s="582"/>
      <c r="J2" s="582"/>
      <c r="K2" s="582"/>
      <c r="L2" s="583"/>
      <c r="M2" s="108" t="s">
        <v>182</v>
      </c>
    </row>
    <row r="3" spans="2:26" ht="42" customHeight="1" thickBot="1" x14ac:dyDescent="0.35">
      <c r="B3" s="580"/>
      <c r="C3" s="17" t="s">
        <v>183</v>
      </c>
      <c r="D3" s="17" t="s">
        <v>184</v>
      </c>
      <c r="E3" s="17" t="s">
        <v>185</v>
      </c>
      <c r="F3" s="14" t="s">
        <v>186</v>
      </c>
      <c r="G3" s="11" t="s">
        <v>187</v>
      </c>
      <c r="H3" s="17" t="s">
        <v>183</v>
      </c>
      <c r="I3" s="17" t="s">
        <v>184</v>
      </c>
      <c r="J3" s="17" t="s">
        <v>185</v>
      </c>
      <c r="K3" s="14" t="s">
        <v>186</v>
      </c>
      <c r="L3" s="11" t="s">
        <v>187</v>
      </c>
      <c r="M3" s="19" t="s">
        <v>188</v>
      </c>
    </row>
    <row r="4" spans="2:26" ht="16.5" customHeight="1" thickBot="1" x14ac:dyDescent="0.35">
      <c r="B4" s="114">
        <v>2019</v>
      </c>
      <c r="C4" s="516" t="s">
        <v>152</v>
      </c>
      <c r="D4" s="517"/>
      <c r="E4" s="517"/>
      <c r="F4" s="517"/>
      <c r="G4" s="518"/>
      <c r="H4" s="516" t="s">
        <v>152</v>
      </c>
      <c r="I4" s="517"/>
      <c r="J4" s="517"/>
      <c r="K4" s="517"/>
      <c r="L4" s="518"/>
      <c r="M4" s="20">
        <v>0</v>
      </c>
      <c r="O4" s="434" t="s">
        <v>100</v>
      </c>
      <c r="P4" s="435"/>
      <c r="Q4" s="435"/>
      <c r="R4" s="435"/>
      <c r="S4" s="435"/>
      <c r="T4" s="435"/>
      <c r="U4" s="435"/>
      <c r="V4" s="435"/>
      <c r="W4" s="435"/>
      <c r="X4" s="435"/>
      <c r="Y4" s="435"/>
      <c r="Z4" s="436"/>
    </row>
    <row r="5" spans="2:26" ht="17.25" customHeight="1" thickBot="1" x14ac:dyDescent="0.35">
      <c r="B5" s="115">
        <v>2020</v>
      </c>
      <c r="C5" s="519"/>
      <c r="D5" s="464"/>
      <c r="E5" s="464"/>
      <c r="F5" s="464"/>
      <c r="G5" s="520"/>
      <c r="H5" s="519"/>
      <c r="I5" s="464"/>
      <c r="J5" s="464"/>
      <c r="K5" s="464"/>
      <c r="L5" s="520"/>
      <c r="M5" s="20">
        <v>0</v>
      </c>
      <c r="O5" s="527" t="s">
        <v>101</v>
      </c>
      <c r="P5" s="600"/>
      <c r="Q5" s="590" t="s">
        <v>102</v>
      </c>
      <c r="R5" s="591"/>
      <c r="S5" s="560" t="s">
        <v>103</v>
      </c>
      <c r="T5" s="528"/>
      <c r="U5" s="528"/>
      <c r="V5" s="528"/>
      <c r="W5" s="528"/>
      <c r="X5" s="528"/>
      <c r="Y5" s="528"/>
      <c r="Z5" s="561"/>
    </row>
    <row r="6" spans="2:26" x14ac:dyDescent="0.3">
      <c r="B6" s="115">
        <v>2021</v>
      </c>
      <c r="C6" s="519"/>
      <c r="D6" s="464"/>
      <c r="E6" s="464"/>
      <c r="F6" s="464"/>
      <c r="G6" s="520"/>
      <c r="H6" s="519"/>
      <c r="I6" s="464"/>
      <c r="J6" s="464"/>
      <c r="K6" s="464"/>
      <c r="L6" s="520"/>
      <c r="M6" s="20">
        <v>0</v>
      </c>
      <c r="O6" s="574" t="s">
        <v>189</v>
      </c>
      <c r="P6" s="601"/>
      <c r="Q6" s="592">
        <v>12837400</v>
      </c>
      <c r="R6" s="593"/>
      <c r="S6" s="594" t="s">
        <v>190</v>
      </c>
      <c r="T6" s="595"/>
      <c r="U6" s="595"/>
      <c r="V6" s="595"/>
      <c r="W6" s="595"/>
      <c r="X6" s="595"/>
      <c r="Y6" s="595"/>
      <c r="Z6" s="596"/>
    </row>
    <row r="7" spans="2:26" x14ac:dyDescent="0.3">
      <c r="B7" s="115">
        <v>2022</v>
      </c>
      <c r="C7" s="519"/>
      <c r="D7" s="464"/>
      <c r="E7" s="464"/>
      <c r="F7" s="464"/>
      <c r="G7" s="520"/>
      <c r="H7" s="519"/>
      <c r="I7" s="464"/>
      <c r="J7" s="464"/>
      <c r="K7" s="464"/>
      <c r="L7" s="520"/>
      <c r="M7" s="20">
        <v>0</v>
      </c>
      <c r="O7" s="556" t="s">
        <v>191</v>
      </c>
      <c r="P7" s="472"/>
      <c r="Q7" s="588">
        <v>302600</v>
      </c>
      <c r="R7" s="589"/>
      <c r="S7" s="597"/>
      <c r="T7" s="598"/>
      <c r="U7" s="598"/>
      <c r="V7" s="598"/>
      <c r="W7" s="598"/>
      <c r="X7" s="598"/>
      <c r="Y7" s="598"/>
      <c r="Z7" s="599"/>
    </row>
    <row r="8" spans="2:26" x14ac:dyDescent="0.3">
      <c r="B8" s="115">
        <v>2023</v>
      </c>
      <c r="C8" s="519"/>
      <c r="D8" s="464"/>
      <c r="E8" s="464"/>
      <c r="F8" s="464"/>
      <c r="G8" s="520"/>
      <c r="H8" s="519"/>
      <c r="I8" s="464"/>
      <c r="J8" s="464"/>
      <c r="K8" s="464"/>
      <c r="L8" s="520"/>
      <c r="M8" s="20">
        <v>0</v>
      </c>
      <c r="O8" s="556" t="s">
        <v>185</v>
      </c>
      <c r="P8" s="472"/>
      <c r="Q8" s="588">
        <v>4600</v>
      </c>
      <c r="R8" s="589"/>
      <c r="S8" s="602" t="s">
        <v>192</v>
      </c>
      <c r="T8" s="603"/>
      <c r="U8" s="603"/>
      <c r="V8" s="603"/>
      <c r="W8" s="603"/>
      <c r="X8" s="603"/>
      <c r="Y8" s="603"/>
      <c r="Z8" s="604"/>
    </row>
    <row r="9" spans="2:26" ht="17.25" customHeight="1" thickBot="1" x14ac:dyDescent="0.35">
      <c r="B9" s="115">
        <v>2024</v>
      </c>
      <c r="C9" s="519"/>
      <c r="D9" s="464"/>
      <c r="E9" s="464"/>
      <c r="F9" s="464"/>
      <c r="G9" s="520"/>
      <c r="H9" s="519"/>
      <c r="I9" s="464"/>
      <c r="J9" s="464"/>
      <c r="K9" s="464"/>
      <c r="L9" s="520"/>
      <c r="M9" s="20">
        <v>0</v>
      </c>
      <c r="O9" s="584" t="s">
        <v>193</v>
      </c>
      <c r="P9" s="585"/>
      <c r="Q9" s="586">
        <v>0.96</v>
      </c>
      <c r="R9" s="587"/>
      <c r="S9" s="605" t="s">
        <v>194</v>
      </c>
      <c r="T9" s="606"/>
      <c r="U9" s="606"/>
      <c r="V9" s="606"/>
      <c r="W9" s="606"/>
      <c r="X9" s="606"/>
      <c r="Y9" s="606"/>
      <c r="Z9" s="607"/>
    </row>
    <row r="10" spans="2:26" ht="17.25" customHeight="1" thickBot="1" x14ac:dyDescent="0.35">
      <c r="B10" s="115">
        <v>2025</v>
      </c>
      <c r="C10" s="519"/>
      <c r="D10" s="464"/>
      <c r="E10" s="464"/>
      <c r="F10" s="464"/>
      <c r="G10" s="520"/>
      <c r="H10" s="519"/>
      <c r="I10" s="464"/>
      <c r="J10" s="464"/>
      <c r="K10" s="464"/>
      <c r="L10" s="520"/>
      <c r="M10" s="20">
        <v>0</v>
      </c>
    </row>
    <row r="11" spans="2:26" ht="17.25" customHeight="1" thickBot="1" x14ac:dyDescent="0.35">
      <c r="B11" s="115">
        <v>2026</v>
      </c>
      <c r="C11" s="611"/>
      <c r="D11" s="612"/>
      <c r="E11" s="612"/>
      <c r="F11" s="612"/>
      <c r="G11" s="613"/>
      <c r="H11" s="611"/>
      <c r="I11" s="612"/>
      <c r="J11" s="612"/>
      <c r="K11" s="612"/>
      <c r="L11" s="613"/>
      <c r="M11" s="20">
        <v>0</v>
      </c>
      <c r="O11" s="614" t="s">
        <v>195</v>
      </c>
      <c r="P11" s="615"/>
      <c r="Q11" s="615"/>
      <c r="R11" s="616"/>
    </row>
    <row r="12" spans="2:26" ht="17.25" thickBot="1" x14ac:dyDescent="0.35">
      <c r="B12" s="115">
        <v>2027</v>
      </c>
      <c r="C12" s="143">
        <f>$Q$13*$Q$6</f>
        <v>2567480</v>
      </c>
      <c r="D12" s="38">
        <f>$Q$14*$Q$7</f>
        <v>484160</v>
      </c>
      <c r="E12" s="38">
        <f>$Q$15*$Q$8</f>
        <v>52440</v>
      </c>
      <c r="F12" s="38">
        <f>C12+D12+E12</f>
        <v>3104080</v>
      </c>
      <c r="G12" s="25">
        <f>F12/1.07^(B12-2020)</f>
        <v>1933065.0187891216</v>
      </c>
      <c r="H12" s="38">
        <f>$R$13*$Q$6</f>
        <v>2464780.8000000003</v>
      </c>
      <c r="I12" s="38">
        <f t="shared" ref="I12:I41" si="0">$R$14*$Q$7</f>
        <v>464793.60000000003</v>
      </c>
      <c r="J12" s="38">
        <f t="shared" ref="J12:J41" si="1">$R$15*$Q$8</f>
        <v>50342.399999999994</v>
      </c>
      <c r="K12" s="38">
        <f>H12+I12+J12</f>
        <v>2979916.8000000003</v>
      </c>
      <c r="L12" s="25">
        <f>K12/1.07^(B12-2020)</f>
        <v>1855742.4180375568</v>
      </c>
      <c r="M12" s="20">
        <f>G12-L12</f>
        <v>77322.600751564838</v>
      </c>
      <c r="O12" s="617" t="s">
        <v>196</v>
      </c>
      <c r="P12" s="618"/>
      <c r="Q12" s="83" t="s">
        <v>47</v>
      </c>
      <c r="R12" s="74" t="s">
        <v>49</v>
      </c>
    </row>
    <row r="13" spans="2:26" x14ac:dyDescent="0.3">
      <c r="B13" s="115">
        <v>2028</v>
      </c>
      <c r="C13" s="143">
        <f t="shared" ref="C13:C41" si="2">$Q$13*$Q$6</f>
        <v>2567480</v>
      </c>
      <c r="D13" s="38">
        <f t="shared" ref="D13:D41" si="3">$Q$14*$Q$7</f>
        <v>484160</v>
      </c>
      <c r="E13" s="38">
        <f>$Q$15*$Q$8</f>
        <v>52440</v>
      </c>
      <c r="F13" s="38">
        <f t="shared" ref="F13:F39" si="4">C13+D13+E13</f>
        <v>3104080</v>
      </c>
      <c r="G13" s="25">
        <f t="shared" ref="G13:G39" si="5">F13/1.07^(B13-2020)</f>
        <v>1806602.8212982444</v>
      </c>
      <c r="H13" s="38">
        <f t="shared" ref="H13:H41" si="6">$R$13*$Q$6</f>
        <v>2464780.8000000003</v>
      </c>
      <c r="I13" s="38">
        <f t="shared" si="0"/>
        <v>464793.60000000003</v>
      </c>
      <c r="J13" s="38">
        <f t="shared" si="1"/>
        <v>50342.399999999994</v>
      </c>
      <c r="K13" s="38">
        <f t="shared" ref="K13:K39" si="7">H13+I13+J13</f>
        <v>2979916.8000000003</v>
      </c>
      <c r="L13" s="25">
        <f t="shared" ref="L13:L39" si="8">K13/1.07^(B13-2020)</f>
        <v>1734338.7084463148</v>
      </c>
      <c r="M13" s="20">
        <f t="shared" ref="M13:M41" si="9">G13-L13</f>
        <v>72264.112851929618</v>
      </c>
      <c r="O13" s="619" t="s">
        <v>183</v>
      </c>
      <c r="P13" s="620"/>
      <c r="Q13" s="84">
        <f>1/5</f>
        <v>0.2</v>
      </c>
      <c r="R13" s="80">
        <f>Q13*$Q$9</f>
        <v>0.192</v>
      </c>
    </row>
    <row r="14" spans="2:26" x14ac:dyDescent="0.3">
      <c r="B14" s="115">
        <v>2029</v>
      </c>
      <c r="C14" s="143">
        <f t="shared" si="2"/>
        <v>2567480</v>
      </c>
      <c r="D14" s="38">
        <f t="shared" si="3"/>
        <v>484160</v>
      </c>
      <c r="E14" s="38">
        <f t="shared" ref="E14:E41" si="10">$Q$15*$Q$8</f>
        <v>52440</v>
      </c>
      <c r="F14" s="38">
        <f t="shared" si="4"/>
        <v>3104080</v>
      </c>
      <c r="G14" s="25">
        <f t="shared" si="5"/>
        <v>1688413.8516806022</v>
      </c>
      <c r="H14" s="38">
        <f t="shared" si="6"/>
        <v>2464780.8000000003</v>
      </c>
      <c r="I14" s="38">
        <f t="shared" si="0"/>
        <v>464793.60000000003</v>
      </c>
      <c r="J14" s="38">
        <f t="shared" si="1"/>
        <v>50342.399999999994</v>
      </c>
      <c r="K14" s="38">
        <f t="shared" si="7"/>
        <v>2979916.8000000003</v>
      </c>
      <c r="L14" s="25">
        <f t="shared" si="8"/>
        <v>1620877.2976133781</v>
      </c>
      <c r="M14" s="20">
        <f t="shared" si="9"/>
        <v>67536.554067224031</v>
      </c>
      <c r="O14" s="621" t="s">
        <v>184</v>
      </c>
      <c r="P14" s="622"/>
      <c r="Q14" s="85">
        <f>8/5</f>
        <v>1.6</v>
      </c>
      <c r="R14" s="81">
        <f>Q14*$Q$9</f>
        <v>1.536</v>
      </c>
    </row>
    <row r="15" spans="2:26" x14ac:dyDescent="0.3">
      <c r="B15" s="115">
        <v>2030</v>
      </c>
      <c r="C15" s="143">
        <f t="shared" si="2"/>
        <v>2567480</v>
      </c>
      <c r="D15" s="38">
        <f t="shared" si="3"/>
        <v>484160</v>
      </c>
      <c r="E15" s="38">
        <f t="shared" si="10"/>
        <v>52440</v>
      </c>
      <c r="F15" s="38">
        <f t="shared" si="4"/>
        <v>3104080</v>
      </c>
      <c r="G15" s="25">
        <f t="shared" si="5"/>
        <v>1577956.8707295349</v>
      </c>
      <c r="H15" s="38">
        <f t="shared" si="6"/>
        <v>2464780.8000000003</v>
      </c>
      <c r="I15" s="38">
        <f t="shared" si="0"/>
        <v>464793.60000000003</v>
      </c>
      <c r="J15" s="38">
        <f t="shared" si="1"/>
        <v>50342.399999999994</v>
      </c>
      <c r="K15" s="38">
        <f t="shared" si="7"/>
        <v>2979916.8000000003</v>
      </c>
      <c r="L15" s="25">
        <f t="shared" si="8"/>
        <v>1514838.5959003535</v>
      </c>
      <c r="M15" s="20">
        <f t="shared" si="9"/>
        <v>63118.274829181377</v>
      </c>
      <c r="O15" s="623" t="s">
        <v>197</v>
      </c>
      <c r="P15" s="624"/>
      <c r="Q15" s="86">
        <f>57/5</f>
        <v>11.4</v>
      </c>
      <c r="R15" s="82">
        <f>Q15*$Q$9</f>
        <v>10.943999999999999</v>
      </c>
    </row>
    <row r="16" spans="2:26" x14ac:dyDescent="0.3">
      <c r="B16" s="115">
        <v>2031</v>
      </c>
      <c r="C16" s="143">
        <f t="shared" si="2"/>
        <v>2567480</v>
      </c>
      <c r="D16" s="38">
        <f t="shared" si="3"/>
        <v>484160</v>
      </c>
      <c r="E16" s="38">
        <f t="shared" si="10"/>
        <v>52440</v>
      </c>
      <c r="F16" s="38">
        <f t="shared" si="4"/>
        <v>3104080</v>
      </c>
      <c r="G16" s="25">
        <f t="shared" si="5"/>
        <v>1474726.0474107801</v>
      </c>
      <c r="H16" s="38">
        <f t="shared" si="6"/>
        <v>2464780.8000000003</v>
      </c>
      <c r="I16" s="38">
        <f t="shared" si="0"/>
        <v>464793.60000000003</v>
      </c>
      <c r="J16" s="38">
        <f t="shared" si="1"/>
        <v>50342.399999999994</v>
      </c>
      <c r="K16" s="38">
        <f t="shared" si="7"/>
        <v>2979916.8000000003</v>
      </c>
      <c r="L16" s="25">
        <f t="shared" si="8"/>
        <v>1415737.0055143489</v>
      </c>
      <c r="M16" s="20">
        <f t="shared" si="9"/>
        <v>58989.041896431241</v>
      </c>
    </row>
    <row r="17" spans="2:13" x14ac:dyDescent="0.3">
      <c r="B17" s="115">
        <v>2032</v>
      </c>
      <c r="C17" s="143">
        <f t="shared" si="2"/>
        <v>2567480</v>
      </c>
      <c r="D17" s="38">
        <f t="shared" si="3"/>
        <v>484160</v>
      </c>
      <c r="E17" s="38">
        <f t="shared" si="10"/>
        <v>52440</v>
      </c>
      <c r="F17" s="38">
        <f t="shared" si="4"/>
        <v>3104080</v>
      </c>
      <c r="G17" s="25">
        <f t="shared" si="5"/>
        <v>1378248.6424399817</v>
      </c>
      <c r="H17" s="38">
        <f t="shared" si="6"/>
        <v>2464780.8000000003</v>
      </c>
      <c r="I17" s="38">
        <f t="shared" si="0"/>
        <v>464793.60000000003</v>
      </c>
      <c r="J17" s="38">
        <f t="shared" si="1"/>
        <v>50342.399999999994</v>
      </c>
      <c r="K17" s="38">
        <f t="shared" si="7"/>
        <v>2979916.8000000003</v>
      </c>
      <c r="L17" s="25">
        <f t="shared" si="8"/>
        <v>1323118.6967423824</v>
      </c>
      <c r="M17" s="20">
        <f t="shared" si="9"/>
        <v>55129.945697599323</v>
      </c>
    </row>
    <row r="18" spans="2:13" x14ac:dyDescent="0.3">
      <c r="B18" s="115">
        <v>2033</v>
      </c>
      <c r="C18" s="143">
        <f t="shared" si="2"/>
        <v>2567480</v>
      </c>
      <c r="D18" s="38">
        <f t="shared" si="3"/>
        <v>484160</v>
      </c>
      <c r="E18" s="38">
        <f t="shared" si="10"/>
        <v>52440</v>
      </c>
      <c r="F18" s="38">
        <f t="shared" si="4"/>
        <v>3104080</v>
      </c>
      <c r="G18" s="25">
        <f t="shared" si="5"/>
        <v>1288082.8434018518</v>
      </c>
      <c r="H18" s="38">
        <f t="shared" si="6"/>
        <v>2464780.8000000003</v>
      </c>
      <c r="I18" s="38">
        <f t="shared" si="0"/>
        <v>464793.60000000003</v>
      </c>
      <c r="J18" s="38">
        <f t="shared" si="1"/>
        <v>50342.399999999994</v>
      </c>
      <c r="K18" s="38">
        <f t="shared" si="7"/>
        <v>2979916.8000000003</v>
      </c>
      <c r="L18" s="25">
        <f t="shared" si="8"/>
        <v>1236559.5296657779</v>
      </c>
      <c r="M18" s="20">
        <f t="shared" si="9"/>
        <v>51523.313736073906</v>
      </c>
    </row>
    <row r="19" spans="2:13" x14ac:dyDescent="0.3">
      <c r="B19" s="115">
        <v>2034</v>
      </c>
      <c r="C19" s="143">
        <f t="shared" si="2"/>
        <v>2567480</v>
      </c>
      <c r="D19" s="38">
        <f t="shared" si="3"/>
        <v>484160</v>
      </c>
      <c r="E19" s="38">
        <f t="shared" si="10"/>
        <v>52440</v>
      </c>
      <c r="F19" s="38">
        <f t="shared" si="4"/>
        <v>3104080</v>
      </c>
      <c r="G19" s="25">
        <f t="shared" si="5"/>
        <v>1203815.741497058</v>
      </c>
      <c r="H19" s="38">
        <f t="shared" si="6"/>
        <v>2464780.8000000003</v>
      </c>
      <c r="I19" s="38">
        <f t="shared" si="0"/>
        <v>464793.60000000003</v>
      </c>
      <c r="J19" s="38">
        <f t="shared" si="1"/>
        <v>50342.399999999994</v>
      </c>
      <c r="K19" s="38">
        <f t="shared" si="7"/>
        <v>2979916.8000000003</v>
      </c>
      <c r="L19" s="25">
        <f t="shared" si="8"/>
        <v>1155663.1118371757</v>
      </c>
      <c r="M19" s="20">
        <f t="shared" si="9"/>
        <v>48152.629659882281</v>
      </c>
    </row>
    <row r="20" spans="2:13" x14ac:dyDescent="0.3">
      <c r="B20" s="115">
        <v>2035</v>
      </c>
      <c r="C20" s="143">
        <f t="shared" si="2"/>
        <v>2567480</v>
      </c>
      <c r="D20" s="38">
        <f t="shared" si="3"/>
        <v>484160</v>
      </c>
      <c r="E20" s="38">
        <f t="shared" si="10"/>
        <v>52440</v>
      </c>
      <c r="F20" s="38">
        <f t="shared" si="4"/>
        <v>3104080</v>
      </c>
      <c r="G20" s="25">
        <f t="shared" si="5"/>
        <v>1125061.4406514559</v>
      </c>
      <c r="H20" s="38">
        <f t="shared" si="6"/>
        <v>2464780.8000000003</v>
      </c>
      <c r="I20" s="38">
        <f t="shared" si="0"/>
        <v>464793.60000000003</v>
      </c>
      <c r="J20" s="38">
        <f t="shared" si="1"/>
        <v>50342.399999999994</v>
      </c>
      <c r="K20" s="38">
        <f t="shared" si="7"/>
        <v>2979916.8000000003</v>
      </c>
      <c r="L20" s="25">
        <f t="shared" si="8"/>
        <v>1080058.9830253976</v>
      </c>
      <c r="M20" s="20">
        <f t="shared" si="9"/>
        <v>45002.457626058254</v>
      </c>
    </row>
    <row r="21" spans="2:13" x14ac:dyDescent="0.3">
      <c r="B21" s="115">
        <v>2036</v>
      </c>
      <c r="C21" s="143">
        <f t="shared" si="2"/>
        <v>2567480</v>
      </c>
      <c r="D21" s="38">
        <f t="shared" si="3"/>
        <v>484160</v>
      </c>
      <c r="E21" s="38">
        <f t="shared" si="10"/>
        <v>52440</v>
      </c>
      <c r="F21" s="38">
        <f t="shared" si="4"/>
        <v>3104080</v>
      </c>
      <c r="G21" s="25">
        <f t="shared" si="5"/>
        <v>1051459.2903284635</v>
      </c>
      <c r="H21" s="38">
        <f t="shared" si="6"/>
        <v>2464780.8000000003</v>
      </c>
      <c r="I21" s="38">
        <f t="shared" si="0"/>
        <v>464793.60000000003</v>
      </c>
      <c r="J21" s="38">
        <f t="shared" si="1"/>
        <v>50342.399999999994</v>
      </c>
      <c r="K21" s="38">
        <f t="shared" si="7"/>
        <v>2979916.8000000003</v>
      </c>
      <c r="L21" s="25">
        <f t="shared" si="8"/>
        <v>1009400.9187153251</v>
      </c>
      <c r="M21" s="20">
        <f t="shared" si="9"/>
        <v>42058.371613138472</v>
      </c>
    </row>
    <row r="22" spans="2:13" x14ac:dyDescent="0.3">
      <c r="B22" s="115">
        <v>2037</v>
      </c>
      <c r="C22" s="143">
        <f t="shared" si="2"/>
        <v>2567480</v>
      </c>
      <c r="D22" s="38">
        <f t="shared" si="3"/>
        <v>484160</v>
      </c>
      <c r="E22" s="38">
        <f t="shared" si="10"/>
        <v>52440</v>
      </c>
      <c r="F22" s="38">
        <f t="shared" si="4"/>
        <v>3104080</v>
      </c>
      <c r="G22" s="25">
        <f t="shared" si="5"/>
        <v>982672.23395183508</v>
      </c>
      <c r="H22" s="38">
        <f t="shared" si="6"/>
        <v>2464780.8000000003</v>
      </c>
      <c r="I22" s="38">
        <f t="shared" si="0"/>
        <v>464793.60000000003</v>
      </c>
      <c r="J22" s="38">
        <f t="shared" si="1"/>
        <v>50342.399999999994</v>
      </c>
      <c r="K22" s="38">
        <f t="shared" si="7"/>
        <v>2979916.8000000003</v>
      </c>
      <c r="L22" s="25">
        <f t="shared" si="8"/>
        <v>943365.34459376172</v>
      </c>
      <c r="M22" s="20">
        <f t="shared" si="9"/>
        <v>39306.889358073357</v>
      </c>
    </row>
    <row r="23" spans="2:13" x14ac:dyDescent="0.3">
      <c r="B23" s="115">
        <v>2038</v>
      </c>
      <c r="C23" s="143">
        <f t="shared" si="2"/>
        <v>2567480</v>
      </c>
      <c r="D23" s="38">
        <f t="shared" si="3"/>
        <v>484160</v>
      </c>
      <c r="E23" s="38">
        <f t="shared" si="10"/>
        <v>52440</v>
      </c>
      <c r="F23" s="38">
        <f t="shared" si="4"/>
        <v>3104080</v>
      </c>
      <c r="G23" s="25">
        <f t="shared" si="5"/>
        <v>918385.26537554676</v>
      </c>
      <c r="H23" s="38">
        <f t="shared" si="6"/>
        <v>2464780.8000000003</v>
      </c>
      <c r="I23" s="38">
        <f t="shared" si="0"/>
        <v>464793.60000000003</v>
      </c>
      <c r="J23" s="38">
        <f t="shared" si="1"/>
        <v>50342.399999999994</v>
      </c>
      <c r="K23" s="38">
        <f t="shared" si="7"/>
        <v>2979916.8000000003</v>
      </c>
      <c r="L23" s="25">
        <f t="shared" si="8"/>
        <v>881649.85476052493</v>
      </c>
      <c r="M23" s="20">
        <f t="shared" si="9"/>
        <v>36735.410615021829</v>
      </c>
    </row>
    <row r="24" spans="2:13" x14ac:dyDescent="0.3">
      <c r="B24" s="115">
        <v>2039</v>
      </c>
      <c r="C24" s="143">
        <f t="shared" si="2"/>
        <v>2567480</v>
      </c>
      <c r="D24" s="38">
        <f t="shared" si="3"/>
        <v>484160</v>
      </c>
      <c r="E24" s="38">
        <f t="shared" si="10"/>
        <v>52440</v>
      </c>
      <c r="F24" s="38">
        <f t="shared" si="4"/>
        <v>3104080</v>
      </c>
      <c r="G24" s="25">
        <f t="shared" si="5"/>
        <v>858303.98633228661</v>
      </c>
      <c r="H24" s="38">
        <f t="shared" si="6"/>
        <v>2464780.8000000003</v>
      </c>
      <c r="I24" s="38">
        <f t="shared" si="0"/>
        <v>464793.60000000003</v>
      </c>
      <c r="J24" s="38">
        <f t="shared" si="1"/>
        <v>50342.399999999994</v>
      </c>
      <c r="K24" s="38">
        <f t="shared" si="7"/>
        <v>2979916.8000000003</v>
      </c>
      <c r="L24" s="25">
        <f t="shared" si="8"/>
        <v>823971.82687899529</v>
      </c>
      <c r="M24" s="20">
        <f t="shared" si="9"/>
        <v>34332.15945329133</v>
      </c>
    </row>
    <row r="25" spans="2:13" x14ac:dyDescent="0.3">
      <c r="B25" s="115">
        <v>2040</v>
      </c>
      <c r="C25" s="143">
        <f t="shared" si="2"/>
        <v>2567480</v>
      </c>
      <c r="D25" s="38">
        <f t="shared" si="3"/>
        <v>484160</v>
      </c>
      <c r="E25" s="38">
        <f t="shared" si="10"/>
        <v>52440</v>
      </c>
      <c r="F25" s="38">
        <f t="shared" si="4"/>
        <v>3104080</v>
      </c>
      <c r="G25" s="25">
        <f t="shared" si="5"/>
        <v>802153.25825447356</v>
      </c>
      <c r="H25" s="38">
        <f t="shared" si="6"/>
        <v>2464780.8000000003</v>
      </c>
      <c r="I25" s="38">
        <f t="shared" si="0"/>
        <v>464793.60000000003</v>
      </c>
      <c r="J25" s="38">
        <f t="shared" si="1"/>
        <v>50342.399999999994</v>
      </c>
      <c r="K25" s="38">
        <f t="shared" si="7"/>
        <v>2979916.8000000003</v>
      </c>
      <c r="L25" s="25">
        <f t="shared" si="8"/>
        <v>770067.12792429468</v>
      </c>
      <c r="M25" s="20">
        <f t="shared" si="9"/>
        <v>32086.130330178887</v>
      </c>
    </row>
    <row r="26" spans="2:13" x14ac:dyDescent="0.3">
      <c r="B26" s="115">
        <v>2041</v>
      </c>
      <c r="C26" s="143">
        <f t="shared" si="2"/>
        <v>2567480</v>
      </c>
      <c r="D26" s="38">
        <f t="shared" si="3"/>
        <v>484160</v>
      </c>
      <c r="E26" s="38">
        <f t="shared" si="10"/>
        <v>52440</v>
      </c>
      <c r="F26" s="38">
        <f t="shared" si="4"/>
        <v>3104080</v>
      </c>
      <c r="G26" s="25">
        <f t="shared" si="5"/>
        <v>749675.94229390053</v>
      </c>
      <c r="H26" s="38">
        <f t="shared" si="6"/>
        <v>2464780.8000000003</v>
      </c>
      <c r="I26" s="38">
        <f t="shared" si="0"/>
        <v>464793.60000000003</v>
      </c>
      <c r="J26" s="38">
        <f t="shared" si="1"/>
        <v>50342.399999999994</v>
      </c>
      <c r="K26" s="38">
        <f t="shared" si="7"/>
        <v>2979916.8000000003</v>
      </c>
      <c r="L26" s="25">
        <f t="shared" si="8"/>
        <v>719688.9046021445</v>
      </c>
      <c r="M26" s="20">
        <f t="shared" si="9"/>
        <v>29987.037691756035</v>
      </c>
    </row>
    <row r="27" spans="2:13" x14ac:dyDescent="0.3">
      <c r="B27" s="115">
        <v>2042</v>
      </c>
      <c r="C27" s="143">
        <f t="shared" si="2"/>
        <v>2567480</v>
      </c>
      <c r="D27" s="38">
        <f t="shared" si="3"/>
        <v>484160</v>
      </c>
      <c r="E27" s="38">
        <f t="shared" si="10"/>
        <v>52440</v>
      </c>
      <c r="F27" s="38">
        <f t="shared" si="4"/>
        <v>3104080</v>
      </c>
      <c r="G27" s="25">
        <f t="shared" si="5"/>
        <v>700631.72177000041</v>
      </c>
      <c r="H27" s="38">
        <f t="shared" si="6"/>
        <v>2464780.8000000003</v>
      </c>
      <c r="I27" s="38">
        <f t="shared" si="0"/>
        <v>464793.60000000003</v>
      </c>
      <c r="J27" s="38">
        <f t="shared" si="1"/>
        <v>50342.399999999994</v>
      </c>
      <c r="K27" s="38">
        <f t="shared" si="7"/>
        <v>2979916.8000000003</v>
      </c>
      <c r="L27" s="25">
        <f t="shared" si="8"/>
        <v>672606.45289920049</v>
      </c>
      <c r="M27" s="20">
        <f t="shared" si="9"/>
        <v>28025.268870799919</v>
      </c>
    </row>
    <row r="28" spans="2:13" x14ac:dyDescent="0.3">
      <c r="B28" s="115">
        <v>2043</v>
      </c>
      <c r="C28" s="143">
        <f t="shared" si="2"/>
        <v>2567480</v>
      </c>
      <c r="D28" s="38">
        <f t="shared" si="3"/>
        <v>484160</v>
      </c>
      <c r="E28" s="38">
        <f t="shared" si="10"/>
        <v>52440</v>
      </c>
      <c r="F28" s="38">
        <f t="shared" si="4"/>
        <v>3104080</v>
      </c>
      <c r="G28" s="25">
        <f t="shared" si="5"/>
        <v>654796.00165420608</v>
      </c>
      <c r="H28" s="38">
        <f t="shared" si="6"/>
        <v>2464780.8000000003</v>
      </c>
      <c r="I28" s="38">
        <f t="shared" si="0"/>
        <v>464793.60000000003</v>
      </c>
      <c r="J28" s="38">
        <f t="shared" si="1"/>
        <v>50342.399999999994</v>
      </c>
      <c r="K28" s="38">
        <f t="shared" si="7"/>
        <v>2979916.8000000003</v>
      </c>
      <c r="L28" s="25">
        <f t="shared" si="8"/>
        <v>628604.16158803785</v>
      </c>
      <c r="M28" s="20">
        <f t="shared" si="9"/>
        <v>26191.840066168224</v>
      </c>
    </row>
    <row r="29" spans="2:13" x14ac:dyDescent="0.3">
      <c r="B29" s="115">
        <v>2044</v>
      </c>
      <c r="C29" s="143">
        <f t="shared" si="2"/>
        <v>2567480</v>
      </c>
      <c r="D29" s="38">
        <f t="shared" si="3"/>
        <v>484160</v>
      </c>
      <c r="E29" s="38">
        <f t="shared" si="10"/>
        <v>52440</v>
      </c>
      <c r="F29" s="38">
        <f t="shared" si="4"/>
        <v>3104080</v>
      </c>
      <c r="G29" s="25">
        <f t="shared" si="5"/>
        <v>611958.88005065976</v>
      </c>
      <c r="H29" s="38">
        <f t="shared" si="6"/>
        <v>2464780.8000000003</v>
      </c>
      <c r="I29" s="38">
        <f t="shared" si="0"/>
        <v>464793.60000000003</v>
      </c>
      <c r="J29" s="38">
        <f t="shared" si="1"/>
        <v>50342.399999999994</v>
      </c>
      <c r="K29" s="38">
        <f t="shared" si="7"/>
        <v>2979916.8000000003</v>
      </c>
      <c r="L29" s="25">
        <f t="shared" si="8"/>
        <v>587480.52484863345</v>
      </c>
      <c r="M29" s="20">
        <f t="shared" si="9"/>
        <v>24478.355202026316</v>
      </c>
    </row>
    <row r="30" spans="2:13" x14ac:dyDescent="0.3">
      <c r="B30" s="115">
        <v>2045</v>
      </c>
      <c r="C30" s="143">
        <f t="shared" si="2"/>
        <v>2567480</v>
      </c>
      <c r="D30" s="38">
        <f t="shared" si="3"/>
        <v>484160</v>
      </c>
      <c r="E30" s="38">
        <f t="shared" si="10"/>
        <v>52440</v>
      </c>
      <c r="F30" s="38">
        <f t="shared" si="4"/>
        <v>3104080</v>
      </c>
      <c r="G30" s="25">
        <f t="shared" si="5"/>
        <v>571924.1869632334</v>
      </c>
      <c r="H30" s="38">
        <f t="shared" si="6"/>
        <v>2464780.8000000003</v>
      </c>
      <c r="I30" s="38">
        <f t="shared" si="0"/>
        <v>464793.60000000003</v>
      </c>
      <c r="J30" s="38">
        <f t="shared" si="1"/>
        <v>50342.399999999994</v>
      </c>
      <c r="K30" s="38">
        <f t="shared" si="7"/>
        <v>2979916.8000000003</v>
      </c>
      <c r="L30" s="25">
        <f t="shared" si="8"/>
        <v>549047.21948470408</v>
      </c>
      <c r="M30" s="20">
        <f t="shared" si="9"/>
        <v>22876.967478529317</v>
      </c>
    </row>
    <row r="31" spans="2:13" x14ac:dyDescent="0.3">
      <c r="B31" s="115">
        <v>2046</v>
      </c>
      <c r="C31" s="143">
        <f t="shared" si="2"/>
        <v>2567480</v>
      </c>
      <c r="D31" s="38">
        <f t="shared" si="3"/>
        <v>484160</v>
      </c>
      <c r="E31" s="38">
        <f t="shared" si="10"/>
        <v>52440</v>
      </c>
      <c r="F31" s="38">
        <f t="shared" si="4"/>
        <v>3104080</v>
      </c>
      <c r="G31" s="25">
        <f t="shared" si="5"/>
        <v>534508.58594694722</v>
      </c>
      <c r="H31" s="38">
        <f t="shared" si="6"/>
        <v>2464780.8000000003</v>
      </c>
      <c r="I31" s="38">
        <f t="shared" si="0"/>
        <v>464793.60000000003</v>
      </c>
      <c r="J31" s="38">
        <f t="shared" si="1"/>
        <v>50342.399999999994</v>
      </c>
      <c r="K31" s="38">
        <f t="shared" si="7"/>
        <v>2979916.8000000003</v>
      </c>
      <c r="L31" s="25">
        <f t="shared" si="8"/>
        <v>513128.24250906933</v>
      </c>
      <c r="M31" s="20">
        <f t="shared" si="9"/>
        <v>21380.343437877891</v>
      </c>
    </row>
    <row r="32" spans="2:13" x14ac:dyDescent="0.3">
      <c r="B32" s="115">
        <v>2047</v>
      </c>
      <c r="C32" s="143">
        <f t="shared" si="2"/>
        <v>2567480</v>
      </c>
      <c r="D32" s="38">
        <f t="shared" si="3"/>
        <v>484160</v>
      </c>
      <c r="E32" s="38">
        <f t="shared" si="10"/>
        <v>52440</v>
      </c>
      <c r="F32" s="38">
        <f t="shared" si="4"/>
        <v>3104080</v>
      </c>
      <c r="G32" s="25">
        <f t="shared" si="5"/>
        <v>499540.73452985706</v>
      </c>
      <c r="H32" s="38">
        <f t="shared" si="6"/>
        <v>2464780.8000000003</v>
      </c>
      <c r="I32" s="38">
        <f t="shared" si="0"/>
        <v>464793.60000000003</v>
      </c>
      <c r="J32" s="38">
        <f t="shared" si="1"/>
        <v>50342.399999999994</v>
      </c>
      <c r="K32" s="38">
        <f t="shared" si="7"/>
        <v>2979916.8000000003</v>
      </c>
      <c r="L32" s="25">
        <f t="shared" si="8"/>
        <v>479559.10514866281</v>
      </c>
      <c r="M32" s="20">
        <f t="shared" si="9"/>
        <v>19981.629381194245</v>
      </c>
    </row>
    <row r="33" spans="2:13" x14ac:dyDescent="0.3">
      <c r="B33" s="115">
        <v>2048</v>
      </c>
      <c r="C33" s="143">
        <f t="shared" si="2"/>
        <v>2567480</v>
      </c>
      <c r="D33" s="38">
        <f t="shared" si="3"/>
        <v>484160</v>
      </c>
      <c r="E33" s="38">
        <f t="shared" si="10"/>
        <v>52440</v>
      </c>
      <c r="F33" s="38">
        <f t="shared" si="4"/>
        <v>3104080</v>
      </c>
      <c r="G33" s="25">
        <f t="shared" si="5"/>
        <v>466860.49956061417</v>
      </c>
      <c r="H33" s="38">
        <f t="shared" si="6"/>
        <v>2464780.8000000003</v>
      </c>
      <c r="I33" s="38">
        <f t="shared" si="0"/>
        <v>464793.60000000003</v>
      </c>
      <c r="J33" s="38">
        <f t="shared" si="1"/>
        <v>50342.399999999994</v>
      </c>
      <c r="K33" s="38">
        <f t="shared" si="7"/>
        <v>2979916.8000000003</v>
      </c>
      <c r="L33" s="25">
        <f t="shared" si="8"/>
        <v>448186.07957818964</v>
      </c>
      <c r="M33" s="20">
        <f t="shared" si="9"/>
        <v>18674.41998242453</v>
      </c>
    </row>
    <row r="34" spans="2:13" x14ac:dyDescent="0.3">
      <c r="B34" s="115">
        <v>2049</v>
      </c>
      <c r="C34" s="143">
        <f t="shared" si="2"/>
        <v>2567480</v>
      </c>
      <c r="D34" s="38">
        <f t="shared" si="3"/>
        <v>484160</v>
      </c>
      <c r="E34" s="38">
        <f t="shared" si="10"/>
        <v>52440</v>
      </c>
      <c r="F34" s="38">
        <f t="shared" si="4"/>
        <v>3104080</v>
      </c>
      <c r="G34" s="25">
        <f t="shared" si="5"/>
        <v>436318.22388842446</v>
      </c>
      <c r="H34" s="38">
        <f t="shared" si="6"/>
        <v>2464780.8000000003</v>
      </c>
      <c r="I34" s="38">
        <f t="shared" si="0"/>
        <v>464793.60000000003</v>
      </c>
      <c r="J34" s="38">
        <f t="shared" si="1"/>
        <v>50342.399999999994</v>
      </c>
      <c r="K34" s="38">
        <f t="shared" si="7"/>
        <v>2979916.8000000003</v>
      </c>
      <c r="L34" s="25">
        <f t="shared" si="8"/>
        <v>418865.49493288749</v>
      </c>
      <c r="M34" s="20">
        <f t="shared" si="9"/>
        <v>17452.728955536964</v>
      </c>
    </row>
    <row r="35" spans="2:13" x14ac:dyDescent="0.3">
      <c r="B35" s="115">
        <v>2050</v>
      </c>
      <c r="C35" s="143">
        <f t="shared" si="2"/>
        <v>2567480</v>
      </c>
      <c r="D35" s="38">
        <f t="shared" si="3"/>
        <v>484160</v>
      </c>
      <c r="E35" s="38">
        <f t="shared" si="10"/>
        <v>52440</v>
      </c>
      <c r="F35" s="38">
        <f t="shared" si="4"/>
        <v>3104080</v>
      </c>
      <c r="G35" s="25">
        <f t="shared" si="5"/>
        <v>407774.04101721913</v>
      </c>
      <c r="H35" s="38">
        <f t="shared" si="6"/>
        <v>2464780.8000000003</v>
      </c>
      <c r="I35" s="38">
        <f t="shared" si="0"/>
        <v>464793.60000000003</v>
      </c>
      <c r="J35" s="38">
        <f t="shared" si="1"/>
        <v>50342.399999999994</v>
      </c>
      <c r="K35" s="38">
        <f t="shared" si="7"/>
        <v>2979916.8000000003</v>
      </c>
      <c r="L35" s="25">
        <f t="shared" si="8"/>
        <v>391463.07937653043</v>
      </c>
      <c r="M35" s="20">
        <f t="shared" si="9"/>
        <v>16310.961640688707</v>
      </c>
    </row>
    <row r="36" spans="2:13" x14ac:dyDescent="0.3">
      <c r="B36" s="115">
        <v>2051</v>
      </c>
      <c r="C36" s="143">
        <f t="shared" si="2"/>
        <v>2567480</v>
      </c>
      <c r="D36" s="38">
        <f t="shared" si="3"/>
        <v>484160</v>
      </c>
      <c r="E36" s="38">
        <f t="shared" si="10"/>
        <v>52440</v>
      </c>
      <c r="F36" s="38">
        <f t="shared" si="4"/>
        <v>3104080</v>
      </c>
      <c r="G36" s="25">
        <f t="shared" si="5"/>
        <v>381097.23459553183</v>
      </c>
      <c r="H36" s="38">
        <f t="shared" si="6"/>
        <v>2464780.8000000003</v>
      </c>
      <c r="I36" s="38">
        <f t="shared" si="0"/>
        <v>464793.60000000003</v>
      </c>
      <c r="J36" s="38">
        <f t="shared" si="1"/>
        <v>50342.399999999994</v>
      </c>
      <c r="K36" s="38">
        <f t="shared" si="7"/>
        <v>2979916.8000000003</v>
      </c>
      <c r="L36" s="25">
        <f t="shared" si="8"/>
        <v>365853.34521171061</v>
      </c>
      <c r="M36" s="20">
        <f t="shared" si="9"/>
        <v>15243.889383821224</v>
      </c>
    </row>
    <row r="37" spans="2:13" x14ac:dyDescent="0.3">
      <c r="B37" s="115">
        <v>2052</v>
      </c>
      <c r="C37" s="143">
        <f t="shared" si="2"/>
        <v>2567480</v>
      </c>
      <c r="D37" s="38">
        <f t="shared" si="3"/>
        <v>484160</v>
      </c>
      <c r="E37" s="38">
        <f t="shared" si="10"/>
        <v>52440</v>
      </c>
      <c r="F37" s="38">
        <f t="shared" si="4"/>
        <v>3104080</v>
      </c>
      <c r="G37" s="25">
        <f t="shared" si="5"/>
        <v>356165.63980890828</v>
      </c>
      <c r="H37" s="38">
        <f t="shared" si="6"/>
        <v>2464780.8000000003</v>
      </c>
      <c r="I37" s="38">
        <f t="shared" si="0"/>
        <v>464793.60000000003</v>
      </c>
      <c r="J37" s="38">
        <f t="shared" si="1"/>
        <v>50342.399999999994</v>
      </c>
      <c r="K37" s="38">
        <f t="shared" si="7"/>
        <v>2979916.8000000003</v>
      </c>
      <c r="L37" s="25">
        <f t="shared" si="8"/>
        <v>341919.01421655196</v>
      </c>
      <c r="M37" s="20">
        <f t="shared" si="9"/>
        <v>14246.625592356315</v>
      </c>
    </row>
    <row r="38" spans="2:13" x14ac:dyDescent="0.3">
      <c r="B38" s="115">
        <v>2053</v>
      </c>
      <c r="C38" s="143">
        <f t="shared" si="2"/>
        <v>2567480</v>
      </c>
      <c r="D38" s="38">
        <f t="shared" si="3"/>
        <v>484160</v>
      </c>
      <c r="E38" s="38">
        <f t="shared" si="10"/>
        <v>52440</v>
      </c>
      <c r="F38" s="38">
        <f t="shared" si="4"/>
        <v>3104080</v>
      </c>
      <c r="G38" s="25">
        <f t="shared" si="5"/>
        <v>332865.08393355913</v>
      </c>
      <c r="H38" s="38">
        <f t="shared" si="6"/>
        <v>2464780.8000000003</v>
      </c>
      <c r="I38" s="38">
        <f t="shared" si="0"/>
        <v>464793.60000000003</v>
      </c>
      <c r="J38" s="38">
        <f t="shared" si="1"/>
        <v>50342.399999999994</v>
      </c>
      <c r="K38" s="38">
        <f t="shared" si="7"/>
        <v>2979916.8000000003</v>
      </c>
      <c r="L38" s="25">
        <f t="shared" si="8"/>
        <v>319550.48057621683</v>
      </c>
      <c r="M38" s="20">
        <f t="shared" si="9"/>
        <v>13314.603357342305</v>
      </c>
    </row>
    <row r="39" spans="2:13" x14ac:dyDescent="0.3">
      <c r="B39" s="138">
        <v>2054</v>
      </c>
      <c r="C39" s="144">
        <f t="shared" si="2"/>
        <v>2567480</v>
      </c>
      <c r="D39" s="135">
        <f t="shared" si="3"/>
        <v>484160</v>
      </c>
      <c r="E39" s="135">
        <f t="shared" si="10"/>
        <v>52440</v>
      </c>
      <c r="F39" s="135">
        <f t="shared" si="4"/>
        <v>3104080</v>
      </c>
      <c r="G39" s="136">
        <f t="shared" si="5"/>
        <v>311088.86348930764</v>
      </c>
      <c r="H39" s="135">
        <f t="shared" si="6"/>
        <v>2464780.8000000003</v>
      </c>
      <c r="I39" s="135">
        <f t="shared" si="0"/>
        <v>464793.60000000003</v>
      </c>
      <c r="J39" s="135">
        <f t="shared" si="1"/>
        <v>50342.399999999994</v>
      </c>
      <c r="K39" s="135">
        <f t="shared" si="7"/>
        <v>2979916.8000000003</v>
      </c>
      <c r="L39" s="136">
        <f t="shared" si="8"/>
        <v>298645.30894973536</v>
      </c>
      <c r="M39" s="20">
        <f t="shared" si="9"/>
        <v>12443.554539572273</v>
      </c>
    </row>
    <row r="40" spans="2:13" x14ac:dyDescent="0.3">
      <c r="B40" s="115">
        <v>2055</v>
      </c>
      <c r="C40" s="143">
        <f t="shared" si="2"/>
        <v>2567480</v>
      </c>
      <c r="D40" s="38">
        <f t="shared" si="3"/>
        <v>484160</v>
      </c>
      <c r="E40" s="38">
        <f t="shared" si="10"/>
        <v>52440</v>
      </c>
      <c r="F40" s="38">
        <f t="shared" ref="F40:F41" si="11">C40+D40+E40</f>
        <v>3104080</v>
      </c>
      <c r="G40" s="25">
        <f t="shared" ref="G40:G41" si="12">F40/1.07^(B40-2020)</f>
        <v>290737.25559748372</v>
      </c>
      <c r="H40" s="38">
        <f t="shared" si="6"/>
        <v>2464780.8000000003</v>
      </c>
      <c r="I40" s="38">
        <f t="shared" si="0"/>
        <v>464793.60000000003</v>
      </c>
      <c r="J40" s="38">
        <f t="shared" si="1"/>
        <v>50342.399999999994</v>
      </c>
      <c r="K40" s="38">
        <f t="shared" ref="K40:K41" si="13">H40+I40+J40</f>
        <v>2979916.8000000003</v>
      </c>
      <c r="L40" s="25">
        <f t="shared" ref="L40:L41" si="14">K40/1.07^(B40-2020)</f>
        <v>279107.76537358441</v>
      </c>
      <c r="M40" s="20">
        <f t="shared" si="9"/>
        <v>11629.490223899309</v>
      </c>
    </row>
    <row r="41" spans="2:13" ht="17.25" thickBot="1" x14ac:dyDescent="0.35">
      <c r="B41" s="138">
        <v>2056</v>
      </c>
      <c r="C41" s="144">
        <f t="shared" si="2"/>
        <v>2567480</v>
      </c>
      <c r="D41" s="135">
        <f t="shared" si="3"/>
        <v>484160</v>
      </c>
      <c r="E41" s="135">
        <f t="shared" si="10"/>
        <v>52440</v>
      </c>
      <c r="F41" s="135">
        <f t="shared" si="11"/>
        <v>3104080</v>
      </c>
      <c r="G41" s="136">
        <f t="shared" si="12"/>
        <v>271717.06130605959</v>
      </c>
      <c r="H41" s="135">
        <f t="shared" si="6"/>
        <v>2464780.8000000003</v>
      </c>
      <c r="I41" s="135">
        <f t="shared" si="0"/>
        <v>464793.60000000003</v>
      </c>
      <c r="J41" s="135">
        <f t="shared" si="1"/>
        <v>50342.399999999994</v>
      </c>
      <c r="K41" s="135">
        <f t="shared" si="13"/>
        <v>2979916.8000000003</v>
      </c>
      <c r="L41" s="136">
        <f t="shared" si="14"/>
        <v>260848.37885381721</v>
      </c>
      <c r="M41" s="215">
        <f t="shared" si="9"/>
        <v>10868.682452242385</v>
      </c>
    </row>
    <row r="42" spans="2:13" ht="17.25" thickBot="1" x14ac:dyDescent="0.35">
      <c r="B42" s="608" t="s">
        <v>119</v>
      </c>
      <c r="C42" s="609"/>
      <c r="D42" s="609"/>
      <c r="E42" s="609"/>
      <c r="F42" s="609"/>
      <c r="G42" s="609"/>
      <c r="H42" s="609"/>
      <c r="I42" s="609"/>
      <c r="J42" s="609"/>
      <c r="K42" s="609"/>
      <c r="L42" s="610"/>
      <c r="M42" s="347">
        <f>SUM(M4:M41)</f>
        <v>1026664.2907418846</v>
      </c>
    </row>
    <row r="43" spans="2:13" ht="17.25" thickBot="1" x14ac:dyDescent="0.35">
      <c r="B43" s="448" t="s">
        <v>120</v>
      </c>
      <c r="C43" s="449"/>
      <c r="D43" s="449"/>
      <c r="E43" s="449"/>
      <c r="F43" s="449"/>
      <c r="G43" s="449"/>
      <c r="H43" s="449"/>
      <c r="I43" s="449"/>
      <c r="J43" s="449"/>
      <c r="K43" s="449"/>
      <c r="L43" s="449"/>
      <c r="M43" s="512"/>
    </row>
    <row r="44" spans="2:13" ht="16.5" customHeight="1" thickBot="1" x14ac:dyDescent="0.35">
      <c r="B44" s="442" t="s">
        <v>198</v>
      </c>
      <c r="C44" s="443"/>
      <c r="D44" s="443"/>
      <c r="E44" s="443"/>
      <c r="F44" s="443"/>
      <c r="G44" s="443"/>
      <c r="H44" s="443"/>
      <c r="I44" s="443"/>
      <c r="J44" s="443"/>
      <c r="K44" s="443"/>
      <c r="L44" s="443"/>
      <c r="M44" s="444"/>
    </row>
    <row r="45" spans="2:13" ht="16.5" customHeight="1" x14ac:dyDescent="0.3"/>
    <row r="46" spans="2:13" ht="16.5" customHeight="1" x14ac:dyDescent="0.3"/>
    <row r="55" spans="7:17" x14ac:dyDescent="0.3">
      <c r="G55" s="7"/>
      <c r="H55" s="7"/>
      <c r="I55" s="7"/>
      <c r="J55" s="7"/>
      <c r="K55" s="7"/>
      <c r="L55" s="7"/>
      <c r="M55" s="7"/>
      <c r="N55" s="7"/>
      <c r="O55" s="7"/>
      <c r="P55" s="7"/>
      <c r="Q55" s="7"/>
    </row>
  </sheetData>
  <mergeCells count="28">
    <mergeCell ref="B43:M43"/>
    <mergeCell ref="B44:M44"/>
    <mergeCell ref="S8:Z8"/>
    <mergeCell ref="S9:Z9"/>
    <mergeCell ref="B42:L42"/>
    <mergeCell ref="C4:G11"/>
    <mergeCell ref="H4:L11"/>
    <mergeCell ref="O11:R11"/>
    <mergeCell ref="O12:P12"/>
    <mergeCell ref="O13:P13"/>
    <mergeCell ref="O14:P14"/>
    <mergeCell ref="O15:P15"/>
    <mergeCell ref="B2:B3"/>
    <mergeCell ref="C2:G2"/>
    <mergeCell ref="H2:L2"/>
    <mergeCell ref="O9:P9"/>
    <mergeCell ref="Q9:R9"/>
    <mergeCell ref="O8:P8"/>
    <mergeCell ref="Q7:R7"/>
    <mergeCell ref="Q8:R8"/>
    <mergeCell ref="O4:Z4"/>
    <mergeCell ref="Q5:R5"/>
    <mergeCell ref="Q6:R6"/>
    <mergeCell ref="S5:Z5"/>
    <mergeCell ref="S6:Z7"/>
    <mergeCell ref="O5:P5"/>
    <mergeCell ref="O6:P6"/>
    <mergeCell ref="O7:P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732FAF92C6BD43913D1B8554C5CA89" ma:contentTypeVersion="25" ma:contentTypeDescription="Create a new document." ma:contentTypeScope="" ma:versionID="7c95efbaf37e2b1f0ec6429013731747">
  <xsd:schema xmlns:xsd="http://www.w3.org/2001/XMLSchema" xmlns:xs="http://www.w3.org/2001/XMLSchema" xmlns:p="http://schemas.microsoft.com/office/2006/metadata/properties" xmlns:ns1="http://schemas.microsoft.com/sharepoint/v3" xmlns:ns2="f40aa4e5-11f0-47b3-bb66-a9479c39c64d" xmlns:ns3="44259822-5f70-4047-b4aa-84c0187a967b" targetNamespace="http://schemas.microsoft.com/office/2006/metadata/properties" ma:root="true" ma:fieldsID="94f16073e4120a35d4a4142f703d1fbc" ns1:_="" ns2:_="" ns3:_="">
    <xsd:import namespace="http://schemas.microsoft.com/sharepoint/v3"/>
    <xsd:import namespace="f40aa4e5-11f0-47b3-bb66-a9479c39c64d"/>
    <xsd:import namespace="44259822-5f70-4047-b4aa-84c0187a96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Processed"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aa4e5-11f0-47b3-bb66-a9479c39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Processed" ma:index="22" nillable="true" ma:displayName="Processed" ma:default="0" ma:internalName="Processed">
      <xsd:simpleType>
        <xsd:restriction base="dms:Boolea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259822-5f70-4047-b4aa-84c0187a96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edb4c5c-10fb-4199-a75f-758e74f6f530}" ma:internalName="TaxCatchAll" ma:showField="CatchAllData" ma:web="44259822-5f70-4047-b4aa-84c0187a9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8240D5-5F71-4825-852E-5777EB6CDF47}"/>
</file>

<file path=customXml/itemProps2.xml><?xml version="1.0" encoding="utf-8"?>
<ds:datastoreItem xmlns:ds="http://schemas.openxmlformats.org/officeDocument/2006/customXml" ds:itemID="{E32DAB49-DD2D-48E2-8CAC-D7F777BA1A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vt:lpstr>
      <vt:lpstr>Traffic Assumptions</vt:lpstr>
      <vt:lpstr>Safety Assumptions</vt:lpstr>
      <vt:lpstr>Bike &amp; Ped Use Assumptions</vt:lpstr>
      <vt:lpstr>Emergency Response Assumptions</vt:lpstr>
      <vt:lpstr>Travel Time Savings</vt:lpstr>
      <vt:lpstr>Vehicle Operating Cost Savings</vt:lpstr>
      <vt:lpstr>Emissions Savings</vt:lpstr>
      <vt:lpstr>Safety Benefits</vt:lpstr>
      <vt:lpstr>Ped Impvt Benefits</vt:lpstr>
      <vt:lpstr>Cycling Impvt Benefits</vt:lpstr>
      <vt:lpstr>Health Benefits</vt:lpstr>
      <vt:lpstr>Emergency Services Benefits</vt:lpstr>
      <vt:lpstr>O&amp;M</vt:lpstr>
      <vt:lpstr>Residual Value</vt:lpstr>
      <vt:lpstr>Capital Costs</vt:lpstr>
      <vt:lpstr>BCA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Brewer</dc:creator>
  <cp:keywords/>
  <dc:description/>
  <cp:lastModifiedBy>Andy Brewer</cp:lastModifiedBy>
  <cp:revision/>
  <dcterms:created xsi:type="dcterms:W3CDTF">2015-06-05T18:17:20Z</dcterms:created>
  <dcterms:modified xsi:type="dcterms:W3CDTF">2022-09-07T00:03:17Z</dcterms:modified>
  <cp:category/>
  <cp:contentStatus/>
</cp:coreProperties>
</file>