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cow00\jobs1\75808\TaskOrder7\Planning\Documents\2022_MPDG_Grants\US-412\BCA\"/>
    </mc:Choice>
  </mc:AlternateContent>
  <xr:revisionPtr revIDLastSave="0" documentId="13_ncr:1_{08E50F66-2F99-4327-B845-6A8014963F27}" xr6:coauthVersionLast="47" xr6:coauthVersionMax="47" xr10:uidLastSave="{00000000-0000-0000-0000-000000000000}"/>
  <bookViews>
    <workbookView xWindow="-28920" yWindow="1785" windowWidth="29040" windowHeight="15840" xr2:uid="{F666AE40-716F-49C2-8888-FBA016C3CD92}"/>
  </bookViews>
  <sheets>
    <sheet name="Summary" sheetId="12" r:id="rId1"/>
    <sheet name="Summary Table" sheetId="41" r:id="rId2"/>
    <sheet name="NPV" sheetId="5" r:id="rId3"/>
    <sheet name="Costs" sheetId="27" r:id="rId4"/>
    <sheet name="Maintenance" sheetId="49" r:id="rId5"/>
    <sheet name="Safety" sheetId="21" r:id="rId6"/>
    <sheet name="Travel Time" sheetId="51" r:id="rId7"/>
    <sheet name="Environmental Protection" sheetId="47" r:id="rId8"/>
  </sheets>
  <externalReferences>
    <externalReference r:id="rId9"/>
    <externalReference r:id="rId10"/>
    <externalReference r:id="rId11"/>
  </externalReferences>
  <definedNames>
    <definedName name="Annual_Traffic_Growth_Rate">'[1]START Assumptions'!$B$39</definedName>
    <definedName name="Auto_Occ" localSheetId="4">'[1]START Assumptions'!#REF!</definedName>
    <definedName name="Auto_Occ" localSheetId="6">'[1]START Assumptions'!#REF!</definedName>
    <definedName name="Auto_Occ">'[1]START Assumptions'!#REF!</definedName>
    <definedName name="Auto_Op_Cost">'[1]START Assumptions'!$B$37</definedName>
    <definedName name="Ave_Fatal_Cost" localSheetId="4">'[1]START Assumptions'!#REF!</definedName>
    <definedName name="Ave_Fatal_Cost" localSheetId="6">'[1]START Assumptions'!#REF!</definedName>
    <definedName name="Ave_Fatal_Cost">'[1]START Assumptions'!#REF!</definedName>
    <definedName name="Ave_PD_Cost" localSheetId="4">'[1]START Assumptions'!#REF!</definedName>
    <definedName name="Ave_PD_Cost" localSheetId="6">'[1]START Assumptions'!#REF!</definedName>
    <definedName name="Ave_PD_Cost">'[1]START Assumptions'!#REF!</definedName>
    <definedName name="Ave_Type_A_Cost" localSheetId="4">'[1]START Assumptions'!#REF!</definedName>
    <definedName name="Ave_Type_A_Cost">'[1]START Assumptions'!#REF!</definedName>
    <definedName name="Ave_Type_B_Cost" localSheetId="4">'[1]START Assumptions'!#REF!</definedName>
    <definedName name="Ave_Type_B_Cost">'[1]START Assumptions'!#REF!</definedName>
    <definedName name="Ave_Type_C_Cost" localSheetId="4">'[1]START Assumptions'!#REF!</definedName>
    <definedName name="Ave_Type_C_Cost">'[1]START Assumptions'!#REF!</definedName>
    <definedName name="Ave_Type_Fatal_Cost" localSheetId="4">'[1]START Assumptions'!#REF!</definedName>
    <definedName name="Ave_Type_Fatal_Cost">'[1]START Assumptions'!#REF!</definedName>
    <definedName name="Ave_Type_PD_Cost" localSheetId="4">'[1]START Assumptions'!#REF!</definedName>
    <definedName name="Ave_Type_PD_Cost">'[1]START Assumptions'!#REF!</definedName>
    <definedName name="Avg_Crash_Cost" localSheetId="4">'[1]START Assumptions'!#REF!</definedName>
    <definedName name="Avg_Crash_Cost">'[1]START Assumptions'!#REF!</definedName>
    <definedName name="Base_Year">'[1]START Assumptions'!$B$31</definedName>
    <definedName name="Base_Year_Traffic" localSheetId="4">'[1]START Assumptions'!#REF!</definedName>
    <definedName name="Base_Year_Traffic" localSheetId="6">'[1]START Assumptions'!#REF!</definedName>
    <definedName name="Base_Year_Traffic">'[1]START Assumptions'!#REF!</definedName>
    <definedName name="Benefit_Period">'[1]START Assumptions'!$B$33</definedName>
    <definedName name="CIP" localSheetId="7">#REF!</definedName>
    <definedName name="CIP" localSheetId="4">#REF!</definedName>
    <definedName name="CIP" localSheetId="1">#REF!</definedName>
    <definedName name="CIP" localSheetId="6">#REF!</definedName>
    <definedName name="CIP">#REF!</definedName>
    <definedName name="Const_Comp_Year">'[1]START Assumptions'!$B$32</definedName>
    <definedName name="Crash_Rate_AC" localSheetId="4">'[1]START Assumptions'!#REF!</definedName>
    <definedName name="Crash_Rate_AC" localSheetId="6">'[1]START Assumptions'!#REF!</definedName>
    <definedName name="Crash_Rate_AC">'[1]START Assumptions'!#REF!</definedName>
    <definedName name="Crash_Rate_BC" localSheetId="4">'[1]START Assumptions'!#REF!</definedName>
    <definedName name="Crash_Rate_BC" localSheetId="6">'[1]START Assumptions'!#REF!</definedName>
    <definedName name="Crash_Rate_BC">'[1]START Assumptions'!#REF!</definedName>
    <definedName name="dblStack">'[2]Tunnel Capacity'!$C$6</definedName>
    <definedName name="Discount_Rate">'[1]START Assumptions'!$B$35</definedName>
    <definedName name="domstackRate">'[2]Tunnel Capacity'!$C$4</definedName>
    <definedName name="Fatal_Crash_Cost" localSheetId="4">'[1]START Assumptions'!#REF!</definedName>
    <definedName name="Fatal_Crash_Cost" localSheetId="6">'[1]START Assumptions'!#REF!</definedName>
    <definedName name="Fatal_Crash_Cost">'[1]START Assumptions'!#REF!</definedName>
    <definedName name="Fatal_Crash_Rate_AC" localSheetId="4">'[1]START Assumptions'!#REF!</definedName>
    <definedName name="Fatal_Crash_Rate_AC" localSheetId="6">'[1]START Assumptions'!#REF!</definedName>
    <definedName name="Fatal_Crash_Rate_AC">'[1]START Assumptions'!#REF!</definedName>
    <definedName name="Fatal_Crash_Rate_BC" localSheetId="4">'[1]START Assumptions'!#REF!</definedName>
    <definedName name="Fatal_Crash_Rate_BC">'[1]START Assumptions'!#REF!</definedName>
    <definedName name="HCV_Cost_Op" localSheetId="4">'[1]START Assumptions'!#REF!</definedName>
    <definedName name="HCV_Cost_Op">'[1]START Assumptions'!#REF!</definedName>
    <definedName name="HCV_Density_AC" localSheetId="4">'[1]START Assumptions'!#REF!</definedName>
    <definedName name="HCV_Density_AC">'[1]START Assumptions'!#REF!</definedName>
    <definedName name="HCV_Density_BC" localSheetId="4">'[1]START Assumptions'!#REF!</definedName>
    <definedName name="HCV_Density_BC">'[1]START Assumptions'!#REF!</definedName>
    <definedName name="HCV_Occ" localSheetId="4">'[1]START Assumptions'!#REF!</definedName>
    <definedName name="HCV_Occ">'[1]START Assumptions'!#REF!</definedName>
    <definedName name="HCV_Value_of_Time" localSheetId="4">'[1]START Assumptions'!#REF!</definedName>
    <definedName name="HCV_Value_of_Time">'[1]START Assumptions'!#REF!</definedName>
    <definedName name="Injury_Crash_Cost" localSheetId="4">'[1]START Assumptions'!#REF!</definedName>
    <definedName name="Injury_Crash_Cost">'[1]START Assumptions'!#REF!</definedName>
    <definedName name="Injury_Crash_Rate_AC" localSheetId="4">'[1]START Assumptions'!#REF!</definedName>
    <definedName name="Injury_Crash_Rate_AC">'[1]START Assumptions'!#REF!</definedName>
    <definedName name="Injury_Crash_Rate_BC" localSheetId="4">'[1]START Assumptions'!#REF!</definedName>
    <definedName name="Injury_Crash_Rate_BC">'[1]START Assumptions'!#REF!</definedName>
    <definedName name="intlstackRate">'[2]Tunnel Capacity'!$C$3</definedName>
    <definedName name="Length_AC" localSheetId="4">'[1]START Assumptions'!#REF!</definedName>
    <definedName name="Length_AC" localSheetId="6">'[1]START Assumptions'!#REF!</definedName>
    <definedName name="Length_AC">'[1]START Assumptions'!#REF!</definedName>
    <definedName name="Length_BC" localSheetId="4">'[1]START Assumptions'!#REF!</definedName>
    <definedName name="Length_BC" localSheetId="6">'[1]START Assumptions'!#REF!</definedName>
    <definedName name="Length_BC">'[1]START Assumptions'!#REF!</definedName>
    <definedName name="List">'[3]NEW ROAD'!$A$2:$A$19</definedName>
    <definedName name="maxLength">'[2]Tunnel Capacity'!$C$2</definedName>
    <definedName name="NEW">'[3]NEW ROAD'!$A$4:$A$5</definedName>
    <definedName name="NPV_Costs">'[1]START Costs'!$I$5</definedName>
    <definedName name="NPV_Distance" localSheetId="4">'[1]START Distance Benefit'!#REF!</definedName>
    <definedName name="NPV_Distance" localSheetId="6">'[1]START Distance Benefit'!#REF!</definedName>
    <definedName name="NPV_Distance">'[1]START Distance Benefit'!#REF!</definedName>
    <definedName name="NPV_maint">'[1]START Costs'!$L$5</definedName>
    <definedName name="NPV_Safety" localSheetId="4">#REF!</definedName>
    <definedName name="NPV_Safety" localSheetId="6">#REF!</definedName>
    <definedName name="NPV_Safety">#REF!</definedName>
    <definedName name="NPV_Time" localSheetId="4">#REF!</definedName>
    <definedName name="NPV_Time">#REF!</definedName>
    <definedName name="PD_Crash_Cost" localSheetId="4">'[1]START Assumptions'!#REF!</definedName>
    <definedName name="PD_Crash_Cost" localSheetId="6">'[1]START Assumptions'!#REF!</definedName>
    <definedName name="PD_Crash_Cost">'[1]START Assumptions'!#REF!</definedName>
    <definedName name="PD_Crash_Rate_AC" localSheetId="4">'[1]START Assumptions'!#REF!</definedName>
    <definedName name="PD_Crash_Rate_AC" localSheetId="6">'[1]START Assumptions'!#REF!</definedName>
    <definedName name="PD_Crash_Rate_AC">'[1]START Assumptions'!#REF!</definedName>
    <definedName name="PD_Crash_Rate_BC" localSheetId="4">'[1]START Assumptions'!#REF!</definedName>
    <definedName name="PD_Crash_Rate_BC">'[1]START Assumptions'!#REF!</definedName>
    <definedName name="_xlnm.Print_Area" localSheetId="3">Costs!$A$2:$I$42</definedName>
    <definedName name="_xlnm.Print_Area" localSheetId="7">'Environmental Protection'!$A$6:$P$66</definedName>
    <definedName name="_xlnm.Print_Area" localSheetId="4">Maintenance!$A$5:$H$30</definedName>
    <definedName name="_xlnm.Print_Area" localSheetId="2">NPV!$A$1:$C$43</definedName>
    <definedName name="_xlnm.Print_Area" localSheetId="5">Safety!$A$1:$U$128,Safety!#REF!</definedName>
    <definedName name="_xlnm.Print_Area" localSheetId="0">Summary!$B$2:$H$3</definedName>
    <definedName name="_xlnm.Print_Area" localSheetId="1">'Summary Table'!$A$1:$H$42</definedName>
    <definedName name="_xlnm.Print_Area" localSheetId="6">'Travel Time'!$A$64:$P$92,'Travel Time'!$A$132:$M$137</definedName>
    <definedName name="printa" localSheetId="7">#REF!</definedName>
    <definedName name="printa" localSheetId="4">#REF!</definedName>
    <definedName name="printa" localSheetId="1">#REF!</definedName>
    <definedName name="printa" localSheetId="6">#REF!</definedName>
    <definedName name="printa">#REF!</definedName>
    <definedName name="Prop_Dam_Crash_Cost" localSheetId="4">'[1]START Assumptions'!#REF!</definedName>
    <definedName name="Prop_Dam_Crash_Cost" localSheetId="6">'[1]START Assumptions'!#REF!</definedName>
    <definedName name="Prop_Dam_Crash_Cost">'[1]START Assumptions'!#REF!</definedName>
    <definedName name="singleStack">'[2]Tunnel Capacity'!$C$5</definedName>
    <definedName name="Speed_AC" localSheetId="4">'[1]START Assumptions'!#REF!</definedName>
    <definedName name="Speed_AC" localSheetId="6">'[1]START Assumptions'!#REF!</definedName>
    <definedName name="Speed_AC">'[1]START Assumptions'!#REF!</definedName>
    <definedName name="Speed_BC" localSheetId="4">'[1]START Assumptions'!#REF!</definedName>
    <definedName name="Speed_BC" localSheetId="6">'[1]START Assumptions'!#REF!</definedName>
    <definedName name="Speed_BC">'[1]START Assumptions'!#REF!</definedName>
    <definedName name="Type_A_Crash_Rate_AC" localSheetId="4">'[1]START Assumptions'!#REF!</definedName>
    <definedName name="Type_A_Crash_Rate_AC">'[1]START Assumptions'!#REF!</definedName>
    <definedName name="Type_A_Crash_Rate_BC" localSheetId="4">'[1]START Assumptions'!#REF!</definedName>
    <definedName name="Type_A_Crash_Rate_BC">'[1]START Assumptions'!#REF!</definedName>
    <definedName name="Type_B_Crash_Rate_AC" localSheetId="4">'[1]START Assumptions'!#REF!</definedName>
    <definedName name="Type_B_Crash_Rate_AC">'[1]START Assumptions'!#REF!</definedName>
    <definedName name="Type_B_Crash_Rate_BC" localSheetId="4">'[1]START Assumptions'!#REF!</definedName>
    <definedName name="Type_B_Crash_Rate_BC">'[1]START Assumptions'!#REF!</definedName>
    <definedName name="Type_C_Crash_Rate_AC" localSheetId="4">'[1]START Assumptions'!#REF!</definedName>
    <definedName name="Type_C_Crash_Rate_AC">'[1]START Assumptions'!#REF!</definedName>
    <definedName name="Type_C_Crash_Rate_BC" localSheetId="4">'[1]START Assumptions'!#REF!</definedName>
    <definedName name="Type_C_Crash_Rate_BC">'[1]START Assumptions'!#REF!</definedName>
    <definedName name="Type_Fatal_Crash_Rate_AC" localSheetId="4">'[1]START Assumptions'!#REF!</definedName>
    <definedName name="Type_Fatal_Crash_Rate_AC">'[1]START Assumptions'!#REF!</definedName>
    <definedName name="Type_Fatal_Crash_Rate_BC" localSheetId="4">'[1]START Assumptions'!#REF!</definedName>
    <definedName name="Type_Fatal_Crash_Rate_BC">'[1]START Assumptions'!#REF!</definedName>
    <definedName name="Type_PD_Crash_Rate_AC" localSheetId="4">'[1]START Assumptions'!#REF!</definedName>
    <definedName name="Type_PD_Crash_Rate_AC">'[1]START Assumptions'!#REF!</definedName>
    <definedName name="Type_PD_Crash_Rate_BC" localSheetId="4">'[1]START Assumptions'!#REF!</definedName>
    <definedName name="Type_PD_Crash_Rate_BC">'[1]START Assumptions'!#REF!</definedName>
    <definedName name="Version2" localSheetId="7">#REF!</definedName>
    <definedName name="Version2" localSheetId="4">#REF!</definedName>
    <definedName name="Version2" localSheetId="1">#REF!</definedName>
    <definedName name="Version2" localSheetId="6">#REF!</definedName>
    <definedName name="Version2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2" l="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D10" i="21"/>
  <c r="C4" i="27"/>
  <c r="F87" i="21"/>
  <c r="C125" i="21"/>
  <c r="D125" i="21"/>
  <c r="B125" i="21"/>
  <c r="B104" i="21"/>
  <c r="C8" i="49"/>
  <c r="B8" i="49"/>
  <c r="C3" i="27"/>
  <c r="B103" i="21"/>
  <c r="B102" i="21"/>
  <c r="B116" i="51"/>
  <c r="B117" i="51" s="1"/>
  <c r="E107" i="51" s="1"/>
  <c r="E106" i="51" s="1"/>
  <c r="B102" i="51"/>
  <c r="B103" i="51" s="1"/>
  <c r="B110" i="51"/>
  <c r="B111" i="51" s="1"/>
  <c r="B125" i="51"/>
  <c r="E102" i="51"/>
  <c r="D102" i="51"/>
  <c r="C102" i="51"/>
  <c r="C103" i="51" s="1"/>
  <c r="E110" i="51"/>
  <c r="E111" i="51" s="1"/>
  <c r="B13" i="49"/>
  <c r="C13" i="49"/>
  <c r="B14" i="49"/>
  <c r="C14" i="49"/>
  <c r="D14" i="49" s="1"/>
  <c r="I27" i="41" s="1"/>
  <c r="B15" i="49"/>
  <c r="C15" i="49"/>
  <c r="D15" i="49" s="1"/>
  <c r="I28" i="41" s="1"/>
  <c r="B16" i="49"/>
  <c r="C16" i="49"/>
  <c r="D16" i="49" s="1"/>
  <c r="I29" i="41" s="1"/>
  <c r="B17" i="49"/>
  <c r="C17" i="49"/>
  <c r="D17" i="49" s="1"/>
  <c r="I30" i="41" s="1"/>
  <c r="B18" i="49"/>
  <c r="C18" i="49"/>
  <c r="B19" i="49"/>
  <c r="C19" i="49"/>
  <c r="B20" i="49"/>
  <c r="C20" i="49"/>
  <c r="B21" i="49"/>
  <c r="C21" i="49"/>
  <c r="B22" i="49"/>
  <c r="C22" i="49"/>
  <c r="D22" i="49" s="1"/>
  <c r="I35" i="41" s="1"/>
  <c r="B23" i="49"/>
  <c r="C23" i="49"/>
  <c r="D23" i="49" s="1"/>
  <c r="I36" i="41" s="1"/>
  <c r="B24" i="49"/>
  <c r="C24" i="49"/>
  <c r="B25" i="49"/>
  <c r="C25" i="49"/>
  <c r="D25" i="49" s="1"/>
  <c r="I38" i="41" s="1"/>
  <c r="B26" i="49"/>
  <c r="C26" i="49"/>
  <c r="D26" i="49" s="1"/>
  <c r="I39" i="41" s="1"/>
  <c r="B27" i="49"/>
  <c r="C27" i="49"/>
  <c r="D27" i="49" s="1"/>
  <c r="I40" i="41" s="1"/>
  <c r="C9" i="49"/>
  <c r="C10" i="49"/>
  <c r="C11" i="49"/>
  <c r="C12" i="49"/>
  <c r="D24" i="49"/>
  <c r="I37" i="41" s="1"/>
  <c r="B9" i="49"/>
  <c r="B10" i="49"/>
  <c r="B11" i="49"/>
  <c r="B12" i="49"/>
  <c r="E55" i="49"/>
  <c r="D36" i="49"/>
  <c r="D37" i="49" s="1"/>
  <c r="D38" i="49" s="1"/>
  <c r="D39" i="49" s="1"/>
  <c r="D40" i="49" s="1"/>
  <c r="D41" i="49" s="1"/>
  <c r="D42" i="49" s="1"/>
  <c r="D43" i="49" s="1"/>
  <c r="D44" i="49" s="1"/>
  <c r="D45" i="49" s="1"/>
  <c r="D46" i="49" s="1"/>
  <c r="D47" i="49" s="1"/>
  <c r="D48" i="49" s="1"/>
  <c r="D49" i="49" s="1"/>
  <c r="D50" i="49" s="1"/>
  <c r="D51" i="49" s="1"/>
  <c r="D52" i="49" s="1"/>
  <c r="D53" i="49" s="1"/>
  <c r="D54" i="49" s="1"/>
  <c r="A36" i="49"/>
  <c r="A37" i="49" s="1"/>
  <c r="A38" i="49" s="1"/>
  <c r="A39" i="49" s="1"/>
  <c r="A40" i="49" s="1"/>
  <c r="A41" i="49" s="1"/>
  <c r="A42" i="49" s="1"/>
  <c r="A43" i="49" s="1"/>
  <c r="A44" i="49" s="1"/>
  <c r="A45" i="49" s="1"/>
  <c r="A46" i="49" s="1"/>
  <c r="A47" i="49" s="1"/>
  <c r="A48" i="49" s="1"/>
  <c r="A49" i="49" s="1"/>
  <c r="A50" i="49" s="1"/>
  <c r="A51" i="49" s="1"/>
  <c r="A52" i="49" s="1"/>
  <c r="A53" i="49" s="1"/>
  <c r="A54" i="49" s="1"/>
  <c r="B55" i="49"/>
  <c r="D8" i="49" l="1"/>
  <c r="E8" i="49" s="1"/>
  <c r="F12" i="27"/>
  <c r="D19" i="49"/>
  <c r="I32" i="41" s="1"/>
  <c r="D12" i="49"/>
  <c r="I25" i="41" s="1"/>
  <c r="D11" i="49"/>
  <c r="I24" i="41" s="1"/>
  <c r="D10" i="49"/>
  <c r="I23" i="41" s="1"/>
  <c r="D21" i="49"/>
  <c r="I34" i="41" s="1"/>
  <c r="D18" i="49"/>
  <c r="I31" i="41" s="1"/>
  <c r="D9" i="49"/>
  <c r="I22" i="41" s="1"/>
  <c r="D20" i="49"/>
  <c r="I33" i="41" s="1"/>
  <c r="D13" i="49"/>
  <c r="I26" i="41" s="1"/>
  <c r="B28" i="49"/>
  <c r="I21" i="41" l="1"/>
  <c r="I41" i="41" s="1"/>
  <c r="H66" i="21" l="1"/>
  <c r="U12" i="41" l="1"/>
  <c r="U13" i="41"/>
  <c r="U16" i="41"/>
  <c r="U17" i="41"/>
  <c r="U18" i="41"/>
  <c r="D4" i="5" l="1"/>
  <c r="D3" i="5" l="1"/>
  <c r="U14" i="41" l="1"/>
  <c r="U15" i="41"/>
  <c r="D76" i="21" l="1"/>
  <c r="D75" i="21"/>
  <c r="C76" i="21"/>
  <c r="C75" i="21"/>
  <c r="A40" i="51"/>
  <c r="A42" i="51" s="1"/>
  <c r="A43" i="51" s="1"/>
  <c r="A12" i="51"/>
  <c r="M38" i="21" l="1"/>
  <c r="H74" i="21"/>
  <c r="H72" i="21"/>
  <c r="H70" i="21"/>
  <c r="H68" i="21"/>
  <c r="H65" i="21"/>
  <c r="G76" i="21"/>
  <c r="F76" i="21"/>
  <c r="E76" i="21"/>
  <c r="H76" i="21" l="1"/>
  <c r="A14" i="51"/>
  <c r="I76" i="21" l="1"/>
  <c r="I66" i="21"/>
  <c r="I70" i="21"/>
  <c r="I72" i="21"/>
  <c r="I68" i="21"/>
  <c r="I74" i="21"/>
  <c r="A15" i="51"/>
  <c r="A16" i="51" l="1"/>
  <c r="A17" i="51" l="1"/>
  <c r="C12" i="41"/>
  <c r="A18" i="51" l="1"/>
  <c r="A19" i="51" l="1"/>
  <c r="G33" i="27" l="1"/>
  <c r="F34" i="27"/>
  <c r="F10" i="27"/>
  <c r="F9" i="27"/>
  <c r="F8" i="27"/>
  <c r="F13" i="27"/>
  <c r="F11" i="27"/>
  <c r="F7" i="27"/>
  <c r="A20" i="51"/>
  <c r="D3" i="12"/>
  <c r="U40" i="41" l="1"/>
  <c r="A21" i="51"/>
  <c r="D43" i="5"/>
  <c r="A22" i="51" l="1"/>
  <c r="A23" i="51" l="1"/>
  <c r="C125" i="51"/>
  <c r="A24" i="51" l="1"/>
  <c r="A25" i="51" l="1"/>
  <c r="A26" i="51" l="1"/>
  <c r="D110" i="51"/>
  <c r="D111" i="51" s="1"/>
  <c r="D107" i="51"/>
  <c r="D106" i="51" s="1"/>
  <c r="C110" i="51"/>
  <c r="C111" i="51" s="1"/>
  <c r="F106" i="51" s="1"/>
  <c r="C107" i="51"/>
  <c r="C106" i="51" s="1"/>
  <c r="B107" i="51"/>
  <c r="B106" i="51" s="1"/>
  <c r="E103" i="51"/>
  <c r="D103" i="51"/>
  <c r="E99" i="51"/>
  <c r="E98" i="51" s="1"/>
  <c r="D99" i="51"/>
  <c r="D98" i="51" s="1"/>
  <c r="C99" i="51"/>
  <c r="C98" i="51" s="1"/>
  <c r="B99" i="51"/>
  <c r="B98" i="51" s="1"/>
  <c r="A67" i="51"/>
  <c r="A68" i="51" s="1"/>
  <c r="A69" i="51" s="1"/>
  <c r="A70" i="51" s="1"/>
  <c r="A71" i="51" s="1"/>
  <c r="A72" i="51" s="1"/>
  <c r="A44" i="51"/>
  <c r="A45" i="51" s="1"/>
  <c r="A46" i="51" s="1"/>
  <c r="A47" i="51" s="1"/>
  <c r="A48" i="51" s="1"/>
  <c r="A49" i="51" s="1"/>
  <c r="A50" i="51" s="1"/>
  <c r="A51" i="51" s="1"/>
  <c r="A52" i="51" s="1"/>
  <c r="A53" i="51" s="1"/>
  <c r="A54" i="51" s="1"/>
  <c r="A55" i="51" s="1"/>
  <c r="A56" i="51" s="1"/>
  <c r="A57" i="51" s="1"/>
  <c r="A58" i="51" s="1"/>
  <c r="A59" i="51" s="1"/>
  <c r="A60" i="51" s="1"/>
  <c r="F98" i="51" l="1"/>
  <c r="B66" i="51" s="1"/>
  <c r="B117" i="21" s="1"/>
  <c r="A73" i="51"/>
  <c r="A74" i="51" s="1"/>
  <c r="A75" i="51" s="1"/>
  <c r="A27" i="51"/>
  <c r="B115" i="51" l="1"/>
  <c r="E75" i="51" s="1"/>
  <c r="N42" i="21" s="1"/>
  <c r="C66" i="51"/>
  <c r="D66" i="51" s="1"/>
  <c r="A76" i="51"/>
  <c r="A28" i="51"/>
  <c r="E76" i="51" l="1"/>
  <c r="N43" i="21" s="1"/>
  <c r="E74" i="51"/>
  <c r="N41" i="21" s="1"/>
  <c r="B118" i="21"/>
  <c r="B116" i="21" s="1"/>
  <c r="E71" i="51"/>
  <c r="E73" i="51"/>
  <c r="N40" i="21" s="1"/>
  <c r="B68" i="51"/>
  <c r="E72" i="51"/>
  <c r="N39" i="21" s="1"/>
  <c r="I71" i="51"/>
  <c r="L71" i="51" s="1"/>
  <c r="M71" i="51" s="1"/>
  <c r="F71" i="51"/>
  <c r="B73" i="51"/>
  <c r="B71" i="51"/>
  <c r="B114" i="21"/>
  <c r="B75" i="51"/>
  <c r="B74" i="51"/>
  <c r="B69" i="51"/>
  <c r="B67" i="51"/>
  <c r="A77" i="51"/>
  <c r="E77" i="51" s="1"/>
  <c r="N44" i="21" s="1"/>
  <c r="B76" i="51"/>
  <c r="A29" i="51"/>
  <c r="N38" i="21" l="1"/>
  <c r="O71" i="51"/>
  <c r="N71" i="51"/>
  <c r="H71" i="51"/>
  <c r="N76" i="51"/>
  <c r="H76" i="51"/>
  <c r="J76" i="51" s="1"/>
  <c r="K76" i="51" s="1"/>
  <c r="N75" i="51"/>
  <c r="H75" i="51"/>
  <c r="J75" i="51" s="1"/>
  <c r="K75" i="51" s="1"/>
  <c r="N74" i="51"/>
  <c r="H74" i="51"/>
  <c r="J74" i="51" s="1"/>
  <c r="K74" i="51" s="1"/>
  <c r="C73" i="51"/>
  <c r="D73" i="51" s="1"/>
  <c r="N73" i="51"/>
  <c r="P73" i="51" s="1"/>
  <c r="Q73" i="51" s="1"/>
  <c r="H73" i="51"/>
  <c r="J73" i="51" s="1"/>
  <c r="K73" i="51" s="1"/>
  <c r="B112" i="21"/>
  <c r="B113" i="21"/>
  <c r="B115" i="21"/>
  <c r="A78" i="51"/>
  <c r="E78" i="51" s="1"/>
  <c r="N45" i="21" s="1"/>
  <c r="B77" i="51"/>
  <c r="A30" i="51"/>
  <c r="C67" i="51"/>
  <c r="D67" i="51" s="1"/>
  <c r="B43" i="21"/>
  <c r="B72" i="51"/>
  <c r="C68" i="51"/>
  <c r="D68" i="51" s="1"/>
  <c r="B38" i="21"/>
  <c r="B42" i="21"/>
  <c r="B41" i="21"/>
  <c r="B40" i="21"/>
  <c r="B70" i="51"/>
  <c r="C70" i="51" s="1"/>
  <c r="D70" i="51" s="1"/>
  <c r="C69" i="51"/>
  <c r="D69" i="51" s="1"/>
  <c r="J71" i="51" l="1"/>
  <c r="K71" i="51" s="1"/>
  <c r="P71" i="51"/>
  <c r="B39" i="21"/>
  <c r="N72" i="51"/>
  <c r="P72" i="51" s="1"/>
  <c r="Q72" i="51" s="1"/>
  <c r="H72" i="51"/>
  <c r="J72" i="51" s="1"/>
  <c r="K72" i="51" s="1"/>
  <c r="P75" i="51"/>
  <c r="Q75" i="51" s="1"/>
  <c r="P74" i="51"/>
  <c r="Q74" i="51" s="1"/>
  <c r="B44" i="21"/>
  <c r="N77" i="51"/>
  <c r="H77" i="51"/>
  <c r="J77" i="51" s="1"/>
  <c r="K77" i="51" s="1"/>
  <c r="P76" i="51"/>
  <c r="Q76" i="51" s="1"/>
  <c r="A79" i="51"/>
  <c r="E79" i="51" s="1"/>
  <c r="N46" i="21" s="1"/>
  <c r="B78" i="51"/>
  <c r="A31" i="51"/>
  <c r="C74" i="51"/>
  <c r="C76" i="51"/>
  <c r="E16" i="51"/>
  <c r="G16" i="51" s="1"/>
  <c r="C75" i="51"/>
  <c r="E15" i="51"/>
  <c r="G15" i="51" s="1"/>
  <c r="C77" i="51"/>
  <c r="C71" i="51"/>
  <c r="C11" i="51" s="1"/>
  <c r="C72" i="51"/>
  <c r="E39" i="51" l="1"/>
  <c r="Q71" i="51"/>
  <c r="P77" i="51"/>
  <c r="Q77" i="51" s="1"/>
  <c r="E17" i="51"/>
  <c r="G17" i="51" s="1"/>
  <c r="B45" i="21"/>
  <c r="N78" i="51"/>
  <c r="H78" i="51"/>
  <c r="J78" i="51" s="1"/>
  <c r="K78" i="51" s="1"/>
  <c r="D18" i="51" s="1"/>
  <c r="F18" i="51" s="1"/>
  <c r="C78" i="51"/>
  <c r="C18" i="51" s="1"/>
  <c r="C46" i="51" s="1"/>
  <c r="A80" i="51"/>
  <c r="E80" i="51" s="1"/>
  <c r="N47" i="21" s="1"/>
  <c r="B79" i="51"/>
  <c r="A32" i="51"/>
  <c r="C14" i="51"/>
  <c r="C42" i="51" s="1"/>
  <c r="E42" i="51"/>
  <c r="E43" i="51"/>
  <c r="B13" i="51"/>
  <c r="B41" i="51" s="1"/>
  <c r="C13" i="51"/>
  <c r="C41" i="51" s="1"/>
  <c r="D71" i="51"/>
  <c r="B11" i="51" s="1"/>
  <c r="B39" i="51" s="1"/>
  <c r="C39" i="51"/>
  <c r="E44" i="51"/>
  <c r="D72" i="51"/>
  <c r="B12" i="51" s="1"/>
  <c r="B40" i="51" s="1"/>
  <c r="C12" i="51"/>
  <c r="C40" i="51" s="1"/>
  <c r="D44" i="51"/>
  <c r="D74" i="51"/>
  <c r="D15" i="51"/>
  <c r="F15" i="51" s="1"/>
  <c r="D17" i="51"/>
  <c r="F17" i="51" s="1"/>
  <c r="D16" i="51"/>
  <c r="F16" i="51" s="1"/>
  <c r="C17" i="51"/>
  <c r="C45" i="51" s="1"/>
  <c r="D77" i="51"/>
  <c r="B17" i="51" s="1"/>
  <c r="B45" i="51" s="1"/>
  <c r="D75" i="51"/>
  <c r="B15" i="51" s="1"/>
  <c r="B43" i="51" s="1"/>
  <c r="C15" i="51"/>
  <c r="C43" i="51" s="1"/>
  <c r="E14" i="51"/>
  <c r="G14" i="51" s="1"/>
  <c r="C16" i="51"/>
  <c r="C44" i="51" s="1"/>
  <c r="D76" i="51"/>
  <c r="B16" i="51" s="1"/>
  <c r="B44" i="51" s="1"/>
  <c r="D39" i="51" l="1"/>
  <c r="E45" i="51"/>
  <c r="E18" i="51"/>
  <c r="G18" i="51" s="1"/>
  <c r="D78" i="51"/>
  <c r="B18" i="51" s="1"/>
  <c r="B46" i="51" s="1"/>
  <c r="P78" i="51"/>
  <c r="E46" i="51" s="1"/>
  <c r="N79" i="51"/>
  <c r="P79" i="51" s="1"/>
  <c r="Q79" i="51" s="1"/>
  <c r="H79" i="51"/>
  <c r="J79" i="51" s="1"/>
  <c r="K79" i="51" s="1"/>
  <c r="B46" i="21"/>
  <c r="C79" i="51"/>
  <c r="A81" i="51"/>
  <c r="E81" i="51" s="1"/>
  <c r="N48" i="21" s="1"/>
  <c r="B80" i="51"/>
  <c r="E11" i="51"/>
  <c r="G11" i="51" s="1"/>
  <c r="D11" i="51"/>
  <c r="F11" i="51" s="1"/>
  <c r="B14" i="51"/>
  <c r="B42" i="51" s="1"/>
  <c r="D42" i="51"/>
  <c r="D13" i="51"/>
  <c r="F13" i="51" s="1"/>
  <c r="E13" i="51"/>
  <c r="G13" i="51" s="1"/>
  <c r="E40" i="51"/>
  <c r="D43" i="51"/>
  <c r="D12" i="51"/>
  <c r="F12" i="51" s="1"/>
  <c r="E12" i="51"/>
  <c r="G12" i="51" s="1"/>
  <c r="E41" i="51"/>
  <c r="D45" i="51"/>
  <c r="D14" i="51"/>
  <c r="F14" i="51" s="1"/>
  <c r="Q78" i="51" l="1"/>
  <c r="D46" i="51" s="1"/>
  <c r="N80" i="51"/>
  <c r="H80" i="51"/>
  <c r="J80" i="51" s="1"/>
  <c r="K80" i="51" s="1"/>
  <c r="A82" i="51"/>
  <c r="E82" i="51" s="1"/>
  <c r="N49" i="21" s="1"/>
  <c r="B81" i="51"/>
  <c r="D79" i="51"/>
  <c r="B19" i="51" s="1"/>
  <c r="B47" i="51" s="1"/>
  <c r="C19" i="51"/>
  <c r="C47" i="51" s="1"/>
  <c r="E47" i="51"/>
  <c r="E19" i="51"/>
  <c r="G19" i="51" s="1"/>
  <c r="B47" i="21"/>
  <c r="C80" i="51"/>
  <c r="C20" i="51" s="1"/>
  <c r="C48" i="51" s="1"/>
  <c r="D40" i="51"/>
  <c r="D41" i="51"/>
  <c r="N81" i="51" l="1"/>
  <c r="H81" i="51"/>
  <c r="J81" i="51" s="1"/>
  <c r="K81" i="51" s="1"/>
  <c r="P80" i="51"/>
  <c r="Q80" i="51" s="1"/>
  <c r="D47" i="51"/>
  <c r="D80" i="51"/>
  <c r="B20" i="51" s="1"/>
  <c r="B48" i="51" s="1"/>
  <c r="D19" i="51"/>
  <c r="F19" i="51" s="1"/>
  <c r="E20" i="51"/>
  <c r="G20" i="51" s="1"/>
  <c r="B48" i="21"/>
  <c r="C81" i="51"/>
  <c r="C21" i="51" s="1"/>
  <c r="C49" i="51" s="1"/>
  <c r="A83" i="51"/>
  <c r="E83" i="51" s="1"/>
  <c r="N50" i="21" s="1"/>
  <c r="B82" i="51"/>
  <c r="E48" i="51" l="1"/>
  <c r="N82" i="51"/>
  <c r="P82" i="51" s="1"/>
  <c r="Q82" i="51" s="1"/>
  <c r="H82" i="51"/>
  <c r="J82" i="51" s="1"/>
  <c r="K82" i="51" s="1"/>
  <c r="P81" i="51"/>
  <c r="Q81" i="51" s="1"/>
  <c r="D20" i="51"/>
  <c r="F20" i="51" s="1"/>
  <c r="D48" i="51"/>
  <c r="E21" i="51"/>
  <c r="G21" i="51" s="1"/>
  <c r="B49" i="21"/>
  <c r="C82" i="51"/>
  <c r="C22" i="51" s="1"/>
  <c r="C50" i="51" s="1"/>
  <c r="A84" i="51"/>
  <c r="E84" i="51" s="1"/>
  <c r="N51" i="21" s="1"/>
  <c r="B83" i="51"/>
  <c r="D81" i="51"/>
  <c r="B21" i="51" s="1"/>
  <c r="B49" i="51" s="1"/>
  <c r="E49" i="51" l="1"/>
  <c r="N83" i="51"/>
  <c r="P83" i="51" s="1"/>
  <c r="Q83" i="51" s="1"/>
  <c r="H83" i="51"/>
  <c r="J83" i="51" s="1"/>
  <c r="K83" i="51" s="1"/>
  <c r="D49" i="51"/>
  <c r="D21" i="51"/>
  <c r="F21" i="51" s="1"/>
  <c r="A85" i="51"/>
  <c r="E85" i="51" s="1"/>
  <c r="N52" i="21" s="1"/>
  <c r="B84" i="51"/>
  <c r="E22" i="51"/>
  <c r="G22" i="51" s="1"/>
  <c r="B50" i="21"/>
  <c r="C83" i="51"/>
  <c r="C23" i="51" s="1"/>
  <c r="C51" i="51" s="1"/>
  <c r="D82" i="51"/>
  <c r="B22" i="51" s="1"/>
  <c r="B50" i="51" s="1"/>
  <c r="E50" i="51"/>
  <c r="N84" i="51" l="1"/>
  <c r="H84" i="51"/>
  <c r="J84" i="51" s="1"/>
  <c r="K84" i="51" s="1"/>
  <c r="D22" i="51"/>
  <c r="F22" i="51" s="1"/>
  <c r="D50" i="51"/>
  <c r="D83" i="51"/>
  <c r="B23" i="51" s="1"/>
  <c r="B51" i="51" s="1"/>
  <c r="E23" i="51"/>
  <c r="G23" i="51" s="1"/>
  <c r="B51" i="21"/>
  <c r="C84" i="51"/>
  <c r="C24" i="51" s="1"/>
  <c r="C52" i="51" s="1"/>
  <c r="E51" i="51"/>
  <c r="D51" i="51"/>
  <c r="A86" i="51"/>
  <c r="E86" i="51" s="1"/>
  <c r="N53" i="21" s="1"/>
  <c r="B85" i="51"/>
  <c r="N85" i="51" l="1"/>
  <c r="H85" i="51"/>
  <c r="P84" i="51"/>
  <c r="Q84" i="51"/>
  <c r="D84" i="51"/>
  <c r="B24" i="51" s="1"/>
  <c r="B52" i="51" s="1"/>
  <c r="D23" i="51"/>
  <c r="F23" i="51" s="1"/>
  <c r="B52" i="21"/>
  <c r="C85" i="51"/>
  <c r="C25" i="51" s="1"/>
  <c r="C53" i="51" s="1"/>
  <c r="E52" i="51"/>
  <c r="A87" i="51"/>
  <c r="E87" i="51" s="1"/>
  <c r="N54" i="21" s="1"/>
  <c r="B86" i="51"/>
  <c r="E24" i="51"/>
  <c r="G24" i="51" s="1"/>
  <c r="N86" i="51" l="1"/>
  <c r="H86" i="51"/>
  <c r="J86" i="51" s="1"/>
  <c r="K86" i="51" s="1"/>
  <c r="J85" i="51"/>
  <c r="K85" i="51" s="1"/>
  <c r="P85" i="51"/>
  <c r="Q85" i="51" s="1"/>
  <c r="B53" i="21"/>
  <c r="C86" i="51"/>
  <c r="C26" i="51" s="1"/>
  <c r="C54" i="51" s="1"/>
  <c r="A88" i="51"/>
  <c r="E88" i="51" s="1"/>
  <c r="N55" i="21" s="1"/>
  <c r="B87" i="51"/>
  <c r="D52" i="51"/>
  <c r="D85" i="51"/>
  <c r="B25" i="51" s="1"/>
  <c r="B53" i="51" s="1"/>
  <c r="E25" i="51"/>
  <c r="G25" i="51" s="1"/>
  <c r="E53" i="51"/>
  <c r="D24" i="51"/>
  <c r="F24" i="51" s="1"/>
  <c r="N87" i="51" l="1"/>
  <c r="H87" i="51"/>
  <c r="J87" i="51" s="1"/>
  <c r="K87" i="51" s="1"/>
  <c r="P86" i="51"/>
  <c r="Q86" i="51" s="1"/>
  <c r="D53" i="51"/>
  <c r="D25" i="51"/>
  <c r="F25" i="51" s="1"/>
  <c r="C87" i="51"/>
  <c r="C27" i="51" s="1"/>
  <c r="C55" i="51" s="1"/>
  <c r="B54" i="21"/>
  <c r="D86" i="51"/>
  <c r="B26" i="51" s="1"/>
  <c r="B54" i="51" s="1"/>
  <c r="E26" i="51"/>
  <c r="G26" i="51" s="1"/>
  <c r="A89" i="51"/>
  <c r="E89" i="51" s="1"/>
  <c r="N56" i="21" s="1"/>
  <c r="B88" i="51"/>
  <c r="E54" i="51"/>
  <c r="N88" i="51" l="1"/>
  <c r="H88" i="51"/>
  <c r="J88" i="51" s="1"/>
  <c r="K88" i="51" s="1"/>
  <c r="P87" i="51"/>
  <c r="Q87" i="51" s="1"/>
  <c r="D26" i="51"/>
  <c r="F26" i="51" s="1"/>
  <c r="D87" i="51"/>
  <c r="B27" i="51" s="1"/>
  <c r="B55" i="51" s="1"/>
  <c r="A90" i="51"/>
  <c r="E90" i="51" s="1"/>
  <c r="N57" i="21" s="1"/>
  <c r="B89" i="51"/>
  <c r="B55" i="21"/>
  <c r="C88" i="51"/>
  <c r="C28" i="51" s="1"/>
  <c r="C56" i="51" s="1"/>
  <c r="D54" i="51"/>
  <c r="E27" i="51"/>
  <c r="G27" i="51" s="1"/>
  <c r="E55" i="51"/>
  <c r="N89" i="51" l="1"/>
  <c r="P89" i="51" s="1"/>
  <c r="Q89" i="51" s="1"/>
  <c r="H89" i="51"/>
  <c r="J89" i="51" s="1"/>
  <c r="K89" i="51" s="1"/>
  <c r="P88" i="51"/>
  <c r="Q88" i="51" s="1"/>
  <c r="D27" i="51"/>
  <c r="F27" i="51" s="1"/>
  <c r="E28" i="51"/>
  <c r="G28" i="51" s="1"/>
  <c r="D55" i="51"/>
  <c r="D88" i="51"/>
  <c r="B28" i="51" s="1"/>
  <c r="B56" i="51" s="1"/>
  <c r="B56" i="21"/>
  <c r="C89" i="51"/>
  <c r="C29" i="51" s="1"/>
  <c r="C57" i="51" s="1"/>
  <c r="A91" i="51"/>
  <c r="E91" i="51" s="1"/>
  <c r="N58" i="21" s="1"/>
  <c r="B90" i="51"/>
  <c r="H73" i="21"/>
  <c r="H71" i="21"/>
  <c r="H69" i="21"/>
  <c r="H67" i="21"/>
  <c r="E56" i="51" l="1"/>
  <c r="N90" i="51"/>
  <c r="H90" i="51"/>
  <c r="J90" i="51" s="1"/>
  <c r="K90" i="51" s="1"/>
  <c r="D56" i="51"/>
  <c r="D28" i="51"/>
  <c r="F28" i="51" s="1"/>
  <c r="A92" i="51"/>
  <c r="E92" i="51" s="1"/>
  <c r="N59" i="21" s="1"/>
  <c r="B91" i="51"/>
  <c r="D89" i="51"/>
  <c r="B29" i="51" s="1"/>
  <c r="B57" i="51" s="1"/>
  <c r="E57" i="51"/>
  <c r="B57" i="21"/>
  <c r="C90" i="51"/>
  <c r="C30" i="51" s="1"/>
  <c r="C58" i="51" s="1"/>
  <c r="E29" i="51"/>
  <c r="G29" i="51" s="1"/>
  <c r="A9" i="49"/>
  <c r="N91" i="51" l="1"/>
  <c r="H91" i="51"/>
  <c r="P90" i="51"/>
  <c r="Q90" i="51" s="1"/>
  <c r="D57" i="51"/>
  <c r="E58" i="51"/>
  <c r="D29" i="51"/>
  <c r="F29" i="51" s="1"/>
  <c r="D90" i="51"/>
  <c r="B30" i="51" s="1"/>
  <c r="B58" i="51" s="1"/>
  <c r="E30" i="51"/>
  <c r="G30" i="51" s="1"/>
  <c r="B58" i="21"/>
  <c r="C91" i="51"/>
  <c r="C31" i="51" s="1"/>
  <c r="C59" i="51" s="1"/>
  <c r="B92" i="51"/>
  <c r="A10" i="49"/>
  <c r="E9" i="49"/>
  <c r="N92" i="51" l="1"/>
  <c r="H92" i="51"/>
  <c r="J92" i="51" s="1"/>
  <c r="K92" i="51" s="1"/>
  <c r="J91" i="51"/>
  <c r="K91" i="51" s="1"/>
  <c r="P91" i="51"/>
  <c r="Q91" i="51" s="1"/>
  <c r="D30" i="51"/>
  <c r="F30" i="51" s="1"/>
  <c r="D58" i="51"/>
  <c r="B59" i="21"/>
  <c r="C92" i="51"/>
  <c r="C32" i="51" s="1"/>
  <c r="C60" i="51" s="1"/>
  <c r="E59" i="51"/>
  <c r="D91" i="51"/>
  <c r="B31" i="51" s="1"/>
  <c r="B59" i="51" s="1"/>
  <c r="E31" i="51"/>
  <c r="G31" i="51" s="1"/>
  <c r="A11" i="49"/>
  <c r="E10" i="49"/>
  <c r="C28" i="49"/>
  <c r="D28" i="49"/>
  <c r="D2" i="49" s="1"/>
  <c r="C15" i="41"/>
  <c r="C16" i="41"/>
  <c r="P92" i="51" l="1"/>
  <c r="Q92" i="51" s="1"/>
  <c r="D59" i="51"/>
  <c r="D31" i="51"/>
  <c r="F31" i="51" s="1"/>
  <c r="D92" i="51"/>
  <c r="B32" i="51" s="1"/>
  <c r="B60" i="51" s="1"/>
  <c r="E32" i="51"/>
  <c r="G32" i="51" s="1"/>
  <c r="A12" i="49"/>
  <c r="E11" i="49"/>
  <c r="C13" i="41"/>
  <c r="C14" i="41"/>
  <c r="E60" i="51" l="1"/>
  <c r="D60" i="51"/>
  <c r="D32" i="51"/>
  <c r="F32" i="51" s="1"/>
  <c r="A13" i="49"/>
  <c r="E12" i="49"/>
  <c r="F5" i="5"/>
  <c r="F6" i="5" s="1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A14" i="49" l="1"/>
  <c r="E13" i="49"/>
  <c r="A4" i="5"/>
  <c r="A15" i="49" l="1"/>
  <c r="E14" i="49"/>
  <c r="A5" i="5"/>
  <c r="A16" i="49" l="1"/>
  <c r="E15" i="49"/>
  <c r="A6" i="5"/>
  <c r="D5" i="5"/>
  <c r="A17" i="49" l="1"/>
  <c r="E16" i="49"/>
  <c r="A7" i="5"/>
  <c r="D6" i="5"/>
  <c r="A18" i="49" l="1"/>
  <c r="E17" i="49"/>
  <c r="A8" i="5"/>
  <c r="D7" i="5"/>
  <c r="T14" i="41"/>
  <c r="T15" i="41" s="1"/>
  <c r="T16" i="41" s="1"/>
  <c r="T17" i="41" s="1"/>
  <c r="T18" i="41" s="1"/>
  <c r="T19" i="41" s="1"/>
  <c r="T20" i="41" s="1"/>
  <c r="T21" i="41" s="1"/>
  <c r="T22" i="41" s="1"/>
  <c r="T23" i="41" s="1"/>
  <c r="H14" i="41"/>
  <c r="H15" i="41" s="1"/>
  <c r="H16" i="41" s="1"/>
  <c r="H17" i="41" s="1"/>
  <c r="H18" i="41" s="1"/>
  <c r="H19" i="41" s="1"/>
  <c r="H20" i="41" s="1"/>
  <c r="H21" i="41" s="1"/>
  <c r="H22" i="41" s="1"/>
  <c r="H23" i="41" s="1"/>
  <c r="A14" i="41"/>
  <c r="A15" i="41" s="1"/>
  <c r="A16" i="41" s="1"/>
  <c r="A17" i="41" s="1"/>
  <c r="A18" i="41" s="1"/>
  <c r="A19" i="41" s="1"/>
  <c r="A20" i="41" s="1"/>
  <c r="A21" i="41" s="1"/>
  <c r="A22" i="41" s="1"/>
  <c r="A23" i="41" s="1"/>
  <c r="A19" i="49" l="1"/>
  <c r="E18" i="49"/>
  <c r="A9" i="5"/>
  <c r="D8" i="5"/>
  <c r="H24" i="41"/>
  <c r="H25" i="41" s="1"/>
  <c r="H26" i="41" s="1"/>
  <c r="H27" i="41" s="1"/>
  <c r="H28" i="41" s="1"/>
  <c r="H29" i="41" s="1"/>
  <c r="H30" i="41" s="1"/>
  <c r="H31" i="41" s="1"/>
  <c r="H32" i="41" s="1"/>
  <c r="H33" i="41" s="1"/>
  <c r="H34" i="41" s="1"/>
  <c r="H35" i="41" s="1"/>
  <c r="H36" i="41" s="1"/>
  <c r="H37" i="41" s="1"/>
  <c r="H38" i="41" s="1"/>
  <c r="H39" i="41" s="1"/>
  <c r="H40" i="41" s="1"/>
  <c r="T24" i="41"/>
  <c r="T25" i="41" s="1"/>
  <c r="T26" i="41" s="1"/>
  <c r="T27" i="41" s="1"/>
  <c r="T28" i="41" s="1"/>
  <c r="T29" i="41" s="1"/>
  <c r="T30" i="41" s="1"/>
  <c r="T31" i="41" s="1"/>
  <c r="T32" i="41" s="1"/>
  <c r="T33" i="41" s="1"/>
  <c r="T34" i="41" s="1"/>
  <c r="T35" i="41" s="1"/>
  <c r="T36" i="41" s="1"/>
  <c r="T37" i="41" s="1"/>
  <c r="T38" i="41" s="1"/>
  <c r="T39" i="41" s="1"/>
  <c r="T40" i="41" s="1"/>
  <c r="A24" i="4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11" i="2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20" i="49" l="1"/>
  <c r="E19" i="49"/>
  <c r="A10" i="5"/>
  <c r="D9" i="5"/>
  <c r="A21" i="49" l="1"/>
  <c r="E20" i="49"/>
  <c r="A11" i="5"/>
  <c r="D10" i="5"/>
  <c r="A22" i="49" l="1"/>
  <c r="E21" i="49"/>
  <c r="A12" i="5"/>
  <c r="D11" i="5"/>
  <c r="A23" i="49" l="1"/>
  <c r="E22" i="49"/>
  <c r="A13" i="5"/>
  <c r="D12" i="5"/>
  <c r="A30" i="21"/>
  <c r="A24" i="49" l="1"/>
  <c r="E23" i="49"/>
  <c r="A14" i="5"/>
  <c r="D13" i="5"/>
  <c r="A31" i="21"/>
  <c r="A25" i="49" l="1"/>
  <c r="E24" i="49"/>
  <c r="A15" i="5"/>
  <c r="D14" i="5"/>
  <c r="A26" i="49" l="1"/>
  <c r="E25" i="49"/>
  <c r="A16" i="5"/>
  <c r="D15" i="5"/>
  <c r="A27" i="49" l="1"/>
  <c r="E27" i="49" s="1"/>
  <c r="E26" i="49"/>
  <c r="A17" i="5"/>
  <c r="D16" i="5"/>
  <c r="E28" i="49" l="1"/>
  <c r="D3" i="49" s="1"/>
  <c r="A18" i="5"/>
  <c r="D17" i="5"/>
  <c r="A19" i="5" l="1"/>
  <c r="D18" i="5"/>
  <c r="A20" i="5" l="1"/>
  <c r="D19" i="5"/>
  <c r="A39" i="21"/>
  <c r="A21" i="5" l="1"/>
  <c r="D20" i="5"/>
  <c r="M39" i="21"/>
  <c r="A40" i="21"/>
  <c r="A22" i="5" l="1"/>
  <c r="D21" i="5"/>
  <c r="M40" i="21"/>
  <c r="A41" i="21"/>
  <c r="A23" i="5" l="1"/>
  <c r="D22" i="5"/>
  <c r="M41" i="21"/>
  <c r="A42" i="21"/>
  <c r="A24" i="5" l="1"/>
  <c r="D23" i="5"/>
  <c r="M42" i="21"/>
  <c r="A43" i="21"/>
  <c r="D24" i="5" l="1"/>
  <c r="A25" i="5"/>
  <c r="A44" i="21"/>
  <c r="A45" i="21" s="1"/>
  <c r="M43" i="21"/>
  <c r="E6" i="27" l="1"/>
  <c r="H5" i="27"/>
  <c r="D25" i="5"/>
  <c r="A26" i="5"/>
  <c r="M44" i="21"/>
  <c r="A46" i="21"/>
  <c r="M45" i="21"/>
  <c r="V12" i="41" l="1"/>
  <c r="E7" i="27"/>
  <c r="H7" i="27" s="1"/>
  <c r="H6" i="27"/>
  <c r="V13" i="41" s="1"/>
  <c r="D26" i="5"/>
  <c r="A27" i="5"/>
  <c r="A47" i="21"/>
  <c r="M46" i="21"/>
  <c r="E8" i="27" l="1"/>
  <c r="V14" i="41"/>
  <c r="D27" i="5"/>
  <c r="A28" i="5"/>
  <c r="A48" i="21"/>
  <c r="M47" i="21"/>
  <c r="E9" i="27" l="1"/>
  <c r="H8" i="27"/>
  <c r="D28" i="5"/>
  <c r="A29" i="5"/>
  <c r="A49" i="21"/>
  <c r="M48" i="21"/>
  <c r="V15" i="41" l="1"/>
  <c r="E10" i="27"/>
  <c r="H9" i="27"/>
  <c r="V16" i="41" s="1"/>
  <c r="D29" i="5"/>
  <c r="A30" i="5"/>
  <c r="A50" i="21"/>
  <c r="M49" i="21"/>
  <c r="E11" i="27" l="1"/>
  <c r="H10" i="27"/>
  <c r="V17" i="41" s="1"/>
  <c r="A31" i="5"/>
  <c r="D30" i="5"/>
  <c r="A51" i="21"/>
  <c r="M50" i="21"/>
  <c r="G75" i="21"/>
  <c r="F75" i="21"/>
  <c r="E75" i="21"/>
  <c r="E12" i="27" l="1"/>
  <c r="E13" i="27" s="1"/>
  <c r="E14" i="27" s="1"/>
  <c r="E15" i="27" s="1"/>
  <c r="E16" i="27" s="1"/>
  <c r="E17" i="27" s="1"/>
  <c r="E18" i="27" s="1"/>
  <c r="E19" i="27" s="1"/>
  <c r="E20" i="27" s="1"/>
  <c r="E21" i="27" s="1"/>
  <c r="E22" i="27" s="1"/>
  <c r="E23" i="27" s="1"/>
  <c r="E24" i="27" s="1"/>
  <c r="E25" i="27" s="1"/>
  <c r="E26" i="27" s="1"/>
  <c r="E27" i="27" s="1"/>
  <c r="E28" i="27" s="1"/>
  <c r="E29" i="27" s="1"/>
  <c r="E30" i="27" s="1"/>
  <c r="E31" i="27" s="1"/>
  <c r="E32" i="27" s="1"/>
  <c r="E33" i="27" s="1"/>
  <c r="H33" i="27" s="1"/>
  <c r="H11" i="27"/>
  <c r="V18" i="41" s="1"/>
  <c r="H75" i="21"/>
  <c r="A32" i="5"/>
  <c r="D31" i="5"/>
  <c r="A52" i="21"/>
  <c r="M51" i="21"/>
  <c r="B108" i="21" l="1"/>
  <c r="O38" i="21" s="1"/>
  <c r="O45" i="21"/>
  <c r="O54" i="21"/>
  <c r="O46" i="21"/>
  <c r="O39" i="21"/>
  <c r="O41" i="21"/>
  <c r="O44" i="21"/>
  <c r="O47" i="21"/>
  <c r="O43" i="21"/>
  <c r="O42" i="21"/>
  <c r="I65" i="21"/>
  <c r="I69" i="21"/>
  <c r="I67" i="21"/>
  <c r="I73" i="21"/>
  <c r="I75" i="21"/>
  <c r="I71" i="21"/>
  <c r="D32" i="5"/>
  <c r="A33" i="5"/>
  <c r="A53" i="21"/>
  <c r="M52" i="21"/>
  <c r="O55" i="21" l="1"/>
  <c r="O51" i="21"/>
  <c r="O49" i="21"/>
  <c r="U49" i="21" s="1"/>
  <c r="O57" i="21"/>
  <c r="T57" i="21" s="1"/>
  <c r="O59" i="21"/>
  <c r="R59" i="21" s="1"/>
  <c r="O40" i="21"/>
  <c r="R40" i="21" s="1"/>
  <c r="O56" i="21"/>
  <c r="C38" i="21"/>
  <c r="E38" i="21" s="1"/>
  <c r="O58" i="21"/>
  <c r="V58" i="21" s="1"/>
  <c r="O48" i="21"/>
  <c r="P48" i="21" s="1"/>
  <c r="O52" i="21"/>
  <c r="V52" i="21" s="1"/>
  <c r="O53" i="21"/>
  <c r="Q53" i="21" s="1"/>
  <c r="R38" i="21"/>
  <c r="AF38" i="21" s="1"/>
  <c r="Q38" i="21"/>
  <c r="AE38" i="21" s="1"/>
  <c r="P38" i="21"/>
  <c r="O50" i="21"/>
  <c r="S50" i="21" s="1"/>
  <c r="P45" i="21"/>
  <c r="Q45" i="21"/>
  <c r="U45" i="21"/>
  <c r="R45" i="21"/>
  <c r="S45" i="21"/>
  <c r="V45" i="21"/>
  <c r="T45" i="21"/>
  <c r="T38" i="21"/>
  <c r="U38" i="21"/>
  <c r="S38" i="21"/>
  <c r="V38" i="21"/>
  <c r="S54" i="21"/>
  <c r="U54" i="21"/>
  <c r="T54" i="21"/>
  <c r="V54" i="21"/>
  <c r="Q54" i="21"/>
  <c r="P54" i="21"/>
  <c r="R54" i="21"/>
  <c r="P57" i="21"/>
  <c r="U57" i="21"/>
  <c r="S51" i="21"/>
  <c r="P51" i="21"/>
  <c r="T51" i="21"/>
  <c r="Q51" i="21"/>
  <c r="R51" i="21"/>
  <c r="U51" i="21"/>
  <c r="V51" i="21"/>
  <c r="S49" i="21"/>
  <c r="V49" i="21"/>
  <c r="R49" i="21"/>
  <c r="U40" i="21"/>
  <c r="V40" i="21"/>
  <c r="Q40" i="21"/>
  <c r="P40" i="21"/>
  <c r="S40" i="21"/>
  <c r="T40" i="21"/>
  <c r="P46" i="21"/>
  <c r="R46" i="21"/>
  <c r="S46" i="21"/>
  <c r="U46" i="21"/>
  <c r="T46" i="21"/>
  <c r="V46" i="21"/>
  <c r="Q46" i="21"/>
  <c r="P58" i="21"/>
  <c r="R58" i="21"/>
  <c r="S43" i="21"/>
  <c r="R43" i="21"/>
  <c r="T43" i="21"/>
  <c r="U43" i="21"/>
  <c r="P43" i="21"/>
  <c r="Q43" i="21"/>
  <c r="V43" i="21"/>
  <c r="U48" i="21"/>
  <c r="R48" i="21"/>
  <c r="T41" i="21"/>
  <c r="P41" i="21"/>
  <c r="V41" i="21"/>
  <c r="R41" i="21"/>
  <c r="U41" i="21"/>
  <c r="Q41" i="21"/>
  <c r="S41" i="21"/>
  <c r="V50" i="21"/>
  <c r="U50" i="21"/>
  <c r="P42" i="21"/>
  <c r="S42" i="21"/>
  <c r="R42" i="21"/>
  <c r="T42" i="21"/>
  <c r="Q42" i="21"/>
  <c r="U42" i="21"/>
  <c r="V42" i="21"/>
  <c r="T47" i="21"/>
  <c r="P47" i="21"/>
  <c r="V47" i="21"/>
  <c r="Q47" i="21"/>
  <c r="R47" i="21"/>
  <c r="S47" i="21"/>
  <c r="U47" i="21"/>
  <c r="Q52" i="21"/>
  <c r="R52" i="21"/>
  <c r="V39" i="21"/>
  <c r="Q39" i="21"/>
  <c r="R39" i="21"/>
  <c r="S39" i="21"/>
  <c r="P39" i="21"/>
  <c r="T39" i="21"/>
  <c r="U39" i="21"/>
  <c r="V56" i="21"/>
  <c r="Q56" i="21"/>
  <c r="R56" i="21"/>
  <c r="S56" i="21"/>
  <c r="P56" i="21"/>
  <c r="U56" i="21"/>
  <c r="T56" i="21"/>
  <c r="S55" i="21"/>
  <c r="V55" i="21"/>
  <c r="P55" i="21"/>
  <c r="R55" i="21"/>
  <c r="Q55" i="21"/>
  <c r="T55" i="21"/>
  <c r="U55" i="21"/>
  <c r="P44" i="21"/>
  <c r="R44" i="21"/>
  <c r="S44" i="21"/>
  <c r="T44" i="21"/>
  <c r="V44" i="21"/>
  <c r="Q44" i="21"/>
  <c r="U44" i="21"/>
  <c r="V53" i="21"/>
  <c r="C42" i="21"/>
  <c r="F42" i="21" s="1"/>
  <c r="D33" i="5"/>
  <c r="A34" i="5"/>
  <c r="C50" i="21"/>
  <c r="C40" i="21"/>
  <c r="C43" i="21"/>
  <c r="C41" i="21"/>
  <c r="C53" i="21"/>
  <c r="C47" i="21"/>
  <c r="C52" i="21"/>
  <c r="C49" i="21"/>
  <c r="C44" i="21"/>
  <c r="C46" i="21"/>
  <c r="C51" i="21"/>
  <c r="C48" i="21"/>
  <c r="C45" i="21"/>
  <c r="A54" i="21"/>
  <c r="M53" i="21"/>
  <c r="C39" i="21"/>
  <c r="U59" i="21" l="1"/>
  <c r="P59" i="21"/>
  <c r="Q59" i="21"/>
  <c r="W59" i="21" s="1"/>
  <c r="V59" i="21"/>
  <c r="R57" i="21"/>
  <c r="T59" i="21"/>
  <c r="V57" i="21"/>
  <c r="S59" i="21"/>
  <c r="Q49" i="21"/>
  <c r="X49" i="21" s="1"/>
  <c r="S57" i="21"/>
  <c r="AG57" i="21" s="1"/>
  <c r="T48" i="21"/>
  <c r="P49" i="21"/>
  <c r="Q57" i="21"/>
  <c r="W57" i="21" s="1"/>
  <c r="T49" i="21"/>
  <c r="P52" i="21"/>
  <c r="Q50" i="21"/>
  <c r="X50" i="21" s="1"/>
  <c r="R53" i="21"/>
  <c r="Q58" i="21"/>
  <c r="X58" i="21" s="1"/>
  <c r="S53" i="21"/>
  <c r="W53" i="21" s="1"/>
  <c r="S52" i="21"/>
  <c r="V48" i="21"/>
  <c r="S58" i="21"/>
  <c r="X38" i="21"/>
  <c r="P53" i="21"/>
  <c r="U52" i="21"/>
  <c r="AI52" i="21" s="1"/>
  <c r="S48" i="21"/>
  <c r="AG48" i="21" s="1"/>
  <c r="U58" i="21"/>
  <c r="AI58" i="21" s="1"/>
  <c r="T53" i="21"/>
  <c r="AA53" i="21" s="1"/>
  <c r="T52" i="21"/>
  <c r="AH52" i="21" s="1"/>
  <c r="Q48" i="21"/>
  <c r="X48" i="21" s="1"/>
  <c r="T58" i="21"/>
  <c r="W58" i="21" s="1"/>
  <c r="F38" i="21"/>
  <c r="U53" i="21"/>
  <c r="P50" i="21"/>
  <c r="Y38" i="21"/>
  <c r="T50" i="21"/>
  <c r="AA50" i="21" s="1"/>
  <c r="R50" i="21"/>
  <c r="Y50" i="21" s="1"/>
  <c r="AB55" i="21"/>
  <c r="AI55" i="21"/>
  <c r="AE43" i="21"/>
  <c r="X43" i="21"/>
  <c r="AG39" i="21"/>
  <c r="Z39" i="21"/>
  <c r="AG41" i="21"/>
  <c r="Z41" i="21"/>
  <c r="Z59" i="21"/>
  <c r="AG59" i="21"/>
  <c r="AB40" i="21"/>
  <c r="AI40" i="21"/>
  <c r="AJ57" i="21"/>
  <c r="AC57" i="21"/>
  <c r="AH38" i="21"/>
  <c r="AA38" i="21"/>
  <c r="AJ53" i="21"/>
  <c r="AC53" i="21"/>
  <c r="X55" i="21"/>
  <c r="AE55" i="21"/>
  <c r="AF39" i="21"/>
  <c r="Y39" i="21"/>
  <c r="AA47" i="21"/>
  <c r="AH47" i="21"/>
  <c r="AE41" i="21"/>
  <c r="X41" i="21"/>
  <c r="AB43" i="21"/>
  <c r="AI43" i="21"/>
  <c r="Y59" i="21"/>
  <c r="AF59" i="21"/>
  <c r="AE49" i="21"/>
  <c r="Z57" i="21"/>
  <c r="AH45" i="21"/>
  <c r="AA45" i="21"/>
  <c r="Y53" i="21"/>
  <c r="AF53" i="21"/>
  <c r="AF55" i="21"/>
  <c r="Y55" i="21"/>
  <c r="X39" i="21"/>
  <c r="AE39" i="21"/>
  <c r="AC42" i="21"/>
  <c r="AJ42" i="21"/>
  <c r="AI41" i="21"/>
  <c r="AB41" i="21"/>
  <c r="AH43" i="21"/>
  <c r="AA43" i="21"/>
  <c r="AB59" i="21"/>
  <c r="AI59" i="21"/>
  <c r="AJ45" i="21"/>
  <c r="AC45" i="21"/>
  <c r="AB53" i="21"/>
  <c r="AI53" i="21"/>
  <c r="AJ39" i="21"/>
  <c r="AC39" i="21"/>
  <c r="AB42" i="21"/>
  <c r="AI42" i="21"/>
  <c r="AF41" i="21"/>
  <c r="Y41" i="21"/>
  <c r="Y43" i="21"/>
  <c r="AF43" i="21"/>
  <c r="W46" i="21"/>
  <c r="X46" i="21"/>
  <c r="AE46" i="21"/>
  <c r="AF49" i="21"/>
  <c r="Y49" i="21"/>
  <c r="AI57" i="21"/>
  <c r="AB57" i="21"/>
  <c r="AG45" i="21"/>
  <c r="Z45" i="21"/>
  <c r="Z53" i="21"/>
  <c r="AJ55" i="21"/>
  <c r="AC55" i="21"/>
  <c r="Z52" i="21"/>
  <c r="AG52" i="21"/>
  <c r="AE42" i="21"/>
  <c r="X42" i="21"/>
  <c r="AJ41" i="21"/>
  <c r="AC41" i="21"/>
  <c r="Z43" i="21"/>
  <c r="AG43" i="21"/>
  <c r="AC46" i="21"/>
  <c r="AJ46" i="21"/>
  <c r="AC49" i="21"/>
  <c r="AJ49" i="21"/>
  <c r="AF45" i="21"/>
  <c r="Y45" i="21"/>
  <c r="AG55" i="21"/>
  <c r="Z55" i="21"/>
  <c r="AA42" i="21"/>
  <c r="AH42" i="21"/>
  <c r="AF58" i="21"/>
  <c r="Y58" i="21"/>
  <c r="AA46" i="21"/>
  <c r="AH46" i="21"/>
  <c r="Z49" i="21"/>
  <c r="AG49" i="21"/>
  <c r="AH57" i="21"/>
  <c r="AA57" i="21"/>
  <c r="AI45" i="21"/>
  <c r="AB45" i="21"/>
  <c r="AH53" i="21"/>
  <c r="AA56" i="21"/>
  <c r="AH56" i="21"/>
  <c r="AF42" i="21"/>
  <c r="Y42" i="21"/>
  <c r="AH41" i="21"/>
  <c r="AA41" i="21"/>
  <c r="AE58" i="21"/>
  <c r="AB46" i="21"/>
  <c r="AI46" i="21"/>
  <c r="AA49" i="21"/>
  <c r="AH49" i="21"/>
  <c r="AF54" i="21"/>
  <c r="Y54" i="21"/>
  <c r="AE45" i="21"/>
  <c r="X45" i="21"/>
  <c r="AJ47" i="21"/>
  <c r="AC47" i="21"/>
  <c r="AC52" i="21"/>
  <c r="AJ52" i="21"/>
  <c r="AG50" i="21"/>
  <c r="Z50" i="21"/>
  <c r="AG42" i="21"/>
  <c r="Z42" i="21"/>
  <c r="AC40" i="21"/>
  <c r="AJ40" i="21"/>
  <c r="X53" i="21"/>
  <c r="AE53" i="21"/>
  <c r="AF57" i="21"/>
  <c r="Y57" i="21"/>
  <c r="AH59" i="21"/>
  <c r="AA59" i="21"/>
  <c r="AI38" i="21"/>
  <c r="AB38" i="21"/>
  <c r="AA55" i="21"/>
  <c r="AH55" i="21"/>
  <c r="AB56" i="21"/>
  <c r="AI56" i="21"/>
  <c r="AF48" i="21"/>
  <c r="Y48" i="21"/>
  <c r="Z46" i="21"/>
  <c r="AG46" i="21"/>
  <c r="AB49" i="21"/>
  <c r="AI49" i="21"/>
  <c r="AI44" i="21"/>
  <c r="AB44" i="21"/>
  <c r="AF52" i="21"/>
  <c r="Y52" i="21"/>
  <c r="AJ48" i="21"/>
  <c r="AC48" i="21"/>
  <c r="AG58" i="21"/>
  <c r="Z58" i="21"/>
  <c r="Y46" i="21"/>
  <c r="AF46" i="21"/>
  <c r="AC51" i="21"/>
  <c r="AJ51" i="21"/>
  <c r="AE54" i="21"/>
  <c r="X54" i="21"/>
  <c r="AE44" i="21"/>
  <c r="X44" i="21"/>
  <c r="Z56" i="21"/>
  <c r="AG56" i="21"/>
  <c r="AB58" i="21"/>
  <c r="AI51" i="21"/>
  <c r="AB51" i="21"/>
  <c r="AJ54" i="21"/>
  <c r="AC54" i="21"/>
  <c r="AJ44" i="21"/>
  <c r="AC44" i="21"/>
  <c r="Y56" i="21"/>
  <c r="AF56" i="21"/>
  <c r="AE52" i="21"/>
  <c r="X52" i="21"/>
  <c r="Y40" i="21"/>
  <c r="AF40" i="21"/>
  <c r="AF51" i="21"/>
  <c r="Y51" i="21"/>
  <c r="AH54" i="21"/>
  <c r="AA54" i="21"/>
  <c r="W38" i="21"/>
  <c r="AA44" i="21"/>
  <c r="AH44" i="21"/>
  <c r="W56" i="21"/>
  <c r="X56" i="21"/>
  <c r="AE56" i="21"/>
  <c r="AI47" i="21"/>
  <c r="AB47" i="21"/>
  <c r="AB50" i="21"/>
  <c r="AI50" i="21"/>
  <c r="AC58" i="21"/>
  <c r="AJ58" i="21"/>
  <c r="AA40" i="21"/>
  <c r="AH40" i="21"/>
  <c r="W51" i="21"/>
  <c r="AE51" i="21"/>
  <c r="X51" i="21"/>
  <c r="AI54" i="21"/>
  <c r="AB54" i="21"/>
  <c r="AG44" i="21"/>
  <c r="Z44" i="21"/>
  <c r="AC56" i="21"/>
  <c r="AJ56" i="21"/>
  <c r="Z47" i="21"/>
  <c r="AG47" i="21"/>
  <c r="AJ50" i="21"/>
  <c r="AC50" i="21"/>
  <c r="AH48" i="21"/>
  <c r="AA48" i="21"/>
  <c r="Z40" i="21"/>
  <c r="AG40" i="21"/>
  <c r="AH51" i="21"/>
  <c r="AA51" i="21"/>
  <c r="AG54" i="21"/>
  <c r="Z54" i="21"/>
  <c r="Y44" i="21"/>
  <c r="AF44" i="21"/>
  <c r="AB39" i="21"/>
  <c r="AI39" i="21"/>
  <c r="Y47" i="21"/>
  <c r="AF47" i="21"/>
  <c r="AB48" i="21"/>
  <c r="AI48" i="21"/>
  <c r="AE59" i="21"/>
  <c r="AJ38" i="21"/>
  <c r="AC38" i="21"/>
  <c r="AA39" i="21"/>
  <c r="AH39" i="21"/>
  <c r="AE47" i="21"/>
  <c r="X47" i="21"/>
  <c r="AD47" i="21" s="1"/>
  <c r="AH50" i="21"/>
  <c r="AC43" i="21"/>
  <c r="AJ43" i="21"/>
  <c r="AJ59" i="21"/>
  <c r="AC59" i="21"/>
  <c r="X40" i="21"/>
  <c r="AE40" i="21"/>
  <c r="AG51" i="21"/>
  <c r="Z51" i="21"/>
  <c r="AG38" i="21"/>
  <c r="Z38" i="21"/>
  <c r="W43" i="21"/>
  <c r="W47" i="21"/>
  <c r="W40" i="21"/>
  <c r="W55" i="21"/>
  <c r="W41" i="21"/>
  <c r="W42" i="21"/>
  <c r="W49" i="21"/>
  <c r="W48" i="21"/>
  <c r="W39" i="21"/>
  <c r="W54" i="21"/>
  <c r="W45" i="21"/>
  <c r="W44" i="21"/>
  <c r="J42" i="21"/>
  <c r="D42" i="21"/>
  <c r="D38" i="21"/>
  <c r="J38" i="21"/>
  <c r="I38" i="21"/>
  <c r="H38" i="21"/>
  <c r="G38" i="21"/>
  <c r="J48" i="21"/>
  <c r="D34" i="5"/>
  <c r="A35" i="5"/>
  <c r="D41" i="21"/>
  <c r="J41" i="21"/>
  <c r="F41" i="21"/>
  <c r="D53" i="21"/>
  <c r="F53" i="21"/>
  <c r="J53" i="21"/>
  <c r="D49" i="21"/>
  <c r="J49" i="21"/>
  <c r="F49" i="21"/>
  <c r="D39" i="21"/>
  <c r="F39" i="21"/>
  <c r="J39" i="21"/>
  <c r="D50" i="21"/>
  <c r="F50" i="21"/>
  <c r="J50" i="21"/>
  <c r="D45" i="21"/>
  <c r="F45" i="21"/>
  <c r="J45" i="21"/>
  <c r="D48" i="21"/>
  <c r="F48" i="21"/>
  <c r="D47" i="21"/>
  <c r="J47" i="21"/>
  <c r="F47" i="21"/>
  <c r="D51" i="21"/>
  <c r="F51" i="21"/>
  <c r="J51" i="21"/>
  <c r="D52" i="21"/>
  <c r="F52" i="21"/>
  <c r="J52" i="21"/>
  <c r="D43" i="21"/>
  <c r="F43" i="21"/>
  <c r="J43" i="21"/>
  <c r="D40" i="21"/>
  <c r="F40" i="21"/>
  <c r="J40" i="21"/>
  <c r="D46" i="21"/>
  <c r="F46" i="21"/>
  <c r="J46" i="21"/>
  <c r="D44" i="21"/>
  <c r="J44" i="21"/>
  <c r="F44" i="21"/>
  <c r="C54" i="21"/>
  <c r="M54" i="21"/>
  <c r="A55" i="21"/>
  <c r="W50" i="21" l="1"/>
  <c r="AG53" i="21"/>
  <c r="X59" i="21"/>
  <c r="AE50" i="21"/>
  <c r="X57" i="21"/>
  <c r="AD57" i="21" s="1"/>
  <c r="AE57" i="21"/>
  <c r="W52" i="21"/>
  <c r="AA58" i="21"/>
  <c r="AD58" i="21" s="1"/>
  <c r="AA52" i="21"/>
  <c r="AD52" i="21" s="1"/>
  <c r="AH58" i="21"/>
  <c r="AE48" i="21"/>
  <c r="AK48" i="21" s="1"/>
  <c r="Z48" i="21"/>
  <c r="AD48" i="21" s="1"/>
  <c r="AB52" i="21"/>
  <c r="AD55" i="21"/>
  <c r="AK58" i="21"/>
  <c r="AF50" i="21"/>
  <c r="AK50" i="21" s="1"/>
  <c r="AD45" i="21"/>
  <c r="AK38" i="21"/>
  <c r="K38" i="21"/>
  <c r="B10" i="21" s="1"/>
  <c r="AK46" i="21"/>
  <c r="AD49" i="21"/>
  <c r="AD56" i="21"/>
  <c r="AK52" i="21"/>
  <c r="AK57" i="21"/>
  <c r="AK56" i="21"/>
  <c r="AD44" i="21"/>
  <c r="AK53" i="21"/>
  <c r="AD38" i="21"/>
  <c r="AD51" i="21"/>
  <c r="AK44" i="21"/>
  <c r="AD53" i="21"/>
  <c r="AK45" i="21"/>
  <c r="AK39" i="21"/>
  <c r="AD41" i="21"/>
  <c r="AK51" i="21"/>
  <c r="AD54" i="21"/>
  <c r="AK41" i="21"/>
  <c r="AK59" i="21"/>
  <c r="AK55" i="21"/>
  <c r="AD59" i="21"/>
  <c r="AD39" i="21"/>
  <c r="AK40" i="21"/>
  <c r="AK54" i="21"/>
  <c r="AD50" i="21"/>
  <c r="AD40" i="21"/>
  <c r="AK49" i="21"/>
  <c r="AD43" i="21"/>
  <c r="AD42" i="21"/>
  <c r="AK43" i="21"/>
  <c r="AK47" i="21"/>
  <c r="AK42" i="21"/>
  <c r="AD46" i="21"/>
  <c r="A36" i="5"/>
  <c r="D35" i="5"/>
  <c r="D54" i="21"/>
  <c r="J54" i="21"/>
  <c r="F54" i="21"/>
  <c r="C55" i="21"/>
  <c r="M55" i="21"/>
  <c r="A56" i="21"/>
  <c r="AD60" i="21" l="1"/>
  <c r="AK60" i="21"/>
  <c r="H54" i="21"/>
  <c r="H51" i="21"/>
  <c r="I48" i="21"/>
  <c r="G54" i="21"/>
  <c r="G40" i="21"/>
  <c r="A37" i="5"/>
  <c r="D36" i="5"/>
  <c r="D55" i="21"/>
  <c r="F55" i="21"/>
  <c r="G55" i="21"/>
  <c r="J55" i="21"/>
  <c r="H55" i="21"/>
  <c r="I55" i="21"/>
  <c r="G42" i="21"/>
  <c r="G47" i="21"/>
  <c r="G43" i="21"/>
  <c r="G45" i="21"/>
  <c r="G52" i="21"/>
  <c r="G51" i="21"/>
  <c r="G49" i="21"/>
  <c r="G44" i="21"/>
  <c r="G50" i="21"/>
  <c r="G41" i="21"/>
  <c r="G39" i="21"/>
  <c r="G46" i="21"/>
  <c r="G48" i="21"/>
  <c r="G53" i="21"/>
  <c r="I42" i="21"/>
  <c r="I45" i="21"/>
  <c r="I50" i="21"/>
  <c r="I51" i="21"/>
  <c r="I49" i="21"/>
  <c r="I40" i="21"/>
  <c r="I41" i="21"/>
  <c r="I52" i="21"/>
  <c r="I43" i="21"/>
  <c r="I47" i="21"/>
  <c r="I44" i="21"/>
  <c r="I46" i="21"/>
  <c r="I53" i="21"/>
  <c r="I39" i="21"/>
  <c r="H42" i="21"/>
  <c r="H41" i="21"/>
  <c r="H52" i="21"/>
  <c r="H50" i="21"/>
  <c r="H43" i="21"/>
  <c r="H47" i="21"/>
  <c r="H45" i="21"/>
  <c r="H44" i="21"/>
  <c r="H40" i="21"/>
  <c r="H39" i="21"/>
  <c r="H49" i="21"/>
  <c r="H46" i="21"/>
  <c r="H48" i="21"/>
  <c r="H53" i="21"/>
  <c r="I54" i="21"/>
  <c r="C56" i="21"/>
  <c r="E51" i="21"/>
  <c r="E54" i="21"/>
  <c r="E45" i="21"/>
  <c r="E47" i="21"/>
  <c r="E48" i="21"/>
  <c r="E53" i="21"/>
  <c r="E55" i="21"/>
  <c r="E49" i="21"/>
  <c r="E46" i="21"/>
  <c r="E50" i="21"/>
  <c r="E52" i="21"/>
  <c r="E44" i="21"/>
  <c r="A57" i="21"/>
  <c r="M56" i="21"/>
  <c r="E43" i="21"/>
  <c r="E39" i="21"/>
  <c r="E40" i="21"/>
  <c r="E41" i="21"/>
  <c r="E42" i="21"/>
  <c r="K47" i="21" l="1"/>
  <c r="B19" i="21" s="1"/>
  <c r="A38" i="5"/>
  <c r="D37" i="5"/>
  <c r="J56" i="21"/>
  <c r="G56" i="21"/>
  <c r="F56" i="21"/>
  <c r="H56" i="21"/>
  <c r="I56" i="21"/>
  <c r="D56" i="21"/>
  <c r="E56" i="21"/>
  <c r="C57" i="21"/>
  <c r="K46" i="21"/>
  <c r="B18" i="21" s="1"/>
  <c r="K55" i="21"/>
  <c r="B27" i="21" s="1"/>
  <c r="K54" i="21"/>
  <c r="B26" i="21" s="1"/>
  <c r="K50" i="21"/>
  <c r="B22" i="21" s="1"/>
  <c r="K51" i="21"/>
  <c r="B23" i="21" s="1"/>
  <c r="K53" i="21"/>
  <c r="B25" i="21" s="1"/>
  <c r="K48" i="21"/>
  <c r="B20" i="21" s="1"/>
  <c r="K52" i="21"/>
  <c r="B24" i="21" s="1"/>
  <c r="K49" i="21"/>
  <c r="B21" i="21" s="1"/>
  <c r="K44" i="21"/>
  <c r="B16" i="21" s="1"/>
  <c r="K45" i="21"/>
  <c r="B17" i="21" s="1"/>
  <c r="A58" i="21"/>
  <c r="M57" i="21"/>
  <c r="K43" i="21"/>
  <c r="B15" i="21" s="1"/>
  <c r="K40" i="21"/>
  <c r="B12" i="21" s="1"/>
  <c r="K42" i="21"/>
  <c r="B14" i="21" s="1"/>
  <c r="K39" i="21"/>
  <c r="B11" i="21" s="1"/>
  <c r="K41" i="21"/>
  <c r="B13" i="21" s="1"/>
  <c r="B4" i="5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C43" i="5"/>
  <c r="C4" i="5" s="1"/>
  <c r="B12" i="41" s="1"/>
  <c r="D12" i="41" s="1"/>
  <c r="E12" i="41" s="1"/>
  <c r="A39" i="5" l="1"/>
  <c r="D38" i="5"/>
  <c r="F57" i="21"/>
  <c r="G57" i="21"/>
  <c r="H57" i="21"/>
  <c r="I57" i="21"/>
  <c r="J57" i="21"/>
  <c r="C36" i="5"/>
  <c r="C37" i="5"/>
  <c r="C38" i="5"/>
  <c r="C39" i="5"/>
  <c r="C25" i="5"/>
  <c r="C26" i="5"/>
  <c r="C27" i="5"/>
  <c r="C28" i="5"/>
  <c r="C29" i="5"/>
  <c r="C32" i="5"/>
  <c r="C33" i="5"/>
  <c r="C34" i="5"/>
  <c r="C35" i="5"/>
  <c r="D57" i="21"/>
  <c r="E57" i="21"/>
  <c r="C58" i="21"/>
  <c r="A59" i="21"/>
  <c r="M58" i="21"/>
  <c r="B25" i="5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C13" i="5"/>
  <c r="C12" i="5"/>
  <c r="C18" i="5"/>
  <c r="C21" i="5"/>
  <c r="C22" i="5"/>
  <c r="C5" i="5"/>
  <c r="C31" i="5"/>
  <c r="C30" i="5"/>
  <c r="C24" i="5"/>
  <c r="C7" i="5"/>
  <c r="C17" i="5"/>
  <c r="C15" i="5"/>
  <c r="C6" i="5"/>
  <c r="C9" i="5"/>
  <c r="C20" i="5"/>
  <c r="C11" i="5"/>
  <c r="C23" i="5"/>
  <c r="C14" i="5"/>
  <c r="C19" i="5"/>
  <c r="C10" i="5"/>
  <c r="C8" i="5"/>
  <c r="C16" i="5"/>
  <c r="A40" i="5" l="1"/>
  <c r="D39" i="5"/>
  <c r="H58" i="21"/>
  <c r="J58" i="21"/>
  <c r="F58" i="21"/>
  <c r="G58" i="21"/>
  <c r="I58" i="21"/>
  <c r="K56" i="21"/>
  <c r="E58" i="21"/>
  <c r="D58" i="21"/>
  <c r="C59" i="21"/>
  <c r="M59" i="21"/>
  <c r="B28" i="21" l="1"/>
  <c r="A41" i="5"/>
  <c r="D40" i="5"/>
  <c r="C40" i="5"/>
  <c r="G59" i="21"/>
  <c r="H59" i="21"/>
  <c r="I59" i="21"/>
  <c r="J59" i="21"/>
  <c r="F59" i="21"/>
  <c r="D59" i="21"/>
  <c r="E59" i="21"/>
  <c r="K57" i="21"/>
  <c r="B29" i="21" s="1"/>
  <c r="B18" i="41" l="1"/>
  <c r="B15" i="41"/>
  <c r="D15" i="41" s="1"/>
  <c r="B17" i="41"/>
  <c r="B14" i="41"/>
  <c r="D14" i="41" s="1"/>
  <c r="B16" i="41"/>
  <c r="D16" i="41" s="1"/>
  <c r="A42" i="5"/>
  <c r="D41" i="5"/>
  <c r="C41" i="5"/>
  <c r="K58" i="21"/>
  <c r="B30" i="21" s="1"/>
  <c r="D42" i="5" l="1"/>
  <c r="C42" i="5"/>
  <c r="K59" i="21"/>
  <c r="B31" i="21" s="1"/>
  <c r="D31" i="21" s="1"/>
  <c r="B32" i="21" l="1"/>
  <c r="K60" i="21"/>
  <c r="C18" i="41" l="1"/>
  <c r="D18" i="41" s="1"/>
  <c r="C17" i="41" l="1"/>
  <c r="D17" i="41" l="1"/>
  <c r="B13" i="41" l="1"/>
  <c r="D13" i="41" s="1"/>
  <c r="E13" i="41" s="1"/>
  <c r="G31" i="27" l="1"/>
  <c r="G18" i="27"/>
  <c r="G25" i="27"/>
  <c r="G20" i="27"/>
  <c r="G19" i="27"/>
  <c r="G16" i="27"/>
  <c r="G30" i="27"/>
  <c r="G32" i="27"/>
  <c r="U39" i="41" s="1"/>
  <c r="G22" i="27"/>
  <c r="G27" i="27"/>
  <c r="G14" i="27"/>
  <c r="G21" i="27"/>
  <c r="G29" i="27"/>
  <c r="G26" i="27"/>
  <c r="G17" i="27"/>
  <c r="G23" i="27"/>
  <c r="G28" i="27"/>
  <c r="G15" i="27"/>
  <c r="G24" i="27"/>
  <c r="G34" i="27" l="1"/>
  <c r="U23" i="41"/>
  <c r="H16" i="27"/>
  <c r="V23" i="41" s="1"/>
  <c r="B23" i="41" s="1"/>
  <c r="U34" i="41"/>
  <c r="H27" i="27"/>
  <c r="V34" i="41" s="1"/>
  <c r="B34" i="41" s="1"/>
  <c r="U32" i="41"/>
  <c r="H25" i="27"/>
  <c r="V32" i="41" s="1"/>
  <c r="B32" i="41" s="1"/>
  <c r="U20" i="41"/>
  <c r="H13" i="27"/>
  <c r="V20" i="41" s="1"/>
  <c r="B20" i="41" s="1"/>
  <c r="U37" i="41"/>
  <c r="H30" i="27"/>
  <c r="V37" i="41" s="1"/>
  <c r="B37" i="41" s="1"/>
  <c r="U25" i="41"/>
  <c r="H18" i="27"/>
  <c r="V25" i="41" s="1"/>
  <c r="B25" i="41" s="1"/>
  <c r="H32" i="27"/>
  <c r="V39" i="41" s="1"/>
  <c r="B39" i="41" s="1"/>
  <c r="U24" i="41"/>
  <c r="H17" i="27"/>
  <c r="V24" i="41" s="1"/>
  <c r="B24" i="41" s="1"/>
  <c r="U29" i="41"/>
  <c r="H22" i="27"/>
  <c r="V29" i="41" s="1"/>
  <c r="B29" i="41" s="1"/>
  <c r="U30" i="41"/>
  <c r="H23" i="27"/>
  <c r="V30" i="41" s="1"/>
  <c r="B30" i="41" s="1"/>
  <c r="V40" i="41"/>
  <c r="U28" i="41"/>
  <c r="H21" i="27"/>
  <c r="V28" i="41" s="1"/>
  <c r="B28" i="41" s="1"/>
  <c r="U35" i="41"/>
  <c r="H28" i="27"/>
  <c r="V35" i="41" s="1"/>
  <c r="B35" i="41" s="1"/>
  <c r="U26" i="41"/>
  <c r="H19" i="27"/>
  <c r="V26" i="41" s="1"/>
  <c r="B26" i="41" s="1"/>
  <c r="U33" i="41"/>
  <c r="H26" i="27"/>
  <c r="V33" i="41" s="1"/>
  <c r="B33" i="41" s="1"/>
  <c r="U21" i="41"/>
  <c r="H14" i="27"/>
  <c r="V21" i="41" s="1"/>
  <c r="B21" i="41" s="1"/>
  <c r="U38" i="41"/>
  <c r="H31" i="27"/>
  <c r="V38" i="41" s="1"/>
  <c r="B38" i="41" s="1"/>
  <c r="U22" i="41"/>
  <c r="H15" i="27"/>
  <c r="V22" i="41" s="1"/>
  <c r="B22" i="41" s="1"/>
  <c r="U19" i="41"/>
  <c r="H12" i="27"/>
  <c r="U27" i="41"/>
  <c r="H20" i="27"/>
  <c r="V27" i="41" s="1"/>
  <c r="U36" i="41"/>
  <c r="H29" i="27"/>
  <c r="V36" i="41" s="1"/>
  <c r="B36" i="41" s="1"/>
  <c r="U31" i="41"/>
  <c r="H24" i="27"/>
  <c r="V31" i="41" s="1"/>
  <c r="B31" i="41" s="1"/>
  <c r="E14" i="41"/>
  <c r="E15" i="41" s="1"/>
  <c r="E16" i="41" s="1"/>
  <c r="B27" i="41"/>
  <c r="U41" i="41" l="1"/>
  <c r="B40" i="41"/>
  <c r="H34" i="27"/>
  <c r="V19" i="41"/>
  <c r="V41" i="41" s="1"/>
  <c r="E17" i="41"/>
  <c r="E18" i="41" s="1"/>
  <c r="B19" i="41"/>
  <c r="B41" i="41" l="1"/>
  <c r="E3" i="12" l="1"/>
  <c r="G71" i="51" l="1"/>
  <c r="F39" i="51" s="1"/>
  <c r="K11" i="51"/>
  <c r="M11" i="51" s="1"/>
  <c r="R71" i="51" l="1"/>
  <c r="H11" i="51"/>
  <c r="J11" i="51"/>
  <c r="L11" i="51" s="1"/>
  <c r="N11" i="51" s="1"/>
  <c r="I11" i="51"/>
  <c r="G39" i="51"/>
  <c r="I39" i="51" l="1"/>
  <c r="S71" i="51"/>
  <c r="C8" i="47"/>
  <c r="K39" i="51"/>
  <c r="O11" i="51"/>
  <c r="J19" i="41"/>
  <c r="H39" i="51" l="1"/>
  <c r="J39" i="51" s="1"/>
  <c r="B8" i="47"/>
  <c r="D8" i="47" s="1"/>
  <c r="F8" i="47"/>
  <c r="H8" i="47" s="1"/>
  <c r="E8" i="47"/>
  <c r="L39" i="51"/>
  <c r="K19" i="41" l="1"/>
  <c r="M39" i="51"/>
  <c r="M19" i="41"/>
  <c r="Q19" i="41" s="1"/>
  <c r="G8" i="47"/>
  <c r="I8" i="47" l="1"/>
  <c r="L19" i="41"/>
  <c r="J8" i="47"/>
  <c r="E10" i="21" l="1"/>
  <c r="N19" i="41"/>
  <c r="P19" i="41" l="1"/>
  <c r="O19" i="41"/>
  <c r="C19" i="41" l="1"/>
  <c r="R19" i="41"/>
  <c r="D19" i="41" l="1"/>
  <c r="E19" i="41" l="1"/>
  <c r="F92" i="51"/>
  <c r="I32" i="51" s="1"/>
  <c r="F91" i="51"/>
  <c r="I31" i="51" s="1"/>
  <c r="F81" i="51"/>
  <c r="I21" i="51" s="1"/>
  <c r="I82" i="51"/>
  <c r="L82" i="51" s="1"/>
  <c r="F86" i="51"/>
  <c r="G54" i="51" s="1"/>
  <c r="F88" i="51"/>
  <c r="G56" i="51" s="1"/>
  <c r="F78" i="51"/>
  <c r="I18" i="51" s="1"/>
  <c r="F85" i="51"/>
  <c r="I25" i="51" s="1"/>
  <c r="F87" i="51"/>
  <c r="G87" i="51" s="1"/>
  <c r="F89" i="51"/>
  <c r="I29" i="51" s="1"/>
  <c r="F90" i="51"/>
  <c r="I30" i="51" s="1"/>
  <c r="F84" i="51"/>
  <c r="I24" i="51" s="1"/>
  <c r="I83" i="51"/>
  <c r="I88" i="51"/>
  <c r="L88" i="51" s="1"/>
  <c r="I74" i="51"/>
  <c r="L74" i="51" s="1"/>
  <c r="I92" i="51"/>
  <c r="L92" i="51" s="1"/>
  <c r="F83" i="51"/>
  <c r="G51" i="51" s="1"/>
  <c r="O90" i="51"/>
  <c r="R90" i="51" s="1"/>
  <c r="I58" i="51" s="1"/>
  <c r="K58" i="51" s="1"/>
  <c r="I89" i="51"/>
  <c r="I79" i="51"/>
  <c r="L79" i="51" s="1"/>
  <c r="F75" i="51"/>
  <c r="I15" i="51" s="1"/>
  <c r="F72" i="51"/>
  <c r="I12" i="51" s="1"/>
  <c r="I90" i="51"/>
  <c r="L90" i="51" s="1"/>
  <c r="F82" i="51"/>
  <c r="G82" i="51" s="1"/>
  <c r="I73" i="51"/>
  <c r="L73" i="51" s="1"/>
  <c r="O80" i="51"/>
  <c r="R80" i="51" s="1"/>
  <c r="I76" i="51"/>
  <c r="L76" i="51" s="1"/>
  <c r="O82" i="51"/>
  <c r="R82" i="51" s="1"/>
  <c r="O85" i="51"/>
  <c r="R85" i="51" s="1"/>
  <c r="I77" i="51"/>
  <c r="L77" i="51" s="1"/>
  <c r="I85" i="51"/>
  <c r="L85" i="51" s="1"/>
  <c r="I80" i="51"/>
  <c r="L80" i="51" s="1"/>
  <c r="F77" i="51"/>
  <c r="G77" i="51" s="1"/>
  <c r="F74" i="51"/>
  <c r="G74" i="51" s="1"/>
  <c r="O75" i="51"/>
  <c r="O89" i="51"/>
  <c r="R89" i="51" s="1"/>
  <c r="I78" i="51"/>
  <c r="L78" i="51" s="1"/>
  <c r="O83" i="51"/>
  <c r="I91" i="51"/>
  <c r="L91" i="51" s="1"/>
  <c r="I75" i="51"/>
  <c r="L75" i="51" s="1"/>
  <c r="O86" i="51"/>
  <c r="R86" i="51" s="1"/>
  <c r="I72" i="51"/>
  <c r="L72" i="51" s="1"/>
  <c r="I84" i="51"/>
  <c r="L84" i="51" s="1"/>
  <c r="O78" i="51"/>
  <c r="R78" i="51" s="1"/>
  <c r="O87" i="51"/>
  <c r="R87" i="51" s="1"/>
  <c r="I86" i="51"/>
  <c r="L86" i="51" s="1"/>
  <c r="F80" i="51"/>
  <c r="I20" i="51" s="1"/>
  <c r="O74" i="51"/>
  <c r="R74" i="51" s="1"/>
  <c r="O92" i="51"/>
  <c r="O88" i="51"/>
  <c r="O76" i="51"/>
  <c r="O84" i="51"/>
  <c r="O72" i="51"/>
  <c r="R72" i="51" s="1"/>
  <c r="G92" i="51"/>
  <c r="F60" i="51" s="1"/>
  <c r="O77" i="51"/>
  <c r="R77" i="51" s="1"/>
  <c r="F79" i="51"/>
  <c r="G79" i="51" s="1"/>
  <c r="O91" i="51"/>
  <c r="R91" i="51" s="1"/>
  <c r="F73" i="51"/>
  <c r="G73" i="51" s="1"/>
  <c r="O73" i="51"/>
  <c r="R73" i="51" s="1"/>
  <c r="I87" i="51"/>
  <c r="L87" i="51" s="1"/>
  <c r="F76" i="51"/>
  <c r="G76" i="51" s="1"/>
  <c r="O81" i="51"/>
  <c r="O79" i="51"/>
  <c r="R79" i="51" s="1"/>
  <c r="I81" i="51"/>
  <c r="G84" i="51" l="1"/>
  <c r="H24" i="51" s="1"/>
  <c r="G90" i="51"/>
  <c r="H30" i="51" s="1"/>
  <c r="G89" i="51"/>
  <c r="F57" i="51" s="1"/>
  <c r="G81" i="51"/>
  <c r="H21" i="51" s="1"/>
  <c r="R76" i="51"/>
  <c r="R92" i="51"/>
  <c r="R81" i="51"/>
  <c r="C18" i="47" s="1"/>
  <c r="R84" i="51"/>
  <c r="I52" i="51" s="1"/>
  <c r="K52" i="51" s="1"/>
  <c r="L89" i="51"/>
  <c r="K29" i="51" s="1"/>
  <c r="M29" i="51" s="1"/>
  <c r="L83" i="51"/>
  <c r="K23" i="51" s="1"/>
  <c r="M23" i="51" s="1"/>
  <c r="R88" i="51"/>
  <c r="S88" i="51" s="1"/>
  <c r="L81" i="51"/>
  <c r="K21" i="51" s="1"/>
  <c r="M21" i="51" s="1"/>
  <c r="R75" i="51"/>
  <c r="S75" i="51" s="1"/>
  <c r="R83" i="51"/>
  <c r="S83" i="51" s="1"/>
  <c r="I13" i="51"/>
  <c r="K25" i="51"/>
  <c r="M25" i="51" s="1"/>
  <c r="G91" i="51"/>
  <c r="H31" i="51" s="1"/>
  <c r="G85" i="51"/>
  <c r="K31" i="51"/>
  <c r="M31" i="51" s="1"/>
  <c r="G88" i="51"/>
  <c r="H28" i="51" s="1"/>
  <c r="G78" i="51"/>
  <c r="H18" i="51" s="1"/>
  <c r="C19" i="47"/>
  <c r="K27" i="51"/>
  <c r="M27" i="51" s="1"/>
  <c r="I55" i="51"/>
  <c r="K55" i="51" s="1"/>
  <c r="S90" i="51"/>
  <c r="B27" i="47" s="1"/>
  <c r="I28" i="51"/>
  <c r="I14" i="51"/>
  <c r="F49" i="51"/>
  <c r="I48" i="51"/>
  <c r="K48" i="51" s="1"/>
  <c r="G86" i="51"/>
  <c r="G50" i="51"/>
  <c r="M91" i="51"/>
  <c r="J31" i="51" s="1"/>
  <c r="L31" i="51" s="1"/>
  <c r="G59" i="51"/>
  <c r="K17" i="51"/>
  <c r="M17" i="51" s="1"/>
  <c r="F52" i="51"/>
  <c r="K18" i="51"/>
  <c r="M18" i="51" s="1"/>
  <c r="G57" i="51"/>
  <c r="G43" i="51"/>
  <c r="G83" i="51"/>
  <c r="H23" i="51" s="1"/>
  <c r="S78" i="51"/>
  <c r="H46" i="51" s="1"/>
  <c r="J46" i="51" s="1"/>
  <c r="K24" i="51"/>
  <c r="M24" i="51" s="1"/>
  <c r="G47" i="51"/>
  <c r="C28" i="47"/>
  <c r="I59" i="51"/>
  <c r="K59" i="51" s="1"/>
  <c r="F45" i="51"/>
  <c r="H17" i="51"/>
  <c r="H32" i="51"/>
  <c r="F58" i="51"/>
  <c r="F42" i="51"/>
  <c r="H14" i="51"/>
  <c r="K13" i="51"/>
  <c r="M13" i="51" s="1"/>
  <c r="F50" i="51"/>
  <c r="H22" i="51"/>
  <c r="K22" i="51"/>
  <c r="M22" i="51" s="1"/>
  <c r="M82" i="51"/>
  <c r="J22" i="51" s="1"/>
  <c r="L22" i="51" s="1"/>
  <c r="N22" i="51" s="1"/>
  <c r="S91" i="51"/>
  <c r="I49" i="51"/>
  <c r="K49" i="51" s="1"/>
  <c r="S84" i="51"/>
  <c r="H13" i="51"/>
  <c r="F41" i="51"/>
  <c r="S73" i="51"/>
  <c r="F47" i="51"/>
  <c r="H19" i="51"/>
  <c r="I16" i="51"/>
  <c r="I19" i="51"/>
  <c r="F55" i="51"/>
  <c r="H27" i="51"/>
  <c r="S77" i="51"/>
  <c r="C26" i="47"/>
  <c r="I57" i="51"/>
  <c r="K57" i="51" s="1"/>
  <c r="I46" i="51"/>
  <c r="K46" i="51" s="1"/>
  <c r="G41" i="51"/>
  <c r="H16" i="51"/>
  <c r="F44" i="51"/>
  <c r="G44" i="51"/>
  <c r="S79" i="51"/>
  <c r="G53" i="51"/>
  <c r="G46" i="51"/>
  <c r="G60" i="51"/>
  <c r="G42" i="51"/>
  <c r="K26" i="51"/>
  <c r="M26" i="51" s="1"/>
  <c r="G75" i="51"/>
  <c r="K16" i="51"/>
  <c r="M16" i="51" s="1"/>
  <c r="K30" i="51"/>
  <c r="M30" i="51" s="1"/>
  <c r="C27" i="47"/>
  <c r="K14" i="51"/>
  <c r="M14" i="51" s="1"/>
  <c r="I26" i="51"/>
  <c r="K15" i="51"/>
  <c r="M15" i="51" s="1"/>
  <c r="G72" i="51"/>
  <c r="G49" i="51"/>
  <c r="K20" i="51"/>
  <c r="M20" i="51" s="1"/>
  <c r="H29" i="51"/>
  <c r="F51" i="51"/>
  <c r="I27" i="51"/>
  <c r="S85" i="51"/>
  <c r="K32" i="51"/>
  <c r="M32" i="51" s="1"/>
  <c r="G58" i="51"/>
  <c r="S89" i="51"/>
  <c r="G55" i="51"/>
  <c r="K28" i="51"/>
  <c r="M28" i="51" s="1"/>
  <c r="G52" i="51"/>
  <c r="I23" i="51"/>
  <c r="G48" i="51"/>
  <c r="I17" i="51"/>
  <c r="M85" i="51"/>
  <c r="J25" i="51" s="1"/>
  <c r="L25" i="51" s="1"/>
  <c r="G40" i="51"/>
  <c r="G80" i="51"/>
  <c r="G45" i="51"/>
  <c r="I22" i="51"/>
  <c r="S81" i="51" l="1"/>
  <c r="N31" i="51"/>
  <c r="C21" i="47"/>
  <c r="M81" i="51"/>
  <c r="J21" i="51" s="1"/>
  <c r="L21" i="51" s="1"/>
  <c r="F56" i="51"/>
  <c r="F46" i="51"/>
  <c r="M83" i="51"/>
  <c r="J23" i="51" s="1"/>
  <c r="L23" i="51" s="1"/>
  <c r="N23" i="51" s="1"/>
  <c r="M89" i="51"/>
  <c r="J29" i="51" s="1"/>
  <c r="L29" i="51" s="1"/>
  <c r="N29" i="51" s="1"/>
  <c r="N21" i="51"/>
  <c r="D14" i="21"/>
  <c r="N23" i="41" s="1"/>
  <c r="N25" i="51"/>
  <c r="O25" i="51" s="1"/>
  <c r="C24" i="47"/>
  <c r="C15" i="47"/>
  <c r="S87" i="51"/>
  <c r="H55" i="51" s="1"/>
  <c r="J55" i="51" s="1"/>
  <c r="L55" i="51" s="1"/>
  <c r="I50" i="51"/>
  <c r="K50" i="51" s="1"/>
  <c r="F59" i="51"/>
  <c r="S82" i="51"/>
  <c r="B19" i="47" s="1"/>
  <c r="M84" i="51"/>
  <c r="J24" i="51" s="1"/>
  <c r="L24" i="51" s="1"/>
  <c r="N24" i="51" s="1"/>
  <c r="F53" i="51"/>
  <c r="H25" i="51"/>
  <c r="M78" i="51"/>
  <c r="J18" i="51" s="1"/>
  <c r="L18" i="51" s="1"/>
  <c r="N18" i="51" s="1"/>
  <c r="J26" i="41" s="1"/>
  <c r="M87" i="51"/>
  <c r="J27" i="51" s="1"/>
  <c r="L27" i="51" s="1"/>
  <c r="N27" i="51" s="1"/>
  <c r="O27" i="51" s="1"/>
  <c r="S80" i="51"/>
  <c r="B17" i="47" s="1"/>
  <c r="H58" i="51"/>
  <c r="J58" i="51" s="1"/>
  <c r="L58" i="51" s="1"/>
  <c r="M58" i="51" s="1"/>
  <c r="K12" i="51"/>
  <c r="M12" i="51" s="1"/>
  <c r="M72" i="51"/>
  <c r="J12" i="51" s="1"/>
  <c r="L12" i="51" s="1"/>
  <c r="H26" i="51"/>
  <c r="F54" i="51"/>
  <c r="M88" i="51"/>
  <c r="J28" i="51" s="1"/>
  <c r="L28" i="51" s="1"/>
  <c r="N28" i="51" s="1"/>
  <c r="J36" i="41" s="1"/>
  <c r="M77" i="51"/>
  <c r="J17" i="51" s="1"/>
  <c r="L17" i="51" s="1"/>
  <c r="N17" i="51" s="1"/>
  <c r="J25" i="41" s="1"/>
  <c r="M75" i="51"/>
  <c r="J15" i="51" s="1"/>
  <c r="L15" i="51" s="1"/>
  <c r="N15" i="51" s="1"/>
  <c r="J23" i="41" s="1"/>
  <c r="C17" i="47"/>
  <c r="B15" i="47"/>
  <c r="H51" i="51"/>
  <c r="J51" i="51" s="1"/>
  <c r="B20" i="47"/>
  <c r="B25" i="47"/>
  <c r="H56" i="51"/>
  <c r="J56" i="51" s="1"/>
  <c r="F27" i="47"/>
  <c r="H27" i="47" s="1"/>
  <c r="M38" i="41" s="1"/>
  <c r="Q38" i="41" s="1"/>
  <c r="D27" i="47"/>
  <c r="E27" i="47"/>
  <c r="H47" i="51"/>
  <c r="J47" i="51" s="1"/>
  <c r="B16" i="47"/>
  <c r="D15" i="21"/>
  <c r="F43" i="51"/>
  <c r="H15" i="51"/>
  <c r="I44" i="51"/>
  <c r="K44" i="51" s="1"/>
  <c r="C13" i="47"/>
  <c r="B24" i="47"/>
  <c r="J39" i="41"/>
  <c r="O31" i="51"/>
  <c r="M80" i="51"/>
  <c r="J20" i="51" s="1"/>
  <c r="L20" i="51" s="1"/>
  <c r="N20" i="51" s="1"/>
  <c r="C23" i="47"/>
  <c r="I54" i="51"/>
  <c r="K54" i="51" s="1"/>
  <c r="I60" i="51"/>
  <c r="K60" i="51" s="1"/>
  <c r="C29" i="47"/>
  <c r="C9" i="47"/>
  <c r="I40" i="51"/>
  <c r="K40" i="51" s="1"/>
  <c r="S72" i="51"/>
  <c r="O22" i="51"/>
  <c r="J30" i="41"/>
  <c r="H59" i="51"/>
  <c r="J59" i="51" s="1"/>
  <c r="L59" i="51" s="1"/>
  <c r="B28" i="47"/>
  <c r="M92" i="51"/>
  <c r="J32" i="51" s="1"/>
  <c r="L32" i="51" s="1"/>
  <c r="N32" i="51" s="1"/>
  <c r="C14" i="47"/>
  <c r="I45" i="51"/>
  <c r="K45" i="51" s="1"/>
  <c r="M90" i="51"/>
  <c r="J30" i="51" s="1"/>
  <c r="L30" i="51" s="1"/>
  <c r="N30" i="51" s="1"/>
  <c r="M76" i="51"/>
  <c r="J16" i="51" s="1"/>
  <c r="L16" i="51" s="1"/>
  <c r="N16" i="51" s="1"/>
  <c r="S86" i="51"/>
  <c r="K19" i="51"/>
  <c r="M19" i="51" s="1"/>
  <c r="M79" i="51"/>
  <c r="J19" i="51" s="1"/>
  <c r="L19" i="51" s="1"/>
  <c r="H52" i="51"/>
  <c r="J52" i="51" s="1"/>
  <c r="L52" i="51" s="1"/>
  <c r="B21" i="47"/>
  <c r="S76" i="51"/>
  <c r="B10" i="47"/>
  <c r="H41" i="51"/>
  <c r="J41" i="51" s="1"/>
  <c r="C10" i="47"/>
  <c r="I41" i="51"/>
  <c r="K41" i="51" s="1"/>
  <c r="H53" i="51"/>
  <c r="J53" i="51" s="1"/>
  <c r="B22" i="47"/>
  <c r="H12" i="51"/>
  <c r="F40" i="51"/>
  <c r="I53" i="51"/>
  <c r="K53" i="51" s="1"/>
  <c r="C22" i="47"/>
  <c r="C11" i="47"/>
  <c r="I42" i="51"/>
  <c r="K42" i="51" s="1"/>
  <c r="S74" i="51"/>
  <c r="F48" i="51"/>
  <c r="H20" i="51"/>
  <c r="H45" i="51"/>
  <c r="J45" i="51" s="1"/>
  <c r="B14" i="47"/>
  <c r="L46" i="51"/>
  <c r="I51" i="51"/>
  <c r="K51" i="51" s="1"/>
  <c r="C20" i="47"/>
  <c r="B12" i="47"/>
  <c r="H43" i="51"/>
  <c r="J43" i="51" s="1"/>
  <c r="M86" i="51"/>
  <c r="J26" i="51" s="1"/>
  <c r="L26" i="51" s="1"/>
  <c r="N26" i="51" s="1"/>
  <c r="H57" i="51"/>
  <c r="J57" i="51" s="1"/>
  <c r="L57" i="51" s="1"/>
  <c r="B26" i="47"/>
  <c r="I43" i="51"/>
  <c r="K43" i="51" s="1"/>
  <c r="C12" i="47"/>
  <c r="I47" i="51"/>
  <c r="K47" i="51" s="1"/>
  <c r="C16" i="47"/>
  <c r="C25" i="47"/>
  <c r="I56" i="51"/>
  <c r="K56" i="51" s="1"/>
  <c r="S92" i="51"/>
  <c r="M74" i="51"/>
  <c r="J14" i="51" s="1"/>
  <c r="L14" i="51" s="1"/>
  <c r="N14" i="51" s="1"/>
  <c r="M73" i="51"/>
  <c r="J13" i="51" s="1"/>
  <c r="L13" i="51" s="1"/>
  <c r="N13" i="51" s="1"/>
  <c r="B18" i="47"/>
  <c r="H49" i="51"/>
  <c r="J49" i="51" s="1"/>
  <c r="L49" i="51" s="1"/>
  <c r="E15" i="47" l="1"/>
  <c r="J33" i="41"/>
  <c r="D15" i="47"/>
  <c r="F15" i="47"/>
  <c r="H15" i="47" s="1"/>
  <c r="M26" i="41" s="1"/>
  <c r="Q26" i="41" s="1"/>
  <c r="J37" i="41"/>
  <c r="O29" i="51"/>
  <c r="D23" i="21"/>
  <c r="E23" i="21" s="1"/>
  <c r="H50" i="51"/>
  <c r="J50" i="51" s="1"/>
  <c r="L50" i="51" s="1"/>
  <c r="O23" i="51"/>
  <c r="J31" i="41"/>
  <c r="D22" i="21"/>
  <c r="N31" i="41" s="1"/>
  <c r="D27" i="21"/>
  <c r="E27" i="21" s="1"/>
  <c r="O21" i="51"/>
  <c r="J29" i="41"/>
  <c r="K38" i="41"/>
  <c r="H48" i="51"/>
  <c r="J48" i="51" s="1"/>
  <c r="L48" i="51" s="1"/>
  <c r="O18" i="51"/>
  <c r="N12" i="51"/>
  <c r="O12" i="51" s="1"/>
  <c r="E14" i="21"/>
  <c r="J35" i="41"/>
  <c r="D16" i="21"/>
  <c r="E16" i="21" s="1"/>
  <c r="O28" i="51"/>
  <c r="O17" i="51"/>
  <c r="D30" i="21"/>
  <c r="E30" i="21" s="1"/>
  <c r="D28" i="21"/>
  <c r="N37" i="41" s="1"/>
  <c r="D29" i="21"/>
  <c r="E29" i="21" s="1"/>
  <c r="D21" i="21"/>
  <c r="N30" i="41" s="1"/>
  <c r="D17" i="21"/>
  <c r="E17" i="21" s="1"/>
  <c r="N19" i="51"/>
  <c r="O19" i="51" s="1"/>
  <c r="D26" i="21"/>
  <c r="E26" i="21" s="1"/>
  <c r="D19" i="21"/>
  <c r="N28" i="41" s="1"/>
  <c r="L43" i="51"/>
  <c r="K23" i="41" s="1"/>
  <c r="D20" i="21"/>
  <c r="E20" i="21" s="1"/>
  <c r="L41" i="51"/>
  <c r="M41" i="51" s="1"/>
  <c r="O15" i="51"/>
  <c r="L45" i="51"/>
  <c r="K25" i="41" s="1"/>
  <c r="F19" i="47"/>
  <c r="H19" i="47" s="1"/>
  <c r="M30" i="41" s="1"/>
  <c r="Q30" i="41" s="1"/>
  <c r="D19" i="47"/>
  <c r="E19" i="47"/>
  <c r="H40" i="51"/>
  <c r="J40" i="51" s="1"/>
  <c r="L40" i="51" s="1"/>
  <c r="B9" i="47"/>
  <c r="D18" i="21"/>
  <c r="D12" i="47"/>
  <c r="F12" i="47"/>
  <c r="H12" i="47" s="1"/>
  <c r="M23" i="41" s="1"/>
  <c r="Q23" i="41" s="1"/>
  <c r="E12" i="47"/>
  <c r="B23" i="47"/>
  <c r="H54" i="51"/>
  <c r="J54" i="51" s="1"/>
  <c r="L54" i="51" s="1"/>
  <c r="J34" i="41"/>
  <c r="O26" i="51"/>
  <c r="O16" i="51"/>
  <c r="J24" i="41"/>
  <c r="K29" i="41"/>
  <c r="M49" i="51"/>
  <c r="E31" i="21"/>
  <c r="N40" i="41"/>
  <c r="O13" i="51"/>
  <c r="J21" i="41"/>
  <c r="D25" i="21"/>
  <c r="G15" i="47"/>
  <c r="J38" i="41"/>
  <c r="O30" i="51"/>
  <c r="M57" i="51"/>
  <c r="K37" i="41"/>
  <c r="E14" i="47"/>
  <c r="F14" i="47"/>
  <c r="H14" i="47" s="1"/>
  <c r="M25" i="41" s="1"/>
  <c r="Q25" i="41" s="1"/>
  <c r="D14" i="47"/>
  <c r="D13" i="21"/>
  <c r="D21" i="47"/>
  <c r="F21" i="47"/>
  <c r="H21" i="47" s="1"/>
  <c r="M32" i="41" s="1"/>
  <c r="Q32" i="41" s="1"/>
  <c r="E21" i="47"/>
  <c r="D26" i="47"/>
  <c r="F26" i="47"/>
  <c r="H26" i="47" s="1"/>
  <c r="M37" i="41" s="1"/>
  <c r="Q37" i="41" s="1"/>
  <c r="E26" i="47"/>
  <c r="D10" i="47"/>
  <c r="F10" i="47"/>
  <c r="H10" i="47" s="1"/>
  <c r="M21" i="41" s="1"/>
  <c r="Q21" i="41" s="1"/>
  <c r="E10" i="47"/>
  <c r="H44" i="51"/>
  <c r="J44" i="51" s="1"/>
  <c r="L44" i="51" s="1"/>
  <c r="B13" i="47"/>
  <c r="K32" i="41"/>
  <c r="M52" i="51"/>
  <c r="D16" i="47"/>
  <c r="F16" i="47"/>
  <c r="H16" i="47" s="1"/>
  <c r="M27" i="41" s="1"/>
  <c r="Q27" i="41" s="1"/>
  <c r="E16" i="47"/>
  <c r="G27" i="47"/>
  <c r="D18" i="47"/>
  <c r="E18" i="47"/>
  <c r="F18" i="47"/>
  <c r="H18" i="47" s="1"/>
  <c r="M29" i="41" s="1"/>
  <c r="Q29" i="41" s="1"/>
  <c r="M46" i="51"/>
  <c r="K26" i="41"/>
  <c r="K28" i="41"/>
  <c r="M48" i="51"/>
  <c r="O32" i="51"/>
  <c r="J40" i="41"/>
  <c r="O20" i="51"/>
  <c r="J28" i="41"/>
  <c r="L47" i="51"/>
  <c r="J22" i="41"/>
  <c r="O14" i="51"/>
  <c r="L56" i="51"/>
  <c r="E17" i="47"/>
  <c r="F17" i="47"/>
  <c r="H17" i="47" s="1"/>
  <c r="M28" i="41" s="1"/>
  <c r="Q28" i="41" s="1"/>
  <c r="D17" i="47"/>
  <c r="E22" i="47"/>
  <c r="F22" i="47"/>
  <c r="H22" i="47" s="1"/>
  <c r="M33" i="41" s="1"/>
  <c r="Q33" i="41" s="1"/>
  <c r="D22" i="47"/>
  <c r="D12" i="21"/>
  <c r="M59" i="51"/>
  <c r="K39" i="41"/>
  <c r="D25" i="47"/>
  <c r="E25" i="47"/>
  <c r="F25" i="47"/>
  <c r="H25" i="47" s="1"/>
  <c r="M36" i="41" s="1"/>
  <c r="Q36" i="41" s="1"/>
  <c r="B11" i="47"/>
  <c r="H42" i="51"/>
  <c r="J42" i="51" s="1"/>
  <c r="L42" i="51" s="1"/>
  <c r="E28" i="47"/>
  <c r="D28" i="47"/>
  <c r="F28" i="47"/>
  <c r="H28" i="47" s="1"/>
  <c r="M39" i="41" s="1"/>
  <c r="Q39" i="41" s="1"/>
  <c r="D24" i="21"/>
  <c r="L53" i="51"/>
  <c r="O24" i="51"/>
  <c r="J32" i="41"/>
  <c r="E24" i="47"/>
  <c r="D24" i="47"/>
  <c r="F24" i="47"/>
  <c r="H24" i="47" s="1"/>
  <c r="M35" i="41" s="1"/>
  <c r="Q35" i="41" s="1"/>
  <c r="E15" i="21"/>
  <c r="N24" i="41"/>
  <c r="D20" i="47"/>
  <c r="F20" i="47"/>
  <c r="H20" i="47" s="1"/>
  <c r="M31" i="41" s="1"/>
  <c r="Q31" i="41" s="1"/>
  <c r="E20" i="47"/>
  <c r="H60" i="51"/>
  <c r="J60" i="51" s="1"/>
  <c r="L60" i="51" s="1"/>
  <c r="B29" i="47"/>
  <c r="K35" i="41"/>
  <c r="M55" i="51"/>
  <c r="M50" i="51"/>
  <c r="K30" i="41"/>
  <c r="L51" i="51"/>
  <c r="N32" i="41" l="1"/>
  <c r="O33" i="51"/>
  <c r="W60" i="21"/>
  <c r="E22" i="21"/>
  <c r="J20" i="41"/>
  <c r="M45" i="51"/>
  <c r="N25" i="41"/>
  <c r="N36" i="41"/>
  <c r="G14" i="47"/>
  <c r="N39" i="41"/>
  <c r="J27" i="41"/>
  <c r="G28" i="47"/>
  <c r="J28" i="47" s="1"/>
  <c r="G17" i="47"/>
  <c r="I17" i="47" s="1"/>
  <c r="E28" i="21"/>
  <c r="G22" i="47"/>
  <c r="L33" i="41" s="1"/>
  <c r="N26" i="41"/>
  <c r="E21" i="21"/>
  <c r="N38" i="41"/>
  <c r="M43" i="51"/>
  <c r="N29" i="41"/>
  <c r="E19" i="21"/>
  <c r="N35" i="41"/>
  <c r="K21" i="41"/>
  <c r="G20" i="47"/>
  <c r="I20" i="47" s="1"/>
  <c r="I27" i="47"/>
  <c r="L38" i="41"/>
  <c r="J27" i="47"/>
  <c r="I15" i="47"/>
  <c r="L26" i="41"/>
  <c r="J15" i="47"/>
  <c r="G16" i="47"/>
  <c r="N34" i="41"/>
  <c r="E25" i="21"/>
  <c r="K34" i="41"/>
  <c r="M54" i="51"/>
  <c r="G21" i="47"/>
  <c r="E23" i="47"/>
  <c r="F23" i="47"/>
  <c r="H23" i="47" s="1"/>
  <c r="M34" i="41" s="1"/>
  <c r="Q34" i="41" s="1"/>
  <c r="D23" i="47"/>
  <c r="K27" i="41"/>
  <c r="M47" i="51"/>
  <c r="M60" i="51"/>
  <c r="K40" i="41"/>
  <c r="K24" i="41"/>
  <c r="M44" i="51"/>
  <c r="N22" i="41"/>
  <c r="E13" i="21"/>
  <c r="F9" i="47"/>
  <c r="H9" i="47" s="1"/>
  <c r="E9" i="47"/>
  <c r="D9" i="47"/>
  <c r="K20" i="41"/>
  <c r="M40" i="51"/>
  <c r="K22" i="41"/>
  <c r="M42" i="51"/>
  <c r="M53" i="51"/>
  <c r="K33" i="41"/>
  <c r="E11" i="47"/>
  <c r="D11" i="47"/>
  <c r="F11" i="47"/>
  <c r="H11" i="47" s="1"/>
  <c r="M22" i="41" s="1"/>
  <c r="Q22" i="41" s="1"/>
  <c r="L25" i="41"/>
  <c r="P25" i="41" s="1"/>
  <c r="I14" i="47"/>
  <c r="J14" i="47"/>
  <c r="E12" i="21"/>
  <c r="N21" i="41"/>
  <c r="G12" i="47"/>
  <c r="E29" i="47"/>
  <c r="D29" i="47"/>
  <c r="F29" i="47"/>
  <c r="H29" i="47" s="1"/>
  <c r="M40" i="41" s="1"/>
  <c r="Q40" i="41" s="1"/>
  <c r="M51" i="51"/>
  <c r="K31" i="41"/>
  <c r="G10" i="47"/>
  <c r="G19" i="47"/>
  <c r="K36" i="41"/>
  <c r="M56" i="51"/>
  <c r="N27" i="41"/>
  <c r="E18" i="21"/>
  <c r="E24" i="21"/>
  <c r="N33" i="41"/>
  <c r="D13" i="47"/>
  <c r="E13" i="47"/>
  <c r="F13" i="47"/>
  <c r="H13" i="47" s="1"/>
  <c r="M24" i="41" s="1"/>
  <c r="Q24" i="41" s="1"/>
  <c r="G24" i="47"/>
  <c r="G25" i="47"/>
  <c r="G18" i="47"/>
  <c r="G26" i="47"/>
  <c r="J17" i="47" l="1"/>
  <c r="L28" i="41"/>
  <c r="P28" i="41" s="1"/>
  <c r="R28" i="41" s="1"/>
  <c r="J41" i="41"/>
  <c r="K41" i="41"/>
  <c r="D11" i="21"/>
  <c r="D32" i="21" s="1"/>
  <c r="C2" i="21" s="1"/>
  <c r="C32" i="21"/>
  <c r="G9" i="47"/>
  <c r="J22" i="47"/>
  <c r="I22" i="47"/>
  <c r="L39" i="41"/>
  <c r="I28" i="47"/>
  <c r="P26" i="41"/>
  <c r="C26" i="41" s="1"/>
  <c r="D26" i="41" s="1"/>
  <c r="O38" i="41"/>
  <c r="J20" i="47"/>
  <c r="L31" i="41"/>
  <c r="P31" i="41" s="1"/>
  <c r="P38" i="41"/>
  <c r="C38" i="41" s="1"/>
  <c r="D38" i="41" s="1"/>
  <c r="G13" i="47"/>
  <c r="I13" i="47" s="1"/>
  <c r="O26" i="41"/>
  <c r="O25" i="41"/>
  <c r="R25" i="41"/>
  <c r="C25" i="41"/>
  <c r="D25" i="41" s="1"/>
  <c r="H30" i="47"/>
  <c r="M20" i="41"/>
  <c r="M41" i="41" s="1"/>
  <c r="J21" i="47"/>
  <c r="I21" i="47"/>
  <c r="L32" i="41"/>
  <c r="P39" i="41"/>
  <c r="O39" i="41"/>
  <c r="O33" i="41"/>
  <c r="P33" i="41"/>
  <c r="L23" i="41"/>
  <c r="J12" i="47"/>
  <c r="I12" i="47"/>
  <c r="L30" i="41"/>
  <c r="I19" i="47"/>
  <c r="J19" i="47"/>
  <c r="L37" i="41"/>
  <c r="J26" i="47"/>
  <c r="I26" i="47"/>
  <c r="I10" i="47"/>
  <c r="J10" i="47"/>
  <c r="L21" i="41"/>
  <c r="J25" i="47"/>
  <c r="I25" i="47"/>
  <c r="L36" i="41"/>
  <c r="P36" i="41" s="1"/>
  <c r="I24" i="47"/>
  <c r="L35" i="41"/>
  <c r="J24" i="47"/>
  <c r="I16" i="47"/>
  <c r="L27" i="41"/>
  <c r="J16" i="47"/>
  <c r="J18" i="47"/>
  <c r="L29" i="41"/>
  <c r="I18" i="47"/>
  <c r="L20" i="41"/>
  <c r="I9" i="47"/>
  <c r="J9" i="47"/>
  <c r="G29" i="47"/>
  <c r="G11" i="47"/>
  <c r="G23" i="47"/>
  <c r="C28" i="41" l="1"/>
  <c r="D28" i="41" s="1"/>
  <c r="O28" i="41"/>
  <c r="O31" i="41"/>
  <c r="R26" i="41"/>
  <c r="N20" i="41"/>
  <c r="N41" i="41" s="1"/>
  <c r="E11" i="21"/>
  <c r="R38" i="41"/>
  <c r="L24" i="41"/>
  <c r="J13" i="47"/>
  <c r="C36" i="41"/>
  <c r="D36" i="41" s="1"/>
  <c r="R36" i="41"/>
  <c r="I23" i="47"/>
  <c r="L34" i="41"/>
  <c r="J23" i="47"/>
  <c r="P24" i="41"/>
  <c r="O24" i="41"/>
  <c r="R31" i="41"/>
  <c r="C31" i="41"/>
  <c r="D31" i="41" s="1"/>
  <c r="O30" i="41"/>
  <c r="P30" i="41"/>
  <c r="Q20" i="41"/>
  <c r="Q41" i="41" s="1"/>
  <c r="O32" i="41"/>
  <c r="P32" i="41"/>
  <c r="O36" i="41"/>
  <c r="O29" i="41"/>
  <c r="P29" i="41"/>
  <c r="J29" i="47"/>
  <c r="I29" i="47"/>
  <c r="L40" i="41"/>
  <c r="O40" i="41" s="1"/>
  <c r="R33" i="41"/>
  <c r="C33" i="41"/>
  <c r="D33" i="41" s="1"/>
  <c r="L22" i="41"/>
  <c r="L41" i="41" s="1"/>
  <c r="J11" i="47"/>
  <c r="I11" i="47"/>
  <c r="O23" i="41"/>
  <c r="P23" i="41"/>
  <c r="P37" i="41"/>
  <c r="O37" i="41"/>
  <c r="O27" i="41"/>
  <c r="P27" i="41"/>
  <c r="G30" i="47"/>
  <c r="C39" i="41"/>
  <c r="D39" i="41" s="1"/>
  <c r="R39" i="41"/>
  <c r="P21" i="41"/>
  <c r="O21" i="41"/>
  <c r="O35" i="41"/>
  <c r="P35" i="41"/>
  <c r="P20" i="41"/>
  <c r="I30" i="47" l="1"/>
  <c r="C2" i="47" s="1"/>
  <c r="E32" i="21"/>
  <c r="C3" i="21" s="1"/>
  <c r="J30" i="47"/>
  <c r="C3" i="47" s="1"/>
  <c r="O20" i="41"/>
  <c r="C35" i="41"/>
  <c r="D35" i="41" s="1"/>
  <c r="R35" i="41"/>
  <c r="P22" i="41"/>
  <c r="O22" i="41"/>
  <c r="P40" i="41"/>
  <c r="R30" i="41"/>
  <c r="C30" i="41"/>
  <c r="D30" i="41" s="1"/>
  <c r="R29" i="41"/>
  <c r="C29" i="41"/>
  <c r="D29" i="41" s="1"/>
  <c r="P34" i="41"/>
  <c r="O34" i="41"/>
  <c r="C27" i="41"/>
  <c r="D27" i="41" s="1"/>
  <c r="R27" i="41"/>
  <c r="R20" i="41"/>
  <c r="C20" i="41"/>
  <c r="C24" i="41"/>
  <c r="D24" i="41" s="1"/>
  <c r="R24" i="41"/>
  <c r="C32" i="41"/>
  <c r="D32" i="41" s="1"/>
  <c r="R32" i="41"/>
  <c r="R21" i="41"/>
  <c r="C21" i="41"/>
  <c r="D21" i="41" s="1"/>
  <c r="C37" i="41"/>
  <c r="D37" i="41" s="1"/>
  <c r="R37" i="41"/>
  <c r="R23" i="41"/>
  <c r="C23" i="41"/>
  <c r="D23" i="41" s="1"/>
  <c r="O41" i="41" l="1"/>
  <c r="F3" i="12" s="1"/>
  <c r="P41" i="41"/>
  <c r="D20" i="41"/>
  <c r="R40" i="41"/>
  <c r="C40" i="41"/>
  <c r="D40" i="41" s="1"/>
  <c r="C22" i="41"/>
  <c r="D22" i="41" s="1"/>
  <c r="R22" i="41"/>
  <c r="R34" i="41"/>
  <c r="C34" i="41"/>
  <c r="D34" i="41" s="1"/>
  <c r="R41" i="41" l="1"/>
  <c r="C4" i="41" s="1"/>
  <c r="H3" i="12" s="1"/>
  <c r="E20" i="41"/>
  <c r="C5" i="41"/>
  <c r="D41" i="41"/>
  <c r="C41" i="41"/>
  <c r="E21" i="41" l="1"/>
  <c r="E22" i="41" s="1"/>
  <c r="E23" i="41" s="1"/>
  <c r="E24" i="41" s="1"/>
  <c r="E25" i="41" s="1"/>
  <c r="E26" i="41" s="1"/>
  <c r="E27" i="41" s="1"/>
  <c r="E28" i="41" s="1"/>
  <c r="E29" i="41" s="1"/>
  <c r="E30" i="41" s="1"/>
  <c r="E31" i="41" s="1"/>
  <c r="E32" i="41" s="1"/>
  <c r="E33" i="41" s="1"/>
  <c r="E34" i="41" s="1"/>
  <c r="E35" i="41" s="1"/>
  <c r="E36" i="41" s="1"/>
  <c r="E37" i="41" s="1"/>
  <c r="E38" i="41" s="1"/>
  <c r="E39" i="41" s="1"/>
  <c r="E40" i="41" s="1"/>
  <c r="C6" i="41"/>
  <c r="G3" i="12"/>
  <c r="L61" i="51"/>
  <c r="E3" i="51" s="1"/>
  <c r="N33" i="51"/>
  <c r="C3" i="51" s="1"/>
  <c r="C4" i="51"/>
  <c r="E41" i="41" l="1"/>
  <c r="M61" i="51"/>
  <c r="E4" i="51" s="1"/>
</calcChain>
</file>

<file path=xl/sharedStrings.xml><?xml version="1.0" encoding="utf-8"?>
<sst xmlns="http://schemas.openxmlformats.org/spreadsheetml/2006/main" count="374" uniqueCount="223">
  <si>
    <t>Project</t>
  </si>
  <si>
    <t>Capital Costs</t>
  </si>
  <si>
    <t>Project Costs (NPV)</t>
  </si>
  <si>
    <t>Total Net Benefit</t>
  </si>
  <si>
    <t>Total Net Benefit (NPV)</t>
  </si>
  <si>
    <t>Benefit-Cost Ratio</t>
  </si>
  <si>
    <t>Direct User Benefits</t>
  </si>
  <si>
    <t>Benefit/Cost Ratio</t>
  </si>
  <si>
    <t>Internal Rate of Return</t>
  </si>
  <si>
    <t>Net Present Value</t>
  </si>
  <si>
    <t>Discount Rate</t>
  </si>
  <si>
    <t>Net Direct Benefits - 7% Discount</t>
  </si>
  <si>
    <t>Analysis Year</t>
  </si>
  <si>
    <t>Economic Competitiveness</t>
  </si>
  <si>
    <t>Environmental</t>
  </si>
  <si>
    <t>Safety</t>
  </si>
  <si>
    <t>Total</t>
  </si>
  <si>
    <t>7% Discount</t>
  </si>
  <si>
    <t>3% Discount</t>
  </si>
  <si>
    <t>Total Discount</t>
  </si>
  <si>
    <t>Total Costs</t>
  </si>
  <si>
    <t>Total Benefits</t>
  </si>
  <si>
    <t>Net Direct Benefits</t>
  </si>
  <si>
    <t>Cumulative</t>
  </si>
  <si>
    <t>Operation and Maintenance Costs</t>
  </si>
  <si>
    <t>Travel Time Savings</t>
  </si>
  <si>
    <t>Operational Savings</t>
  </si>
  <si>
    <t>Reduced Pollutants (Nox &amp; PM2.5)</t>
  </si>
  <si>
    <t>Reduced Pollutants (CO2)</t>
  </si>
  <si>
    <t>Crash Savings</t>
  </si>
  <si>
    <t>Total Cost</t>
  </si>
  <si>
    <t>Net Present Value (NPV)</t>
  </si>
  <si>
    <t>Inflation Adjustment</t>
  </si>
  <si>
    <t>Base Year</t>
  </si>
  <si>
    <t>Multiplier</t>
  </si>
  <si>
    <t>Table A-7, 2022 BCA Guidance</t>
  </si>
  <si>
    <t>Capital and Operating Cost Calculations</t>
  </si>
  <si>
    <t>Total Project Costs (2020$)</t>
  </si>
  <si>
    <t>Project Costs</t>
  </si>
  <si>
    <t>Year</t>
  </si>
  <si>
    <t>Percent Project Cost Paid</t>
  </si>
  <si>
    <t>Project Cost</t>
  </si>
  <si>
    <t>Project Cost (NPV)</t>
  </si>
  <si>
    <t>Project Life (Years)</t>
  </si>
  <si>
    <t>Maintenance Cost Calculations</t>
  </si>
  <si>
    <t>Existing O&amp;M</t>
  </si>
  <si>
    <t>Future O&amp;M</t>
  </si>
  <si>
    <t>Savings</t>
  </si>
  <si>
    <t>Source: ODOT</t>
  </si>
  <si>
    <t>Safety Crash Savings - Summary</t>
  </si>
  <si>
    <t>Potential Cost Savings</t>
  </si>
  <si>
    <t>Potential Cost Savings (NPV)</t>
  </si>
  <si>
    <t>Safety Crash Savings</t>
  </si>
  <si>
    <t>No Build</t>
  </si>
  <si>
    <t>Build</t>
  </si>
  <si>
    <t>ADT</t>
  </si>
  <si>
    <t>No Build Scenario</t>
  </si>
  <si>
    <t>Build Scenario</t>
  </si>
  <si>
    <t>Est. # of Collisions</t>
  </si>
  <si>
    <t>Est. # of Vehicles</t>
  </si>
  <si>
    <t>PDO (Vehicle)</t>
  </si>
  <si>
    <t>Severity Per Collision</t>
  </si>
  <si>
    <t>PDO</t>
  </si>
  <si>
    <t>Pos. Injury</t>
  </si>
  <si>
    <t>Non-Incap. Injury</t>
  </si>
  <si>
    <t>Incap. Injury</t>
  </si>
  <si>
    <t>Fatality</t>
  </si>
  <si>
    <t>All Crashes within project extents</t>
  </si>
  <si>
    <t>Collision by Severity</t>
  </si>
  <si>
    <t>Total (5 Years)</t>
  </si>
  <si>
    <t>Collisions</t>
  </si>
  <si>
    <t>Persons</t>
  </si>
  <si>
    <t>Incapacitating Injury</t>
  </si>
  <si>
    <t>Non-Incapacitating Injury</t>
  </si>
  <si>
    <t>Possible Injury</t>
  </si>
  <si>
    <t>Property Damage</t>
  </si>
  <si>
    <t>Source: ODOT US 412 Will Rogers to Cherokee TPK Crash Data 2016-2020</t>
  </si>
  <si>
    <t>Property Damage Only Crashes</t>
  </si>
  <si>
    <t>Unit Value ($2020)</t>
  </si>
  <si>
    <t>Per Vehicle</t>
  </si>
  <si>
    <t>Source: BCA Guidance 2022</t>
  </si>
  <si>
    <t>Value of Reduced Fatalities and Injuries</t>
  </si>
  <si>
    <t>KABCO Level</t>
  </si>
  <si>
    <t>Monetized Value</t>
  </si>
  <si>
    <t>O - No Injury</t>
  </si>
  <si>
    <t>C - Possible Injury</t>
  </si>
  <si>
    <t>B - Non-incapacitating</t>
  </si>
  <si>
    <t>A - Incapacitating</t>
  </si>
  <si>
    <t>K - Killed</t>
  </si>
  <si>
    <t>U - Injured (Severity Unknown)</t>
  </si>
  <si>
    <t># of Accidents Reported (Unknown if Injured)</t>
  </si>
  <si>
    <t>Average Vehicle Occupancy</t>
  </si>
  <si>
    <t>Vehicle Type</t>
  </si>
  <si>
    <t>Occupancy</t>
  </si>
  <si>
    <t>Passenger Vehicles</t>
  </si>
  <si>
    <t>Trucks</t>
  </si>
  <si>
    <t>Average Vehicles per Crash</t>
  </si>
  <si>
    <t>Collision Rate per Average Daily Traffic</t>
  </si>
  <si>
    <t>Existing (No Build Rate)</t>
  </si>
  <si>
    <t>Growth Rate and 2022 ADT Calculation</t>
  </si>
  <si>
    <t>Growth 2022-2055</t>
  </si>
  <si>
    <t>Economic Competitiveness - Summary</t>
  </si>
  <si>
    <t>Scenario</t>
  </si>
  <si>
    <t>Benefit</t>
  </si>
  <si>
    <t>Benefit (NPV)</t>
  </si>
  <si>
    <t>No-Build</t>
  </si>
  <si>
    <t>Reduction in VHT</t>
  </si>
  <si>
    <t>VHT Benefit</t>
  </si>
  <si>
    <t>VHT Benefit (NPV)</t>
  </si>
  <si>
    <t>Traffic Volumes</t>
  </si>
  <si>
    <t>Vehicle Hours Traveled</t>
  </si>
  <si>
    <t>Total Delay (Hours)</t>
  </si>
  <si>
    <t>Reduction in VMT</t>
  </si>
  <si>
    <t>VMT Benefit</t>
  </si>
  <si>
    <t>VMT Benefit (NPV)</t>
  </si>
  <si>
    <t>Vehicle Miles Traveled</t>
  </si>
  <si>
    <t>Weighted Average</t>
  </si>
  <si>
    <t>Truck</t>
  </si>
  <si>
    <t>No Build ADT</t>
  </si>
  <si>
    <t>Build ADT</t>
  </si>
  <si>
    <t>VHT</t>
  </si>
  <si>
    <t>VMT</t>
  </si>
  <si>
    <t>Truck VHT</t>
  </si>
  <si>
    <t>Passenger Vehicle VHT</t>
  </si>
  <si>
    <t>Truck VMT</t>
  </si>
  <si>
    <t>Passenger Vehicle VMT</t>
  </si>
  <si>
    <t>Existing ADT of each roadway segment (2022)</t>
  </si>
  <si>
    <t xml:space="preserve">Segment </t>
  </si>
  <si>
    <t>Segment (2022) - Existing</t>
  </si>
  <si>
    <t>Two-Axle AADT</t>
  </si>
  <si>
    <t>Truck AADT</t>
  </si>
  <si>
    <t>Total AADT</t>
  </si>
  <si>
    <t>Segment Distance (Miles)</t>
  </si>
  <si>
    <t>Segment Miles/Total Miles</t>
  </si>
  <si>
    <t>Segment AADT</t>
  </si>
  <si>
    <t>Source: ODOT, Google Maps</t>
  </si>
  <si>
    <t>Growth Rates &amp; Truck Data</t>
  </si>
  <si>
    <t>Truck % - No Build</t>
  </si>
  <si>
    <t>Truck % - Build</t>
  </si>
  <si>
    <t>Corridor Information</t>
  </si>
  <si>
    <t>Corridor Length (Mi.)</t>
  </si>
  <si>
    <t>Speed Limit (MPH)</t>
  </si>
  <si>
    <t>Travel Time (Hr.)</t>
  </si>
  <si>
    <t>Travel Time Savings and Operating Costs</t>
  </si>
  <si>
    <t xml:space="preserve">Bus Hourly TT Savings </t>
  </si>
  <si>
    <t>General  Hourly TT Savings</t>
  </si>
  <si>
    <t>Commercial Truck Operating Cost</t>
  </si>
  <si>
    <t>Light Duty Vehicle Operating Cost</t>
  </si>
  <si>
    <t>Source: USDOT BCA Guidance 2022 Revised</t>
  </si>
  <si>
    <t>Equation 7</t>
  </si>
  <si>
    <t>Environmental Cost Savings - Summary</t>
  </si>
  <si>
    <t>Total Reduced Damage of Pollutant Emissions</t>
  </si>
  <si>
    <t>Total Reduced Damage of Pollutant Emissions (NPV)</t>
  </si>
  <si>
    <t>Environmental Protection Cost Savings</t>
  </si>
  <si>
    <t>VMT Savings</t>
  </si>
  <si>
    <t>Pollutant Emissions Calculations (metric tons)</t>
  </si>
  <si>
    <t>Benefit of Reduced Damage</t>
  </si>
  <si>
    <t>Nitrogen Oxides</t>
  </si>
  <si>
    <t>Particulate Matter (2.5)</t>
  </si>
  <si>
    <t>Carbon Dioxide</t>
  </si>
  <si>
    <t>Nox &amp; PM 2.5</t>
  </si>
  <si>
    <t>CO2</t>
  </si>
  <si>
    <t>Environmental Benefit</t>
  </si>
  <si>
    <t>Environmental Benefit (NPV)</t>
  </si>
  <si>
    <t>Damage Costs for Pollutant Emissions</t>
  </si>
  <si>
    <t>$/Metric Ton</t>
  </si>
  <si>
    <t>Nox</t>
  </si>
  <si>
    <t>SO2</t>
  </si>
  <si>
    <t>PM2.5</t>
  </si>
  <si>
    <t>Source: BCA Guildelines 2022 Revised</t>
  </si>
  <si>
    <t>Pollution Emission by Mode (g/Mile)</t>
  </si>
  <si>
    <t>Mode</t>
  </si>
  <si>
    <t>CO2e</t>
  </si>
  <si>
    <t>Automobile</t>
  </si>
  <si>
    <t>Trucks - Diesel</t>
  </si>
  <si>
    <t>Source: https://www.bts.gov/content/estimated-national-average-vehicle-emissions-rates-vehicle-vehicle-type-using-gasoline-and, cell V6,7,8 &amp; cell V49,50,51</t>
  </si>
  <si>
    <t>Maintenance Costs</t>
  </si>
  <si>
    <t>20 Year O&amp;M Costs</t>
  </si>
  <si>
    <t>Savings (NPV)</t>
  </si>
  <si>
    <t>O&amp;M Savings - Summary</t>
  </si>
  <si>
    <t>Segment (2052) - FNB</t>
  </si>
  <si>
    <t>I-44 to N 305th Ave</t>
  </si>
  <si>
    <t>N 305th Ave to Hwy 88</t>
  </si>
  <si>
    <t>S 4240 Rd to US 69</t>
  </si>
  <si>
    <t>Average Vehicle/Crash</t>
  </si>
  <si>
    <t>Mayes County</t>
  </si>
  <si>
    <t>Rogers County</t>
  </si>
  <si>
    <t>CAGR - 2022-2052</t>
  </si>
  <si>
    <t>Note: Segments based on where volumes were provided, not the full length of the corridor</t>
  </si>
  <si>
    <t>Hwy 88 to S 4240 Rd</t>
  </si>
  <si>
    <t>Source: Google Maps.</t>
  </si>
  <si>
    <t>ADT Build</t>
  </si>
  <si>
    <t>20 Year BENEFITS</t>
  </si>
  <si>
    <t>20 Year COSTS</t>
  </si>
  <si>
    <t>Note: 3% CO2 Discount</t>
  </si>
  <si>
    <t>CMF Table</t>
  </si>
  <si>
    <t>Name</t>
  </si>
  <si>
    <t>Number</t>
  </si>
  <si>
    <t>CMF</t>
  </si>
  <si>
    <t>Applicability</t>
  </si>
  <si>
    <t xml:space="preserve">Type </t>
  </si>
  <si>
    <t>Severity</t>
  </si>
  <si>
    <t>All</t>
  </si>
  <si>
    <t>Source: CMF Clearinghouse</t>
  </si>
  <si>
    <t>Raise posted speed by 5 mph</t>
  </si>
  <si>
    <t>Convert at-grade intersection into grade-separated interchange</t>
  </si>
  <si>
    <t>4 LANE DIVIDED RDWYS-PARTIAL ACCESS CNTRL</t>
  </si>
  <si>
    <t>4 LANE DIVIDED RDWYS-FULL ACCESS CNTRL</t>
  </si>
  <si>
    <t>Highway Classification</t>
  </si>
  <si>
    <t>Perent change</t>
  </si>
  <si>
    <t>Statewide Average Crash Rate Comparison</t>
  </si>
  <si>
    <t>Fatal</t>
  </si>
  <si>
    <t>Source: ODOT 2018-2020 Statewide Collision Rate Study</t>
  </si>
  <si>
    <t>Injury</t>
  </si>
  <si>
    <t>Build Crash Reductions</t>
  </si>
  <si>
    <t>Overall</t>
  </si>
  <si>
    <t>Option 1 using Statewide Average Comparision</t>
  </si>
  <si>
    <t>Option 2 using CMFs</t>
  </si>
  <si>
    <t xml:space="preserve"> https://oklahoma.gov/odot/search.html?q=posted+speed+limit</t>
  </si>
  <si>
    <t>CMF Speed Limit Determination:</t>
  </si>
  <si>
    <t>Residual Value (2048$)</t>
  </si>
  <si>
    <t>Source: https://ohso.ok.gov/sites/g/files/gmc751/f/2020_s3_drivers.pdf - for total drivers, https://ohso.ok.gov/sites/g/files/gmc751/f/2020_s2_crashes.pdf - for total crashes</t>
  </si>
  <si>
    <t>2022 BCA SUMMARY - U.S. 412 IMPROVEMENTS TO INTERSTATE STANDARDS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</si>
</sst>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000"/>
    <numFmt numFmtId="165" formatCode="_(&quot;$&quot;* #,##0_);_(&quot;$&quot;* \(#,##0\);_(&quot;$&quot;* &quot;-&quot;??_);_(@_)"/>
    <numFmt numFmtId="166" formatCode="0.00000"/>
    <numFmt numFmtId="167" formatCode="0.000"/>
    <numFmt numFmtId="168" formatCode="0.0%"/>
    <numFmt numFmtId="169" formatCode="&quot;$&quot;#,##0"/>
    <numFmt numFmtId="170" formatCode="_(* #,##0_);_(* \(#,##0\);_(* &quot;-&quot;??_);_(@_)"/>
    <numFmt numFmtId="171" formatCode="&quot;$&quot;#,##0.00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color rgb="FFFF0000"/>
      <name val="Arial Narrow"/>
      <family val="2"/>
    </font>
    <font>
      <b/>
      <sz val="11"/>
      <color theme="0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sz val="16"/>
      <name val="Arial Narrow"/>
      <family val="2"/>
    </font>
    <font>
      <i/>
      <sz val="10"/>
      <name val="Arial Narrow"/>
      <family val="2"/>
    </font>
    <font>
      <b/>
      <sz val="14"/>
      <name val="Arial Narrow"/>
      <family val="2"/>
    </font>
    <font>
      <b/>
      <sz val="12"/>
      <color theme="0"/>
      <name val="Arial Narrow"/>
      <family val="2"/>
    </font>
    <font>
      <b/>
      <sz val="16"/>
      <name val="Arial Narrow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name val="Arial Narrow"/>
      <family val="2"/>
    </font>
    <font>
      <b/>
      <sz val="10"/>
      <color theme="6"/>
      <name val="Arial Narrow"/>
      <family val="2"/>
    </font>
    <font>
      <sz val="14"/>
      <name val="Arial Narrow"/>
      <family val="2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rgb="FF0F3141"/>
      <name val="Lato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F5E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</borders>
  <cellStyleXfs count="36">
    <xf numFmtId="0" fontId="0" fillId="0" borderId="0"/>
    <xf numFmtId="0" fontId="10" fillId="0" borderId="0" applyNumberFormat="0" applyAlignment="0"/>
    <xf numFmtId="44" fontId="9" fillId="0" borderId="0" applyFont="0" applyFill="0" applyBorder="0" applyAlignment="0" applyProtection="0"/>
    <xf numFmtId="38" fontId="10" fillId="2" borderId="0" applyNumberFormat="0" applyBorder="0" applyAlignment="0" applyProtection="0"/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10" fontId="10" fillId="3" borderId="3" applyNumberFormat="0" applyBorder="0" applyAlignment="0" applyProtection="0"/>
    <xf numFmtId="164" fontId="9" fillId="0" borderId="0"/>
    <xf numFmtId="0" fontId="9" fillId="0" borderId="0"/>
    <xf numFmtId="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3">
    <xf numFmtId="0" fontId="0" fillId="0" borderId="0" xfId="0"/>
    <xf numFmtId="0" fontId="16" fillId="0" borderId="0" xfId="0" applyFont="1"/>
    <xf numFmtId="1" fontId="16" fillId="0" borderId="17" xfId="0" applyNumberFormat="1" applyFont="1" applyBorder="1" applyAlignment="1">
      <alignment horizontal="center"/>
    </xf>
    <xf numFmtId="1" fontId="16" fillId="0" borderId="17" xfId="0" applyNumberFormat="1" applyFont="1" applyBorder="1" applyAlignment="1">
      <alignment horizontal="center" vertical="center"/>
    </xf>
    <xf numFmtId="169" fontId="16" fillId="0" borderId="17" xfId="0" applyNumberFormat="1" applyFont="1" applyBorder="1"/>
    <xf numFmtId="0" fontId="18" fillId="7" borderId="6" xfId="0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 wrapText="1"/>
    </xf>
    <xf numFmtId="0" fontId="21" fillId="7" borderId="6" xfId="8" applyFont="1" applyFill="1" applyBorder="1" applyAlignment="1">
      <alignment horizontal="center" vertical="center"/>
    </xf>
    <xf numFmtId="5" fontId="22" fillId="0" borderId="5" xfId="2" applyNumberFormat="1" applyFont="1" applyFill="1" applyBorder="1" applyAlignment="1">
      <alignment horizontal="center" vertical="center"/>
    </xf>
    <xf numFmtId="2" fontId="22" fillId="0" borderId="5" xfId="8" applyNumberFormat="1" applyFont="1" applyBorder="1" applyAlignment="1">
      <alignment horizontal="center" vertical="center"/>
    </xf>
    <xf numFmtId="0" fontId="18" fillId="7" borderId="3" xfId="0" applyFont="1" applyFill="1" applyBorder="1" applyAlignment="1">
      <alignment horizontal="center" wrapText="1"/>
    </xf>
    <xf numFmtId="3" fontId="16" fillId="0" borderId="17" xfId="0" applyNumberFormat="1" applyFont="1" applyBorder="1" applyAlignment="1">
      <alignment horizontal="center"/>
    </xf>
    <xf numFmtId="3" fontId="16" fillId="5" borderId="17" xfId="0" applyNumberFormat="1" applyFont="1" applyFill="1" applyBorder="1" applyAlignment="1">
      <alignment horizontal="center"/>
    </xf>
    <xf numFmtId="0" fontId="16" fillId="0" borderId="13" xfId="0" applyFont="1" applyBorder="1" applyAlignment="1">
      <alignment horizontal="center"/>
    </xf>
    <xf numFmtId="9" fontId="16" fillId="0" borderId="13" xfId="9" applyFon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9" fontId="16" fillId="0" borderId="14" xfId="9" applyFont="1" applyFill="1" applyBorder="1" applyAlignment="1">
      <alignment horizontal="center"/>
    </xf>
    <xf numFmtId="0" fontId="16" fillId="0" borderId="13" xfId="0" applyFont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left"/>
    </xf>
    <xf numFmtId="0" fontId="18" fillId="7" borderId="3" xfId="0" applyFont="1" applyFill="1" applyBorder="1" applyAlignment="1">
      <alignment horizontal="left" vertical="center" wrapText="1"/>
    </xf>
    <xf numFmtId="3" fontId="16" fillId="4" borderId="3" xfId="0" applyNumberFormat="1" applyFont="1" applyFill="1" applyBorder="1" applyAlignment="1">
      <alignment horizontal="right"/>
    </xf>
    <xf numFmtId="10" fontId="16" fillId="5" borderId="3" xfId="9" applyNumberFormat="1" applyFont="1" applyFill="1" applyBorder="1" applyAlignment="1">
      <alignment horizontal="center"/>
    </xf>
    <xf numFmtId="166" fontId="16" fillId="5" borderId="13" xfId="0" applyNumberFormat="1" applyFont="1" applyFill="1" applyBorder="1" applyAlignment="1">
      <alignment horizontal="center" wrapText="1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/>
    </xf>
    <xf numFmtId="1" fontId="16" fillId="5" borderId="17" xfId="0" applyNumberFormat="1" applyFont="1" applyFill="1" applyBorder="1" applyAlignment="1">
      <alignment horizontal="center"/>
    </xf>
    <xf numFmtId="169" fontId="16" fillId="5" borderId="17" xfId="0" applyNumberFormat="1" applyFont="1" applyFill="1" applyBorder="1"/>
    <xf numFmtId="1" fontId="16" fillId="5" borderId="17" xfId="0" applyNumberFormat="1" applyFont="1" applyFill="1" applyBorder="1" applyAlignment="1">
      <alignment horizontal="center" vertical="center"/>
    </xf>
    <xf numFmtId="9" fontId="16" fillId="0" borderId="17" xfId="9" applyFont="1" applyFill="1" applyBorder="1" applyAlignment="1">
      <alignment horizontal="center"/>
    </xf>
    <xf numFmtId="9" fontId="16" fillId="0" borderId="15" xfId="9" applyFont="1" applyFill="1" applyBorder="1" applyAlignment="1">
      <alignment horizontal="center"/>
    </xf>
    <xf numFmtId="5" fontId="16" fillId="5" borderId="3" xfId="2" applyNumberFormat="1" applyFont="1" applyFill="1" applyBorder="1" applyAlignment="1">
      <alignment horizontal="right"/>
    </xf>
    <xf numFmtId="5" fontId="16" fillId="4" borderId="3" xfId="2" applyNumberFormat="1" applyFont="1" applyFill="1" applyBorder="1" applyAlignment="1">
      <alignment horizontal="right"/>
    </xf>
    <xf numFmtId="0" fontId="16" fillId="4" borderId="3" xfId="2" applyNumberFormat="1" applyFont="1" applyFill="1" applyBorder="1" applyAlignment="1">
      <alignment horizontal="right"/>
    </xf>
    <xf numFmtId="9" fontId="17" fillId="0" borderId="5" xfId="0" applyNumberFormat="1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9" fontId="16" fillId="0" borderId="3" xfId="9" applyFont="1" applyFill="1" applyBorder="1"/>
    <xf numFmtId="169" fontId="16" fillId="4" borderId="3" xfId="2" applyNumberFormat="1" applyFont="1" applyFill="1" applyBorder="1"/>
    <xf numFmtId="169" fontId="17" fillId="5" borderId="5" xfId="0" applyNumberFormat="1" applyFont="1" applyFill="1" applyBorder="1"/>
    <xf numFmtId="169" fontId="16" fillId="4" borderId="13" xfId="2" applyNumberFormat="1" applyFont="1" applyFill="1" applyBorder="1" applyAlignment="1">
      <alignment horizontal="right"/>
    </xf>
    <xf numFmtId="169" fontId="16" fillId="4" borderId="15" xfId="2" applyNumberFormat="1" applyFont="1" applyFill="1" applyBorder="1" applyAlignment="1">
      <alignment horizontal="right"/>
    </xf>
    <xf numFmtId="169" fontId="16" fillId="4" borderId="15" xfId="2" applyNumberFormat="1" applyFont="1" applyFill="1" applyBorder="1" applyAlignment="1">
      <alignment horizontal="right" vertical="center"/>
    </xf>
    <xf numFmtId="169" fontId="16" fillId="4" borderId="14" xfId="2" applyNumberFormat="1" applyFont="1" applyFill="1" applyBorder="1" applyAlignment="1">
      <alignment horizontal="right" vertical="center"/>
    </xf>
    <xf numFmtId="169" fontId="17" fillId="0" borderId="5" xfId="0" applyNumberFormat="1" applyFont="1" applyBorder="1"/>
    <xf numFmtId="3" fontId="16" fillId="5" borderId="28" xfId="0" applyNumberFormat="1" applyFont="1" applyFill="1" applyBorder="1" applyAlignment="1">
      <alignment horizontal="center"/>
    </xf>
    <xf numFmtId="169" fontId="16" fillId="5" borderId="28" xfId="0" applyNumberFormat="1" applyFont="1" applyFill="1" applyBorder="1"/>
    <xf numFmtId="169" fontId="16" fillId="0" borderId="28" xfId="0" applyNumberFormat="1" applyFont="1" applyBorder="1"/>
    <xf numFmtId="0" fontId="16" fillId="0" borderId="0" xfId="12" applyFont="1"/>
    <xf numFmtId="0" fontId="18" fillId="7" borderId="6" xfId="12" applyFont="1" applyFill="1" applyBorder="1" applyAlignment="1">
      <alignment horizontal="center" vertical="center" wrapText="1"/>
    </xf>
    <xf numFmtId="0" fontId="17" fillId="8" borderId="17" xfId="12" applyFont="1" applyFill="1" applyBorder="1" applyAlignment="1">
      <alignment horizontal="center"/>
    </xf>
    <xf numFmtId="3" fontId="16" fillId="5" borderId="17" xfId="12" applyNumberFormat="1" applyFont="1" applyFill="1" applyBorder="1" applyAlignment="1">
      <alignment horizontal="center"/>
    </xf>
    <xf numFmtId="0" fontId="17" fillId="8" borderId="15" xfId="12" applyFont="1" applyFill="1" applyBorder="1" applyAlignment="1">
      <alignment horizontal="center"/>
    </xf>
    <xf numFmtId="3" fontId="16" fillId="5" borderId="24" xfId="12" applyNumberFormat="1" applyFont="1" applyFill="1" applyBorder="1" applyAlignment="1">
      <alignment horizontal="center"/>
    </xf>
    <xf numFmtId="0" fontId="17" fillId="8" borderId="28" xfId="12" applyFont="1" applyFill="1" applyBorder="1" applyAlignment="1">
      <alignment horizontal="center"/>
    </xf>
    <xf numFmtId="3" fontId="16" fillId="5" borderId="28" xfId="12" applyNumberFormat="1" applyFont="1" applyFill="1" applyBorder="1" applyAlignment="1">
      <alignment horizontal="center"/>
    </xf>
    <xf numFmtId="0" fontId="16" fillId="0" borderId="17" xfId="0" applyFont="1" applyBorder="1" applyAlignment="1">
      <alignment horizontal="center"/>
    </xf>
    <xf numFmtId="10" fontId="25" fillId="6" borderId="3" xfId="12" applyNumberFormat="1" applyFont="1" applyFill="1" applyBorder="1" applyAlignment="1">
      <alignment horizontal="center"/>
    </xf>
    <xf numFmtId="6" fontId="25" fillId="6" borderId="3" xfId="12" applyNumberFormat="1" applyFont="1" applyFill="1" applyBorder="1" applyAlignment="1">
      <alignment horizontal="center"/>
    </xf>
    <xf numFmtId="40" fontId="30" fillId="6" borderId="3" xfId="12" applyNumberFormat="1" applyFont="1" applyFill="1" applyBorder="1" applyAlignment="1">
      <alignment horizontal="center"/>
    </xf>
    <xf numFmtId="0" fontId="17" fillId="0" borderId="10" xfId="0" applyFont="1" applyBorder="1" applyAlignment="1">
      <alignment horizontal="right"/>
    </xf>
    <xf numFmtId="0" fontId="18" fillId="7" borderId="6" xfId="0" applyFont="1" applyFill="1" applyBorder="1" applyAlignment="1">
      <alignment horizontal="center" wrapText="1"/>
    </xf>
    <xf numFmtId="3" fontId="16" fillId="5" borderId="15" xfId="12" applyNumberFormat="1" applyFont="1" applyFill="1" applyBorder="1" applyAlignment="1">
      <alignment horizontal="center"/>
    </xf>
    <xf numFmtId="0" fontId="18" fillId="7" borderId="3" xfId="12" applyFont="1" applyFill="1" applyBorder="1" applyAlignment="1">
      <alignment horizontal="center" vertical="center" wrapText="1"/>
    </xf>
    <xf numFmtId="0" fontId="0" fillId="9" borderId="0" xfId="0" applyFill="1"/>
    <xf numFmtId="0" fontId="17" fillId="8" borderId="15" xfId="0" applyFont="1" applyFill="1" applyBorder="1" applyAlignment="1">
      <alignment horizontal="center"/>
    </xf>
    <xf numFmtId="3" fontId="16" fillId="9" borderId="17" xfId="0" applyNumberFormat="1" applyFont="1" applyFill="1" applyBorder="1" applyAlignment="1">
      <alignment horizontal="center"/>
    </xf>
    <xf numFmtId="0" fontId="17" fillId="8" borderId="13" xfId="0" applyFont="1" applyFill="1" applyBorder="1"/>
    <xf numFmtId="0" fontId="17" fillId="8" borderId="14" xfId="0" applyFont="1" applyFill="1" applyBorder="1"/>
    <xf numFmtId="0" fontId="18" fillId="7" borderId="5" xfId="0" applyFont="1" applyFill="1" applyBorder="1" applyAlignment="1">
      <alignment horizontal="center" wrapText="1"/>
    </xf>
    <xf numFmtId="0" fontId="0" fillId="8" borderId="3" xfId="0" applyFill="1" applyBorder="1" applyAlignment="1">
      <alignment horizontal="center"/>
    </xf>
    <xf numFmtId="0" fontId="31" fillId="9" borderId="0" xfId="27" applyFill="1"/>
    <xf numFmtId="0" fontId="0" fillId="9" borderId="0" xfId="0" applyFill="1" applyAlignment="1">
      <alignment wrapText="1"/>
    </xf>
    <xf numFmtId="0" fontId="0" fillId="9" borderId="0" xfId="0" applyFill="1" applyAlignment="1">
      <alignment vertical="top" wrapText="1"/>
    </xf>
    <xf numFmtId="0" fontId="16" fillId="9" borderId="0" xfId="0" applyFont="1" applyFill="1" applyAlignment="1">
      <alignment horizontal="left" wrapText="1"/>
    </xf>
    <xf numFmtId="0" fontId="17" fillId="9" borderId="0" xfId="0" applyFont="1" applyFill="1" applyAlignment="1">
      <alignment horizontal="left" wrapText="1"/>
    </xf>
    <xf numFmtId="0" fontId="16" fillId="9" borderId="0" xfId="0" applyFont="1" applyFill="1"/>
    <xf numFmtId="3" fontId="16" fillId="9" borderId="0" xfId="0" applyNumberFormat="1" applyFont="1" applyFill="1"/>
    <xf numFmtId="43" fontId="16" fillId="9" borderId="0" xfId="0" applyNumberFormat="1" applyFont="1" applyFill="1"/>
    <xf numFmtId="0" fontId="17" fillId="9" borderId="0" xfId="0" applyFont="1" applyFill="1" applyAlignment="1">
      <alignment horizontal="left"/>
    </xf>
    <xf numFmtId="0" fontId="9" fillId="9" borderId="0" xfId="0" applyFont="1" applyFill="1"/>
    <xf numFmtId="0" fontId="16" fillId="9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 wrapText="1"/>
    </xf>
    <xf numFmtId="0" fontId="16" fillId="9" borderId="0" xfId="0" applyFont="1" applyFill="1" applyAlignment="1">
      <alignment vertical="center" wrapText="1"/>
    </xf>
    <xf numFmtId="167" fontId="16" fillId="9" borderId="0" xfId="0" applyNumberFormat="1" applyFont="1" applyFill="1"/>
    <xf numFmtId="0" fontId="19" fillId="9" borderId="0" xfId="0" applyFont="1" applyFill="1"/>
    <xf numFmtId="0" fontId="17" fillId="9" borderId="0" xfId="0" applyFont="1" applyFill="1"/>
    <xf numFmtId="0" fontId="11" fillId="9" borderId="0" xfId="0" applyFont="1" applyFill="1" applyAlignment="1">
      <alignment horizontal="center"/>
    </xf>
    <xf numFmtId="0" fontId="11" fillId="9" borderId="0" xfId="0" applyFont="1" applyFill="1"/>
    <xf numFmtId="0" fontId="18" fillId="9" borderId="0" xfId="0" applyFont="1" applyFill="1"/>
    <xf numFmtId="0" fontId="9" fillId="9" borderId="0" xfId="0" applyFont="1" applyFill="1" applyAlignment="1">
      <alignment horizontal="center"/>
    </xf>
    <xf numFmtId="0" fontId="9" fillId="9" borderId="0" xfId="0" quotePrefix="1" applyFont="1" applyFill="1" applyAlignment="1">
      <alignment horizontal="center" vertical="center" wrapText="1"/>
    </xf>
    <xf numFmtId="0" fontId="9" fillId="9" borderId="0" xfId="0" applyFont="1" applyFill="1" applyAlignment="1">
      <alignment horizontal="center" vertical="center" wrapText="1"/>
    </xf>
    <xf numFmtId="168" fontId="9" fillId="9" borderId="0" xfId="0" applyNumberFormat="1" applyFont="1" applyFill="1" applyAlignment="1">
      <alignment horizontal="center" vertical="center" wrapText="1"/>
    </xf>
    <xf numFmtId="10" fontId="9" fillId="9" borderId="0" xfId="0" applyNumberFormat="1" applyFont="1" applyFill="1" applyAlignment="1">
      <alignment horizontal="center" vertical="center"/>
    </xf>
    <xf numFmtId="0" fontId="9" fillId="9" borderId="0" xfId="0" applyFont="1" applyFill="1" applyAlignment="1">
      <alignment vertical="center"/>
    </xf>
    <xf numFmtId="0" fontId="0" fillId="9" borderId="0" xfId="0" applyFill="1" applyAlignment="1">
      <alignment horizontal="center" vertical="center"/>
    </xf>
    <xf numFmtId="10" fontId="0" fillId="9" borderId="0" xfId="0" applyNumberFormat="1" applyFill="1" applyAlignment="1">
      <alignment horizontal="center"/>
    </xf>
    <xf numFmtId="0" fontId="16" fillId="9" borderId="0" xfId="0" applyFont="1" applyFill="1" applyAlignment="1">
      <alignment vertical="center"/>
    </xf>
    <xf numFmtId="9" fontId="16" fillId="9" borderId="0" xfId="9" applyFont="1" applyFill="1" applyBorder="1" applyAlignment="1">
      <alignment horizontal="center"/>
    </xf>
    <xf numFmtId="0" fontId="0" fillId="9" borderId="0" xfId="0" applyFill="1" applyAlignment="1">
      <alignment horizontal="right" vertical="center"/>
    </xf>
    <xf numFmtId="0" fontId="16" fillId="9" borderId="0" xfId="0" applyFont="1" applyFill="1" applyAlignment="1">
      <alignment horizontal="center"/>
    </xf>
    <xf numFmtId="0" fontId="16" fillId="9" borderId="20" xfId="0" applyFont="1" applyFill="1" applyBorder="1" applyAlignment="1">
      <alignment vertical="center"/>
    </xf>
    <xf numFmtId="0" fontId="20" fillId="9" borderId="0" xfId="0" applyFont="1" applyFill="1"/>
    <xf numFmtId="0" fontId="20" fillId="9" borderId="0" xfId="0" applyFont="1" applyFill="1" applyAlignment="1">
      <alignment horizontal="center"/>
    </xf>
    <xf numFmtId="0" fontId="26" fillId="9" borderId="0" xfId="0" applyFont="1" applyFill="1"/>
    <xf numFmtId="0" fontId="23" fillId="9" borderId="0" xfId="0" applyFont="1" applyFill="1"/>
    <xf numFmtId="0" fontId="16" fillId="9" borderId="0" xfId="0" quotePrefix="1" applyFont="1" applyFill="1" applyAlignment="1">
      <alignment horizontal="center" vertical="center" wrapText="1"/>
    </xf>
    <xf numFmtId="0" fontId="16" fillId="9" borderId="0" xfId="12" applyFont="1" applyFill="1"/>
    <xf numFmtId="3" fontId="16" fillId="9" borderId="0" xfId="12" applyNumberFormat="1" applyFont="1" applyFill="1" applyAlignment="1">
      <alignment horizontal="center"/>
    </xf>
    <xf numFmtId="0" fontId="17" fillId="9" borderId="0" xfId="12" applyFont="1" applyFill="1" applyAlignment="1">
      <alignment horizontal="center"/>
    </xf>
    <xf numFmtId="1" fontId="16" fillId="9" borderId="0" xfId="12" applyNumberFormat="1" applyFont="1" applyFill="1"/>
    <xf numFmtId="0" fontId="20" fillId="9" borderId="0" xfId="12" applyFont="1" applyFill="1" applyAlignment="1">
      <alignment horizontal="center"/>
    </xf>
    <xf numFmtId="0" fontId="16" fillId="9" borderId="0" xfId="12" quotePrefix="1" applyFont="1" applyFill="1"/>
    <xf numFmtId="0" fontId="18" fillId="7" borderId="3" xfId="12" applyFont="1" applyFill="1" applyBorder="1" applyAlignment="1">
      <alignment horizontal="center" wrapText="1"/>
    </xf>
    <xf numFmtId="14" fontId="15" fillId="9" borderId="0" xfId="0" applyNumberFormat="1" applyFont="1" applyFill="1"/>
    <xf numFmtId="0" fontId="23" fillId="9" borderId="0" xfId="12" applyFont="1" applyFill="1"/>
    <xf numFmtId="0" fontId="18" fillId="9" borderId="0" xfId="12" applyFont="1" applyFill="1"/>
    <xf numFmtId="0" fontId="24" fillId="9" borderId="0" xfId="24" applyFont="1" applyFill="1"/>
    <xf numFmtId="0" fontId="0" fillId="9" borderId="0" xfId="0" applyFill="1" applyAlignment="1">
      <alignment horizontal="center"/>
    </xf>
    <xf numFmtId="0" fontId="16" fillId="9" borderId="0" xfId="12" applyFont="1" applyFill="1" applyAlignment="1">
      <alignment horizontal="center"/>
    </xf>
    <xf numFmtId="0" fontId="12" fillId="9" borderId="0" xfId="4" applyFill="1" applyBorder="1" applyAlignment="1"/>
    <xf numFmtId="6" fontId="16" fillId="5" borderId="15" xfId="2" applyNumberFormat="1" applyFont="1" applyFill="1" applyBorder="1" applyAlignment="1">
      <alignment horizontal="right"/>
    </xf>
    <xf numFmtId="6" fontId="16" fillId="5" borderId="17" xfId="2" applyNumberFormat="1" applyFont="1" applyFill="1" applyBorder="1" applyAlignment="1">
      <alignment horizontal="right"/>
    </xf>
    <xf numFmtId="6" fontId="16" fillId="5" borderId="28" xfId="2" applyNumberFormat="1" applyFont="1" applyFill="1" applyBorder="1" applyAlignment="1">
      <alignment horizontal="right"/>
    </xf>
    <xf numFmtId="6" fontId="17" fillId="5" borderId="5" xfId="2" applyNumberFormat="1" applyFont="1" applyFill="1" applyBorder="1" applyAlignment="1">
      <alignment horizontal="right"/>
    </xf>
    <xf numFmtId="6" fontId="16" fillId="0" borderId="17" xfId="9" applyNumberFormat="1" applyFont="1" applyFill="1" applyBorder="1" applyAlignment="1"/>
    <xf numFmtId="6" fontId="16" fillId="0" borderId="15" xfId="2" applyNumberFormat="1" applyFont="1" applyFill="1" applyBorder="1" applyAlignment="1"/>
    <xf numFmtId="6" fontId="16" fillId="5" borderId="17" xfId="2" applyNumberFormat="1" applyFont="1" applyFill="1" applyBorder="1" applyAlignment="1"/>
    <xf numFmtId="6" fontId="16" fillId="0" borderId="17" xfId="2" applyNumberFormat="1" applyFont="1" applyFill="1" applyBorder="1" applyAlignment="1"/>
    <xf numFmtId="6" fontId="16" fillId="0" borderId="28" xfId="9" applyNumberFormat="1" applyFont="1" applyFill="1" applyBorder="1" applyAlignment="1"/>
    <xf numFmtId="6" fontId="16" fillId="0" borderId="28" xfId="2" applyNumberFormat="1" applyFont="1" applyFill="1" applyBorder="1" applyAlignment="1"/>
    <xf numFmtId="6" fontId="16" fillId="5" borderId="28" xfId="2" applyNumberFormat="1" applyFont="1" applyFill="1" applyBorder="1" applyAlignment="1"/>
    <xf numFmtId="6" fontId="16" fillId="0" borderId="5" xfId="9" applyNumberFormat="1" applyFont="1" applyFill="1" applyBorder="1" applyAlignment="1">
      <alignment horizontal="right"/>
    </xf>
    <xf numFmtId="0" fontId="17" fillId="9" borderId="20" xfId="12" applyFont="1" applyFill="1" applyBorder="1" applyAlignment="1">
      <alignment wrapText="1"/>
    </xf>
    <xf numFmtId="0" fontId="17" fillId="9" borderId="25" xfId="12" applyFont="1" applyFill="1" applyBorder="1" applyAlignment="1">
      <alignment wrapText="1"/>
    </xf>
    <xf numFmtId="169" fontId="16" fillId="9" borderId="17" xfId="0" applyNumberFormat="1" applyFont="1" applyFill="1" applyBorder="1"/>
    <xf numFmtId="169" fontId="16" fillId="9" borderId="28" xfId="0" applyNumberFormat="1" applyFont="1" applyFill="1" applyBorder="1"/>
    <xf numFmtId="169" fontId="17" fillId="9" borderId="5" xfId="0" applyNumberFormat="1" applyFont="1" applyFill="1" applyBorder="1"/>
    <xf numFmtId="6" fontId="16" fillId="9" borderId="17" xfId="2" applyNumberFormat="1" applyFont="1" applyFill="1" applyBorder="1" applyAlignment="1"/>
    <xf numFmtId="6" fontId="16" fillId="9" borderId="28" xfId="2" applyNumberFormat="1" applyFont="1" applyFill="1" applyBorder="1" applyAlignment="1"/>
    <xf numFmtId="6" fontId="16" fillId="5" borderId="5" xfId="2" applyNumberFormat="1" applyFont="1" applyFill="1" applyBorder="1" applyAlignment="1"/>
    <xf numFmtId="6" fontId="33" fillId="9" borderId="17" xfId="0" applyNumberFormat="1" applyFont="1" applyFill="1" applyBorder="1" applyAlignment="1">
      <alignment horizontal="right"/>
    </xf>
    <xf numFmtId="6" fontId="33" fillId="5" borderId="17" xfId="0" applyNumberFormat="1" applyFont="1" applyFill="1" applyBorder="1" applyAlignment="1">
      <alignment horizontal="right"/>
    </xf>
    <xf numFmtId="6" fontId="33" fillId="5" borderId="16" xfId="0" applyNumberFormat="1" applyFont="1" applyFill="1" applyBorder="1" applyAlignment="1">
      <alignment horizontal="right"/>
    </xf>
    <xf numFmtId="6" fontId="33" fillId="5" borderId="15" xfId="0" applyNumberFormat="1" applyFont="1" applyFill="1" applyBorder="1" applyAlignment="1">
      <alignment horizontal="right"/>
    </xf>
    <xf numFmtId="6" fontId="33" fillId="9" borderId="5" xfId="0" applyNumberFormat="1" applyFont="1" applyFill="1" applyBorder="1" applyAlignment="1">
      <alignment horizontal="right"/>
    </xf>
    <xf numFmtId="6" fontId="33" fillId="5" borderId="5" xfId="0" applyNumberFormat="1" applyFont="1" applyFill="1" applyBorder="1" applyAlignment="1">
      <alignment horizontal="right"/>
    </xf>
    <xf numFmtId="6" fontId="33" fillId="9" borderId="17" xfId="0" applyNumberFormat="1" applyFont="1" applyFill="1" applyBorder="1" applyAlignment="1">
      <alignment horizontal="right" vertical="center" wrapText="1"/>
    </xf>
    <xf numFmtId="6" fontId="33" fillId="5" borderId="17" xfId="0" applyNumberFormat="1" applyFont="1" applyFill="1" applyBorder="1" applyAlignment="1">
      <alignment horizontal="right" vertical="center" wrapText="1"/>
    </xf>
    <xf numFmtId="6" fontId="33" fillId="5" borderId="5" xfId="0" applyNumberFormat="1" applyFont="1" applyFill="1" applyBorder="1"/>
    <xf numFmtId="0" fontId="18" fillId="7" borderId="3" xfId="12" applyFont="1" applyFill="1" applyBorder="1" applyAlignment="1">
      <alignment horizontal="center"/>
    </xf>
    <xf numFmtId="0" fontId="18" fillId="7" borderId="3" xfId="12" applyFont="1" applyFill="1" applyBorder="1" applyAlignment="1">
      <alignment horizontal="center" vertical="center"/>
    </xf>
    <xf numFmtId="10" fontId="16" fillId="5" borderId="3" xfId="12" applyNumberFormat="1" applyFont="1" applyFill="1" applyBorder="1" applyAlignment="1">
      <alignment horizontal="right" vertical="center" wrapText="1"/>
    </xf>
    <xf numFmtId="2" fontId="16" fillId="5" borderId="3" xfId="12" applyNumberFormat="1" applyFont="1" applyFill="1" applyBorder="1" applyAlignment="1">
      <alignment horizontal="right" vertical="center" wrapText="1"/>
    </xf>
    <xf numFmtId="0" fontId="28" fillId="9" borderId="0" xfId="12" applyFont="1" applyFill="1"/>
    <xf numFmtId="0" fontId="18" fillId="7" borderId="6" xfId="12" applyFont="1" applyFill="1" applyBorder="1" applyAlignment="1">
      <alignment horizontal="center" vertical="center"/>
    </xf>
    <xf numFmtId="3" fontId="16" fillId="0" borderId="17" xfId="12" applyNumberFormat="1" applyFont="1" applyBorder="1" applyAlignment="1">
      <alignment horizontal="center"/>
    </xf>
    <xf numFmtId="3" fontId="16" fillId="0" borderId="28" xfId="12" applyNumberFormat="1" applyFont="1" applyBorder="1" applyAlignment="1">
      <alignment horizontal="center"/>
    </xf>
    <xf numFmtId="0" fontId="17" fillId="9" borderId="0" xfId="12" applyFont="1" applyFill="1"/>
    <xf numFmtId="165" fontId="17" fillId="9" borderId="0" xfId="2" applyNumberFormat="1" applyFont="1" applyFill="1"/>
    <xf numFmtId="0" fontId="16" fillId="9" borderId="0" xfId="12" applyFont="1" applyFill="1" applyAlignment="1">
      <alignment horizontal="right"/>
    </xf>
    <xf numFmtId="0" fontId="17" fillId="9" borderId="0" xfId="12" applyFont="1" applyFill="1" applyAlignment="1">
      <alignment horizontal="right"/>
    </xf>
    <xf numFmtId="3" fontId="16" fillId="0" borderId="15" xfId="12" applyNumberFormat="1" applyFont="1" applyBorder="1" applyAlignment="1">
      <alignment horizontal="center"/>
    </xf>
    <xf numFmtId="0" fontId="16" fillId="9" borderId="0" xfId="12" applyFont="1" applyFill="1" applyAlignment="1">
      <alignment horizontal="center" vertical="center"/>
    </xf>
    <xf numFmtId="43" fontId="16" fillId="9" borderId="0" xfId="35" applyFont="1" applyFill="1" applyAlignment="1">
      <alignment vertical="center"/>
    </xf>
    <xf numFmtId="0" fontId="16" fillId="9" borderId="0" xfId="12" applyFont="1" applyFill="1" applyAlignment="1">
      <alignment vertical="center"/>
    </xf>
    <xf numFmtId="0" fontId="17" fillId="9" borderId="0" xfId="12" applyFont="1" applyFill="1" applyAlignment="1">
      <alignment horizontal="center" vertical="center"/>
    </xf>
    <xf numFmtId="9" fontId="16" fillId="9" borderId="0" xfId="12" applyNumberFormat="1" applyFont="1" applyFill="1" applyAlignment="1">
      <alignment horizontal="center" vertical="center"/>
    </xf>
    <xf numFmtId="0" fontId="17" fillId="9" borderId="0" xfId="12" applyFont="1" applyFill="1" applyAlignment="1">
      <alignment horizontal="left" wrapText="1"/>
    </xf>
    <xf numFmtId="0" fontId="17" fillId="9" borderId="0" xfId="12" applyFont="1" applyFill="1" applyAlignment="1">
      <alignment horizontal="center" vertical="center" wrapText="1"/>
    </xf>
    <xf numFmtId="0" fontId="17" fillId="9" borderId="0" xfId="12" applyFont="1" applyFill="1" applyAlignment="1">
      <alignment wrapText="1"/>
    </xf>
    <xf numFmtId="0" fontId="17" fillId="8" borderId="3" xfId="12" applyFont="1" applyFill="1" applyBorder="1"/>
    <xf numFmtId="170" fontId="16" fillId="0" borderId="3" xfId="35" applyNumberFormat="1" applyFont="1" applyBorder="1" applyAlignment="1">
      <alignment horizontal="right" vertical="center" wrapText="1"/>
    </xf>
    <xf numFmtId="170" fontId="16" fillId="5" borderId="3" xfId="35" applyNumberFormat="1" applyFont="1" applyFill="1" applyBorder="1" applyAlignment="1">
      <alignment horizontal="right" vertical="center" wrapText="1"/>
    </xf>
    <xf numFmtId="10" fontId="16" fillId="0" borderId="3" xfId="12" applyNumberFormat="1" applyFont="1" applyBorder="1" applyAlignment="1">
      <alignment horizontal="right" vertical="center" wrapText="1"/>
    </xf>
    <xf numFmtId="10" fontId="17" fillId="6" borderId="3" xfId="12" applyNumberFormat="1" applyFont="1" applyFill="1" applyBorder="1"/>
    <xf numFmtId="2" fontId="17" fillId="8" borderId="3" xfId="12" applyNumberFormat="1" applyFont="1" applyFill="1" applyBorder="1"/>
    <xf numFmtId="2" fontId="17" fillId="6" borderId="3" xfId="12" applyNumberFormat="1" applyFont="1" applyFill="1" applyBorder="1"/>
    <xf numFmtId="0" fontId="17" fillId="9" borderId="0" xfId="12" applyFont="1" applyFill="1" applyAlignment="1">
      <alignment horizontal="left"/>
    </xf>
    <xf numFmtId="2" fontId="17" fillId="7" borderId="3" xfId="12" applyNumberFormat="1" applyFont="1" applyFill="1" applyBorder="1"/>
    <xf numFmtId="0" fontId="27" fillId="9" borderId="0" xfId="12" applyFont="1" applyFill="1"/>
    <xf numFmtId="0" fontId="16" fillId="9" borderId="0" xfId="2" applyNumberFormat="1" applyFont="1" applyFill="1" applyAlignment="1">
      <alignment horizontal="right"/>
    </xf>
    <xf numFmtId="0" fontId="17" fillId="9" borderId="0" xfId="12" applyFont="1" applyFill="1" applyAlignment="1">
      <alignment horizontal="left" vertical="center"/>
    </xf>
    <xf numFmtId="0" fontId="16" fillId="9" borderId="0" xfId="12" applyFont="1" applyFill="1" applyAlignment="1">
      <alignment horizontal="left"/>
    </xf>
    <xf numFmtId="3" fontId="16" fillId="9" borderId="0" xfId="2" applyNumberFormat="1" applyFont="1" applyFill="1" applyAlignment="1">
      <alignment horizontal="center"/>
    </xf>
    <xf numFmtId="10" fontId="16" fillId="5" borderId="3" xfId="12" applyNumberFormat="1" applyFont="1" applyFill="1" applyBorder="1" applyAlignment="1">
      <alignment vertical="center" wrapText="1"/>
    </xf>
    <xf numFmtId="170" fontId="16" fillId="5" borderId="3" xfId="35" applyNumberFormat="1" applyFont="1" applyFill="1" applyBorder="1" applyAlignment="1">
      <alignment vertical="center" wrapText="1"/>
    </xf>
    <xf numFmtId="0" fontId="18" fillId="9" borderId="0" xfId="12" applyFont="1" applyFill="1" applyAlignment="1">
      <alignment horizontal="center"/>
    </xf>
    <xf numFmtId="0" fontId="18" fillId="9" borderId="0" xfId="12" applyFont="1" applyFill="1" applyAlignment="1">
      <alignment horizontal="center" vertical="center"/>
    </xf>
    <xf numFmtId="169" fontId="35" fillId="9" borderId="0" xfId="12" applyNumberFormat="1" applyFont="1" applyFill="1"/>
    <xf numFmtId="2" fontId="16" fillId="9" borderId="3" xfId="12" applyNumberFormat="1" applyFont="1" applyFill="1" applyBorder="1" applyAlignment="1">
      <alignment horizontal="right" vertical="center" wrapText="1"/>
    </xf>
    <xf numFmtId="3" fontId="16" fillId="9" borderId="17" xfId="12" applyNumberFormat="1" applyFont="1" applyFill="1" applyBorder="1" applyAlignment="1">
      <alignment horizontal="center"/>
    </xf>
    <xf numFmtId="0" fontId="17" fillId="8" borderId="17" xfId="0" applyFont="1" applyFill="1" applyBorder="1" applyAlignment="1">
      <alignment horizontal="center"/>
    </xf>
    <xf numFmtId="0" fontId="17" fillId="8" borderId="28" xfId="0" applyFont="1" applyFill="1" applyBorder="1" applyAlignment="1">
      <alignment horizontal="center"/>
    </xf>
    <xf numFmtId="0" fontId="17" fillId="8" borderId="5" xfId="0" applyFont="1" applyFill="1" applyBorder="1" applyAlignment="1">
      <alignment horizontal="center"/>
    </xf>
    <xf numFmtId="0" fontId="17" fillId="8" borderId="16" xfId="0" applyFont="1" applyFill="1" applyBorder="1"/>
    <xf numFmtId="0" fontId="17" fillId="8" borderId="3" xfId="0" applyFont="1" applyFill="1" applyBorder="1" applyAlignment="1">
      <alignment horizontal="left"/>
    </xf>
    <xf numFmtId="0" fontId="17" fillId="8" borderId="13" xfId="0" applyFont="1" applyFill="1" applyBorder="1" applyAlignment="1">
      <alignment horizontal="left"/>
    </xf>
    <xf numFmtId="0" fontId="17" fillId="8" borderId="15" xfId="0" applyFont="1" applyFill="1" applyBorder="1" applyAlignment="1">
      <alignment horizontal="left"/>
    </xf>
    <xf numFmtId="0" fontId="17" fillId="8" borderId="15" xfId="0" applyFont="1" applyFill="1" applyBorder="1" applyAlignment="1">
      <alignment horizontal="left" wrapText="1"/>
    </xf>
    <xf numFmtId="0" fontId="17" fillId="8" borderId="14" xfId="0" applyFont="1" applyFill="1" applyBorder="1" applyAlignment="1">
      <alignment horizontal="left" wrapText="1"/>
    </xf>
    <xf numFmtId="0" fontId="17" fillId="8" borderId="13" xfId="0" applyFont="1" applyFill="1" applyBorder="1" applyAlignment="1">
      <alignment horizontal="left" vertical="center" wrapText="1"/>
    </xf>
    <xf numFmtId="0" fontId="17" fillId="8" borderId="14" xfId="0" applyFont="1" applyFill="1" applyBorder="1" applyAlignment="1">
      <alignment horizontal="left" vertical="center" wrapText="1"/>
    </xf>
    <xf numFmtId="0" fontId="17" fillId="8" borderId="12" xfId="0" applyFont="1" applyFill="1" applyBorder="1"/>
    <xf numFmtId="0" fontId="17" fillId="8" borderId="12" xfId="0" applyFont="1" applyFill="1" applyBorder="1" applyAlignment="1">
      <alignment horizontal="left"/>
    </xf>
    <xf numFmtId="6" fontId="25" fillId="6" borderId="3" xfId="12" applyNumberFormat="1" applyFont="1" applyFill="1" applyBorder="1" applyAlignment="1">
      <alignment horizontal="center" vertical="center" wrapText="1"/>
    </xf>
    <xf numFmtId="6" fontId="16" fillId="5" borderId="17" xfId="0" applyNumberFormat="1" applyFont="1" applyFill="1" applyBorder="1"/>
    <xf numFmtId="6" fontId="16" fillId="0" borderId="17" xfId="0" applyNumberFormat="1" applyFont="1" applyBorder="1"/>
    <xf numFmtId="6" fontId="16" fillId="5" borderId="28" xfId="0" applyNumberFormat="1" applyFont="1" applyFill="1" applyBorder="1"/>
    <xf numFmtId="6" fontId="16" fillId="0" borderId="28" xfId="0" applyNumberFormat="1" applyFont="1" applyBorder="1"/>
    <xf numFmtId="6" fontId="17" fillId="5" borderId="5" xfId="0" applyNumberFormat="1" applyFont="1" applyFill="1" applyBorder="1"/>
    <xf numFmtId="6" fontId="17" fillId="0" borderId="5" xfId="0" applyNumberFormat="1" applyFont="1" applyBorder="1"/>
    <xf numFmtId="6" fontId="34" fillId="8" borderId="5" xfId="0" applyNumberFormat="1" applyFont="1" applyFill="1" applyBorder="1" applyAlignment="1">
      <alignment horizontal="center"/>
    </xf>
    <xf numFmtId="6" fontId="33" fillId="9" borderId="28" xfId="0" applyNumberFormat="1" applyFont="1" applyFill="1" applyBorder="1" applyAlignment="1">
      <alignment horizontal="right" vertical="center" wrapText="1"/>
    </xf>
    <xf numFmtId="6" fontId="33" fillId="5" borderId="28" xfId="0" applyNumberFormat="1" applyFont="1" applyFill="1" applyBorder="1" applyAlignment="1">
      <alignment horizontal="right" vertical="center" wrapText="1"/>
    </xf>
    <xf numFmtId="0" fontId="30" fillId="9" borderId="0" xfId="12" applyFont="1" applyFill="1"/>
    <xf numFmtId="6" fontId="17" fillId="0" borderId="17" xfId="2" applyNumberFormat="1" applyFont="1" applyBorder="1"/>
    <xf numFmtId="6" fontId="17" fillId="5" borderId="15" xfId="2" applyNumberFormat="1" applyFont="1" applyFill="1" applyBorder="1"/>
    <xf numFmtId="6" fontId="17" fillId="0" borderId="28" xfId="2" applyNumberFormat="1" applyFont="1" applyBorder="1"/>
    <xf numFmtId="6" fontId="17" fillId="5" borderId="28" xfId="2" applyNumberFormat="1" applyFont="1" applyFill="1" applyBorder="1"/>
    <xf numFmtId="6" fontId="17" fillId="0" borderId="5" xfId="2" applyNumberFormat="1" applyFont="1" applyBorder="1"/>
    <xf numFmtId="6" fontId="17" fillId="5" borderId="5" xfId="2" applyNumberFormat="1" applyFont="1" applyFill="1" applyBorder="1"/>
    <xf numFmtId="6" fontId="16" fillId="9" borderId="17" xfId="0" applyNumberFormat="1" applyFont="1" applyFill="1" applyBorder="1" applyAlignment="1">
      <alignment horizontal="right"/>
    </xf>
    <xf numFmtId="6" fontId="16" fillId="5" borderId="17" xfId="0" applyNumberFormat="1" applyFont="1" applyFill="1" applyBorder="1" applyAlignment="1">
      <alignment horizontal="right"/>
    </xf>
    <xf numFmtId="6" fontId="0" fillId="9" borderId="0" xfId="0" applyNumberFormat="1" applyFill="1"/>
    <xf numFmtId="0" fontId="18" fillId="7" borderId="7" xfId="0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/>
    </xf>
    <xf numFmtId="5" fontId="16" fillId="0" borderId="17" xfId="0" applyNumberFormat="1" applyFont="1" applyBorder="1" applyAlignment="1">
      <alignment horizontal="right"/>
    </xf>
    <xf numFmtId="5" fontId="16" fillId="0" borderId="14" xfId="0" applyNumberFormat="1" applyFont="1" applyBorder="1" applyAlignment="1">
      <alignment horizontal="right"/>
    </xf>
    <xf numFmtId="0" fontId="11" fillId="9" borderId="20" xfId="0" applyFont="1" applyFill="1" applyBorder="1"/>
    <xf numFmtId="4" fontId="16" fillId="9" borderId="17" xfId="0" applyNumberFormat="1" applyFont="1" applyFill="1" applyBorder="1" applyAlignment="1">
      <alignment horizontal="center"/>
    </xf>
    <xf numFmtId="4" fontId="16" fillId="5" borderId="17" xfId="0" applyNumberFormat="1" applyFont="1" applyFill="1" applyBorder="1" applyAlignment="1">
      <alignment horizontal="center"/>
    </xf>
    <xf numFmtId="0" fontId="18" fillId="7" borderId="31" xfId="0" applyFont="1" applyFill="1" applyBorder="1" applyAlignment="1">
      <alignment horizontal="center" vertical="center"/>
    </xf>
    <xf numFmtId="0" fontId="18" fillId="7" borderId="21" xfId="0" applyFont="1" applyFill="1" applyBorder="1" applyAlignment="1">
      <alignment vertical="center" wrapText="1"/>
    </xf>
    <xf numFmtId="0" fontId="18" fillId="7" borderId="3" xfId="0" applyFont="1" applyFill="1" applyBorder="1"/>
    <xf numFmtId="0" fontId="17" fillId="8" borderId="14" xfId="0" applyFont="1" applyFill="1" applyBorder="1" applyAlignment="1">
      <alignment horizontal="center"/>
    </xf>
    <xf numFmtId="5" fontId="16" fillId="5" borderId="17" xfId="0" applyNumberFormat="1" applyFont="1" applyFill="1" applyBorder="1" applyAlignment="1">
      <alignment horizontal="right"/>
    </xf>
    <xf numFmtId="5" fontId="16" fillId="5" borderId="14" xfId="0" applyNumberFormat="1" applyFont="1" applyFill="1" applyBorder="1" applyAlignment="1">
      <alignment horizontal="right"/>
    </xf>
    <xf numFmtId="6" fontId="11" fillId="5" borderId="5" xfId="0" applyNumberFormat="1" applyFont="1" applyFill="1" applyBorder="1" applyAlignment="1">
      <alignment horizontal="right"/>
    </xf>
    <xf numFmtId="6" fontId="11" fillId="9" borderId="5" xfId="0" applyNumberFormat="1" applyFont="1" applyFill="1" applyBorder="1" applyAlignment="1">
      <alignment horizontal="right"/>
    </xf>
    <xf numFmtId="4" fontId="16" fillId="9" borderId="28" xfId="0" applyNumberFormat="1" applyFont="1" applyFill="1" applyBorder="1" applyAlignment="1">
      <alignment horizontal="center"/>
    </xf>
    <xf numFmtId="4" fontId="16" fillId="5" borderId="28" xfId="0" applyNumberFormat="1" applyFont="1" applyFill="1" applyBorder="1" applyAlignment="1">
      <alignment horizontal="center"/>
    </xf>
    <xf numFmtId="6" fontId="16" fillId="5" borderId="28" xfId="0" applyNumberFormat="1" applyFont="1" applyFill="1" applyBorder="1" applyAlignment="1">
      <alignment horizontal="right"/>
    </xf>
    <xf numFmtId="6" fontId="16" fillId="9" borderId="28" xfId="0" applyNumberFormat="1" applyFont="1" applyFill="1" applyBorder="1" applyAlignment="1">
      <alignment horizontal="right"/>
    </xf>
    <xf numFmtId="0" fontId="11" fillId="9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167" fontId="11" fillId="9" borderId="3" xfId="0" applyNumberFormat="1" applyFont="1" applyFill="1" applyBorder="1" applyAlignment="1">
      <alignment horizontal="center" vertical="center"/>
    </xf>
    <xf numFmtId="0" fontId="16" fillId="9" borderId="0" xfId="2" applyNumberFormat="1" applyFont="1" applyFill="1" applyAlignment="1">
      <alignment horizontal="left"/>
    </xf>
    <xf numFmtId="0" fontId="16" fillId="0" borderId="3" xfId="12" applyFont="1" applyBorder="1" applyAlignment="1">
      <alignment wrapText="1"/>
    </xf>
    <xf numFmtId="2" fontId="16" fillId="4" borderId="13" xfId="0" applyNumberFormat="1" applyFont="1" applyFill="1" applyBorder="1" applyAlignment="1">
      <alignment horizontal="center" vertical="center" wrapText="1"/>
    </xf>
    <xf numFmtId="2" fontId="17" fillId="9" borderId="17" xfId="0" applyNumberFormat="1" applyFont="1" applyFill="1" applyBorder="1" applyAlignment="1">
      <alignment horizontal="center"/>
    </xf>
    <xf numFmtId="170" fontId="16" fillId="10" borderId="3" xfId="35" applyNumberFormat="1" applyFont="1" applyFill="1" applyBorder="1" applyAlignment="1">
      <alignment horizontal="right" vertical="center" wrapText="1"/>
    </xf>
    <xf numFmtId="170" fontId="16" fillId="10" borderId="3" xfId="35" applyNumberFormat="1" applyFont="1" applyFill="1" applyBorder="1" applyAlignment="1">
      <alignment vertical="center" wrapText="1"/>
    </xf>
    <xf numFmtId="0" fontId="16" fillId="0" borderId="17" xfId="0" applyFont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/>
    </xf>
    <xf numFmtId="0" fontId="18" fillId="7" borderId="32" xfId="0" applyFont="1" applyFill="1" applyBorder="1" applyAlignment="1">
      <alignment horizontal="center" vertical="center"/>
    </xf>
    <xf numFmtId="2" fontId="16" fillId="4" borderId="14" xfId="0" applyNumberFormat="1" applyFont="1" applyFill="1" applyBorder="1" applyAlignment="1">
      <alignment horizontal="center" vertical="center" wrapText="1"/>
    </xf>
    <xf numFmtId="0" fontId="10" fillId="9" borderId="0" xfId="0" applyFont="1" applyFill="1"/>
    <xf numFmtId="8" fontId="10" fillId="9" borderId="0" xfId="0" applyNumberFormat="1" applyFont="1" applyFill="1" applyAlignment="1">
      <alignment horizontal="center"/>
    </xf>
    <xf numFmtId="44" fontId="17" fillId="6" borderId="3" xfId="2" applyFont="1" applyFill="1" applyBorder="1"/>
    <xf numFmtId="0" fontId="14" fillId="9" borderId="0" xfId="0" applyFont="1" applyFill="1"/>
    <xf numFmtId="3" fontId="16" fillId="9" borderId="28" xfId="0" applyNumberFormat="1" applyFont="1" applyFill="1" applyBorder="1" applyAlignment="1">
      <alignment horizontal="center"/>
    </xf>
    <xf numFmtId="0" fontId="37" fillId="9" borderId="3" xfId="12" applyFont="1" applyFill="1" applyBorder="1" applyAlignment="1">
      <alignment horizontal="center"/>
    </xf>
    <xf numFmtId="6" fontId="17" fillId="5" borderId="17" xfId="2" applyNumberFormat="1" applyFont="1" applyFill="1" applyBorder="1"/>
    <xf numFmtId="0" fontId="18" fillId="7" borderId="7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/>
    </xf>
    <xf numFmtId="0" fontId="17" fillId="8" borderId="8" xfId="0" applyFont="1" applyFill="1" applyBorder="1" applyAlignment="1">
      <alignment horizontal="center" vertical="center" wrapText="1"/>
    </xf>
    <xf numFmtId="0" fontId="18" fillId="7" borderId="3" xfId="12" applyFont="1" applyFill="1" applyBorder="1" applyAlignment="1">
      <alignment horizontal="center"/>
    </xf>
    <xf numFmtId="0" fontId="39" fillId="8" borderId="17" xfId="12" applyFont="1" applyFill="1" applyBorder="1" applyAlignment="1">
      <alignment horizontal="center"/>
    </xf>
    <xf numFmtId="171" fontId="40" fillId="9" borderId="3" xfId="2" applyNumberFormat="1" applyFont="1" applyFill="1" applyBorder="1" applyAlignment="1">
      <alignment horizontal="right" vertical="center"/>
    </xf>
    <xf numFmtId="0" fontId="39" fillId="8" borderId="28" xfId="12" applyFont="1" applyFill="1" applyBorder="1" applyAlignment="1">
      <alignment horizontal="center"/>
    </xf>
    <xf numFmtId="171" fontId="40" fillId="9" borderId="6" xfId="2" applyNumberFormat="1" applyFont="1" applyFill="1" applyBorder="1" applyAlignment="1">
      <alignment horizontal="right" vertical="center"/>
    </xf>
    <xf numFmtId="0" fontId="39" fillId="8" borderId="22" xfId="12" applyFont="1" applyFill="1" applyBorder="1" applyAlignment="1">
      <alignment horizontal="left"/>
    </xf>
    <xf numFmtId="171" fontId="40" fillId="9" borderId="5" xfId="2" applyNumberFormat="1" applyFont="1" applyFill="1" applyBorder="1" applyAlignment="1">
      <alignment horizontal="right" vertical="center"/>
    </xf>
    <xf numFmtId="9" fontId="16" fillId="0" borderId="28" xfId="9" applyFont="1" applyFill="1" applyBorder="1" applyAlignment="1">
      <alignment horizontal="center"/>
    </xf>
    <xf numFmtId="170" fontId="16" fillId="0" borderId="12" xfId="35" applyNumberFormat="1" applyFont="1" applyBorder="1" applyAlignment="1">
      <alignment vertical="center" wrapText="1"/>
    </xf>
    <xf numFmtId="170" fontId="16" fillId="10" borderId="12" xfId="35" applyNumberFormat="1" applyFont="1" applyFill="1" applyBorder="1" applyAlignment="1">
      <alignment vertical="center" wrapText="1"/>
    </xf>
    <xf numFmtId="10" fontId="16" fillId="0" borderId="12" xfId="12" applyNumberFormat="1" applyFont="1" applyBorder="1" applyAlignment="1">
      <alignment vertical="center" wrapText="1"/>
    </xf>
    <xf numFmtId="2" fontId="16" fillId="4" borderId="8" xfId="0" applyNumberFormat="1" applyFont="1" applyFill="1" applyBorder="1" applyAlignment="1">
      <alignment horizontal="center" vertical="center" wrapText="1"/>
    </xf>
    <xf numFmtId="0" fontId="17" fillId="8" borderId="5" xfId="0" applyFont="1" applyFill="1" applyBorder="1" applyAlignment="1">
      <alignment horizontal="center" vertical="center" wrapText="1"/>
    </xf>
    <xf numFmtId="0" fontId="17" fillId="8" borderId="15" xfId="0" applyFont="1" applyFill="1" applyBorder="1" applyAlignment="1">
      <alignment horizontal="center" vertical="center" wrapText="1"/>
    </xf>
    <xf numFmtId="2" fontId="16" fillId="4" borderId="15" xfId="0" applyNumberFormat="1" applyFont="1" applyFill="1" applyBorder="1" applyAlignment="1">
      <alignment horizontal="center" vertical="center" wrapText="1"/>
    </xf>
    <xf numFmtId="2" fontId="16" fillId="5" borderId="5" xfId="0" applyNumberFormat="1" applyFont="1" applyFill="1" applyBorder="1" applyAlignment="1">
      <alignment horizontal="center" vertical="center" wrapText="1"/>
    </xf>
    <xf numFmtId="0" fontId="16" fillId="9" borderId="12" xfId="12" applyFont="1" applyFill="1" applyBorder="1" applyAlignment="1">
      <alignment horizontal="left"/>
    </xf>
    <xf numFmtId="0" fontId="16" fillId="9" borderId="2" xfId="12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7" fillId="8" borderId="16" xfId="12" applyFont="1" applyFill="1" applyBorder="1" applyAlignment="1">
      <alignment horizontal="center"/>
    </xf>
    <xf numFmtId="3" fontId="16" fillId="0" borderId="4" xfId="12" applyNumberFormat="1" applyFont="1" applyBorder="1" applyAlignment="1">
      <alignment horizontal="center"/>
    </xf>
    <xf numFmtId="3" fontId="16" fillId="5" borderId="4" xfId="12" applyNumberFormat="1" applyFont="1" applyFill="1" applyBorder="1" applyAlignment="1">
      <alignment horizontal="center"/>
    </xf>
    <xf numFmtId="3" fontId="16" fillId="5" borderId="20" xfId="12" applyNumberFormat="1" applyFont="1" applyFill="1" applyBorder="1" applyAlignment="1">
      <alignment horizontal="center"/>
    </xf>
    <xf numFmtId="6" fontId="17" fillId="0" borderId="4" xfId="2" applyNumberFormat="1" applyFont="1" applyBorder="1"/>
    <xf numFmtId="6" fontId="17" fillId="5" borderId="16" xfId="2" applyNumberFormat="1" applyFont="1" applyFill="1" applyBorder="1"/>
    <xf numFmtId="3" fontId="16" fillId="5" borderId="34" xfId="12" applyNumberFormat="1" applyFont="1" applyFill="1" applyBorder="1" applyAlignment="1">
      <alignment horizontal="center"/>
    </xf>
    <xf numFmtId="0" fontId="17" fillId="8" borderId="33" xfId="0" applyFont="1" applyFill="1" applyBorder="1" applyAlignment="1">
      <alignment horizontal="center"/>
    </xf>
    <xf numFmtId="169" fontId="16" fillId="5" borderId="4" xfId="0" applyNumberFormat="1" applyFont="1" applyFill="1" applyBorder="1"/>
    <xf numFmtId="169" fontId="16" fillId="0" borderId="4" xfId="0" applyNumberFormat="1" applyFont="1" applyBorder="1"/>
    <xf numFmtId="6" fontId="16" fillId="5" borderId="4" xfId="0" applyNumberFormat="1" applyFont="1" applyFill="1" applyBorder="1"/>
    <xf numFmtId="6" fontId="16" fillId="0" borderId="4" xfId="0" applyNumberFormat="1" applyFont="1" applyBorder="1"/>
    <xf numFmtId="0" fontId="9" fillId="0" borderId="0" xfId="0" applyFont="1" applyFill="1" applyAlignment="1">
      <alignment horizontal="center" wrapText="1"/>
    </xf>
    <xf numFmtId="0" fontId="9" fillId="0" borderId="0" xfId="0" applyFont="1" applyFill="1"/>
    <xf numFmtId="6" fontId="33" fillId="9" borderId="4" xfId="0" applyNumberFormat="1" applyFont="1" applyFill="1" applyBorder="1" applyAlignment="1">
      <alignment horizontal="right" vertical="center" wrapText="1"/>
    </xf>
    <xf numFmtId="6" fontId="33" fillId="5" borderId="4" xfId="0" applyNumberFormat="1" applyFont="1" applyFill="1" applyBorder="1" applyAlignment="1">
      <alignment horizontal="right" vertical="center" wrapText="1"/>
    </xf>
    <xf numFmtId="0" fontId="17" fillId="8" borderId="4" xfId="0" applyFont="1" applyFill="1" applyBorder="1" applyAlignment="1">
      <alignment horizontal="center"/>
    </xf>
    <xf numFmtId="6" fontId="16" fillId="9" borderId="4" xfId="2" applyNumberFormat="1" applyFont="1" applyFill="1" applyBorder="1" applyAlignment="1"/>
    <xf numFmtId="6" fontId="16" fillId="5" borderId="4" xfId="2" applyNumberFormat="1" applyFont="1" applyFill="1" applyBorder="1" applyAlignment="1"/>
    <xf numFmtId="9" fontId="16" fillId="0" borderId="17" xfId="9" applyNumberFormat="1" applyFont="1" applyFill="1" applyBorder="1" applyAlignment="1">
      <alignment horizontal="center"/>
    </xf>
    <xf numFmtId="6" fontId="16" fillId="9" borderId="5" xfId="2" applyNumberFormat="1" applyFont="1" applyFill="1" applyBorder="1"/>
    <xf numFmtId="0" fontId="39" fillId="8" borderId="3" xfId="0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5" borderId="3" xfId="0" applyFont="1" applyFill="1" applyBorder="1" applyAlignment="1">
      <alignment horizontal="center" vertical="center"/>
    </xf>
    <xf numFmtId="0" fontId="40" fillId="5" borderId="3" xfId="0" applyFont="1" applyFill="1" applyBorder="1" applyAlignment="1">
      <alignment horizontal="center" vertical="center" wrapText="1"/>
    </xf>
    <xf numFmtId="0" fontId="39" fillId="8" borderId="4" xfId="0" applyFont="1" applyFill="1" applyBorder="1" applyAlignment="1">
      <alignment horizontal="right" vertical="center" wrapText="1"/>
    </xf>
    <xf numFmtId="0" fontId="39" fillId="8" borderId="5" xfId="0" applyFont="1" applyFill="1" applyBorder="1" applyAlignment="1">
      <alignment vertical="center"/>
    </xf>
    <xf numFmtId="2" fontId="40" fillId="0" borderId="5" xfId="0" applyNumberFormat="1" applyFont="1" applyBorder="1" applyAlignment="1">
      <alignment horizontal="center" vertical="center"/>
    </xf>
    <xf numFmtId="0" fontId="40" fillId="5" borderId="5" xfId="0" applyFont="1" applyFill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42" fillId="8" borderId="3" xfId="0" applyFont="1" applyFill="1" applyBorder="1" applyAlignment="1">
      <alignment wrapText="1"/>
    </xf>
    <xf numFmtId="0" fontId="38" fillId="7" borderId="5" xfId="0" applyFont="1" applyFill="1" applyBorder="1" applyAlignment="1">
      <alignment horizontal="center" vertical="center" wrapText="1"/>
    </xf>
    <xf numFmtId="0" fontId="16" fillId="9" borderId="0" xfId="0" applyFont="1" applyFill="1" applyAlignment="1">
      <alignment wrapText="1"/>
    </xf>
    <xf numFmtId="9" fontId="16" fillId="4" borderId="3" xfId="9" applyFont="1" applyFill="1" applyBorder="1" applyAlignment="1">
      <alignment horizontal="right"/>
    </xf>
    <xf numFmtId="4" fontId="16" fillId="4" borderId="3" xfId="0" applyNumberFormat="1" applyFont="1" applyFill="1" applyBorder="1" applyAlignment="1">
      <alignment horizontal="right"/>
    </xf>
    <xf numFmtId="0" fontId="17" fillId="8" borderId="12" xfId="0" applyFont="1" applyFill="1" applyBorder="1" applyAlignment="1">
      <alignment wrapText="1"/>
    </xf>
    <xf numFmtId="6" fontId="33" fillId="9" borderId="28" xfId="0" applyNumberFormat="1" applyFont="1" applyFill="1" applyBorder="1" applyAlignment="1">
      <alignment horizontal="right"/>
    </xf>
    <xf numFmtId="6" fontId="33" fillId="5" borderId="28" xfId="0" applyNumberFormat="1" applyFont="1" applyFill="1" applyBorder="1" applyAlignment="1">
      <alignment horizontal="right"/>
    </xf>
    <xf numFmtId="6" fontId="33" fillId="9" borderId="5" xfId="0" applyNumberFormat="1" applyFont="1" applyFill="1" applyBorder="1"/>
    <xf numFmtId="0" fontId="17" fillId="8" borderId="14" xfId="12" applyFont="1" applyFill="1" applyBorder="1" applyAlignment="1">
      <alignment horizontal="center"/>
    </xf>
    <xf numFmtId="3" fontId="16" fillId="0" borderId="14" xfId="12" applyNumberFormat="1" applyFont="1" applyBorder="1" applyAlignment="1">
      <alignment horizontal="center"/>
    </xf>
    <xf numFmtId="3" fontId="16" fillId="5" borderId="14" xfId="12" applyNumberFormat="1" applyFont="1" applyFill="1" applyBorder="1" applyAlignment="1">
      <alignment horizontal="center"/>
    </xf>
    <xf numFmtId="0" fontId="21" fillId="7" borderId="6" xfId="8" applyFont="1" applyFill="1" applyBorder="1" applyAlignment="1">
      <alignment horizontal="center" vertical="center"/>
    </xf>
    <xf numFmtId="0" fontId="25" fillId="8" borderId="10" xfId="8" applyFont="1" applyFill="1" applyBorder="1" applyAlignment="1">
      <alignment horizontal="center" vertical="center" wrapText="1"/>
    </xf>
    <xf numFmtId="0" fontId="25" fillId="8" borderId="18" xfId="8" applyFont="1" applyFill="1" applyBorder="1" applyAlignment="1">
      <alignment horizontal="center" vertical="center" wrapText="1"/>
    </xf>
    <xf numFmtId="0" fontId="18" fillId="7" borderId="19" xfId="0" applyFont="1" applyFill="1" applyBorder="1" applyAlignment="1">
      <alignment horizontal="center" vertical="center" wrapText="1"/>
    </xf>
    <xf numFmtId="0" fontId="18" fillId="7" borderId="25" xfId="0" applyFont="1" applyFill="1" applyBorder="1" applyAlignment="1">
      <alignment horizontal="center" vertical="center" wrapText="1"/>
    </xf>
    <xf numFmtId="0" fontId="18" fillId="7" borderId="30" xfId="0" applyFont="1" applyFill="1" applyBorder="1" applyAlignment="1">
      <alignment horizontal="center" vertical="center" wrapText="1"/>
    </xf>
    <xf numFmtId="0" fontId="18" fillId="7" borderId="22" xfId="0" applyFont="1" applyFill="1" applyBorder="1" applyAlignment="1">
      <alignment horizontal="center" vertical="center" wrapText="1"/>
    </xf>
    <xf numFmtId="0" fontId="18" fillId="7" borderId="21" xfId="0" applyFont="1" applyFill="1" applyBorder="1" applyAlignment="1">
      <alignment horizontal="center" vertical="center" wrapText="1"/>
    </xf>
    <xf numFmtId="0" fontId="18" fillId="7" borderId="23" xfId="0" applyFont="1" applyFill="1" applyBorder="1" applyAlignment="1">
      <alignment horizontal="center" vertical="center" wrapText="1"/>
    </xf>
    <xf numFmtId="0" fontId="29" fillId="7" borderId="12" xfId="0" applyFont="1" applyFill="1" applyBorder="1" applyAlignment="1">
      <alignment horizontal="center" vertical="center"/>
    </xf>
    <xf numFmtId="0" fontId="29" fillId="7" borderId="2" xfId="0" applyFont="1" applyFill="1" applyBorder="1" applyAlignment="1">
      <alignment horizontal="center" vertical="center"/>
    </xf>
    <xf numFmtId="0" fontId="29" fillId="7" borderId="9" xfId="0" applyFont="1" applyFill="1" applyBorder="1" applyAlignment="1">
      <alignment horizontal="center" vertical="center"/>
    </xf>
    <xf numFmtId="0" fontId="30" fillId="8" borderId="3" xfId="0" applyFont="1" applyFill="1" applyBorder="1" applyAlignment="1">
      <alignment horizontal="left"/>
    </xf>
    <xf numFmtId="0" fontId="25" fillId="8" borderId="3" xfId="0" applyFont="1" applyFill="1" applyBorder="1" applyAlignment="1">
      <alignment horizontal="left"/>
    </xf>
    <xf numFmtId="0" fontId="18" fillId="7" borderId="5" xfId="0" applyFont="1" applyFill="1" applyBorder="1" applyAlignment="1">
      <alignment horizontal="center"/>
    </xf>
    <xf numFmtId="0" fontId="18" fillId="7" borderId="6" xfId="0" applyFont="1" applyFill="1" applyBorder="1" applyAlignment="1">
      <alignment horizontal="center"/>
    </xf>
    <xf numFmtId="0" fontId="18" fillId="7" borderId="4" xfId="0" applyFont="1" applyFill="1" applyBorder="1" applyAlignment="1">
      <alignment horizontal="center" wrapText="1"/>
    </xf>
    <xf numFmtId="0" fontId="18" fillId="7" borderId="7" xfId="0" applyFont="1" applyFill="1" applyBorder="1" applyAlignment="1">
      <alignment horizontal="center" wrapText="1"/>
    </xf>
    <xf numFmtId="0" fontId="18" fillId="7" borderId="22" xfId="0" applyFont="1" applyFill="1" applyBorder="1" applyAlignment="1">
      <alignment horizontal="center"/>
    </xf>
    <xf numFmtId="0" fontId="18" fillId="7" borderId="23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/>
    </xf>
    <xf numFmtId="0" fontId="17" fillId="8" borderId="9" xfId="0" applyFont="1" applyFill="1" applyBorder="1" applyAlignment="1">
      <alignment horizontal="center"/>
    </xf>
    <xf numFmtId="0" fontId="18" fillId="7" borderId="12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8" fillId="7" borderId="11" xfId="0" applyFont="1" applyFill="1" applyBorder="1" applyAlignment="1">
      <alignment horizontal="center" vertical="center"/>
    </xf>
    <xf numFmtId="0" fontId="18" fillId="7" borderId="26" xfId="0" applyFont="1" applyFill="1" applyBorder="1" applyAlignment="1">
      <alignment horizontal="center" vertical="center"/>
    </xf>
    <xf numFmtId="0" fontId="18" fillId="7" borderId="27" xfId="0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right" vertical="center"/>
    </xf>
    <xf numFmtId="0" fontId="18" fillId="7" borderId="12" xfId="0" applyFont="1" applyFill="1" applyBorder="1" applyAlignment="1">
      <alignment horizontal="center"/>
    </xf>
    <xf numFmtId="0" fontId="29" fillId="7" borderId="3" xfId="12" applyFont="1" applyFill="1" applyBorder="1" applyAlignment="1">
      <alignment horizontal="center" vertical="center" wrapText="1"/>
    </xf>
    <xf numFmtId="0" fontId="25" fillId="8" borderId="3" xfId="12" applyFont="1" applyFill="1" applyBorder="1" applyAlignment="1">
      <alignment horizontal="center" vertical="center" wrapText="1"/>
    </xf>
    <xf numFmtId="6" fontId="25" fillId="6" borderId="3" xfId="12" applyNumberFormat="1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/>
    </xf>
    <xf numFmtId="0" fontId="38" fillId="7" borderId="8" xfId="12" applyFont="1" applyFill="1" applyBorder="1" applyAlignment="1">
      <alignment horizontal="center" wrapText="1"/>
    </xf>
    <xf numFmtId="0" fontId="38" fillId="7" borderId="5" xfId="12" applyFont="1" applyFill="1" applyBorder="1" applyAlignment="1">
      <alignment horizontal="center" wrapText="1"/>
    </xf>
    <xf numFmtId="0" fontId="41" fillId="0" borderId="3" xfId="12" applyFont="1" applyBorder="1" applyAlignment="1">
      <alignment horizontal="left" vertical="center"/>
    </xf>
    <xf numFmtId="0" fontId="38" fillId="7" borderId="3" xfId="0" applyFont="1" applyFill="1" applyBorder="1" applyAlignment="1">
      <alignment horizontal="center"/>
    </xf>
    <xf numFmtId="0" fontId="38" fillId="7" borderId="8" xfId="12" applyFont="1" applyFill="1" applyBorder="1" applyAlignment="1">
      <alignment horizontal="center" vertical="center" wrapText="1"/>
    </xf>
    <xf numFmtId="0" fontId="38" fillId="7" borderId="5" xfId="12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/>
    </xf>
    <xf numFmtId="0" fontId="17" fillId="9" borderId="21" xfId="0" applyFont="1" applyFill="1" applyBorder="1" applyAlignment="1">
      <alignment horizontal="center"/>
    </xf>
    <xf numFmtId="0" fontId="18" fillId="7" borderId="7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40" fillId="0" borderId="12" xfId="0" applyFont="1" applyBorder="1" applyAlignment="1">
      <alignment horizontal="left"/>
    </xf>
    <xf numFmtId="0" fontId="40" fillId="0" borderId="2" xfId="0" applyFont="1" applyBorder="1" applyAlignment="1">
      <alignment horizontal="left"/>
    </xf>
    <xf numFmtId="0" fontId="40" fillId="0" borderId="9" xfId="0" applyFont="1" applyBorder="1" applyAlignment="1">
      <alignment horizontal="left"/>
    </xf>
    <xf numFmtId="0" fontId="38" fillId="7" borderId="12" xfId="0" applyFont="1" applyFill="1" applyBorder="1" applyAlignment="1">
      <alignment horizontal="center"/>
    </xf>
    <xf numFmtId="0" fontId="38" fillId="7" borderId="2" xfId="0" applyFont="1" applyFill="1" applyBorder="1" applyAlignment="1">
      <alignment horizontal="center"/>
    </xf>
    <xf numFmtId="0" fontId="38" fillId="7" borderId="9" xfId="0" applyFont="1" applyFill="1" applyBorder="1" applyAlignment="1">
      <alignment horizontal="center"/>
    </xf>
    <xf numFmtId="0" fontId="38" fillId="7" borderId="3" xfId="0" applyFont="1" applyFill="1" applyBorder="1" applyAlignment="1">
      <alignment horizontal="center" vertical="center"/>
    </xf>
    <xf numFmtId="9" fontId="38" fillId="7" borderId="3" xfId="0" quotePrefix="1" applyNumberFormat="1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/>
    </xf>
    <xf numFmtId="0" fontId="16" fillId="0" borderId="3" xfId="0" applyFont="1" applyBorder="1" applyAlignment="1">
      <alignment horizontal="left" wrapText="1"/>
    </xf>
    <xf numFmtId="0" fontId="17" fillId="8" borderId="3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right"/>
    </xf>
    <xf numFmtId="0" fontId="17" fillId="0" borderId="29" xfId="0" applyFont="1" applyBorder="1" applyAlignment="1">
      <alignment horizontal="right"/>
    </xf>
    <xf numFmtId="0" fontId="17" fillId="0" borderId="18" xfId="0" applyFont="1" applyBorder="1" applyAlignment="1">
      <alignment horizontal="right"/>
    </xf>
    <xf numFmtId="0" fontId="16" fillId="0" borderId="12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8" fillId="7" borderId="3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16" fillId="9" borderId="3" xfId="0" applyFont="1" applyFill="1" applyBorder="1" applyAlignment="1">
      <alignment horizontal="left" vertical="center"/>
    </xf>
    <xf numFmtId="0" fontId="16" fillId="0" borderId="12" xfId="0" applyFont="1" applyBorder="1" applyAlignment="1">
      <alignment horizontal="left" wrapText="1"/>
    </xf>
    <xf numFmtId="0" fontId="16" fillId="0" borderId="9" xfId="0" applyFont="1" applyBorder="1" applyAlignment="1">
      <alignment horizontal="left" wrapText="1"/>
    </xf>
    <xf numFmtId="0" fontId="17" fillId="8" borderId="8" xfId="0" applyFont="1" applyFill="1" applyBorder="1" applyAlignment="1">
      <alignment horizontal="center" vertical="center" wrapText="1"/>
    </xf>
    <xf numFmtId="0" fontId="18" fillId="9" borderId="0" xfId="12" applyFont="1" applyFill="1" applyAlignment="1">
      <alignment horizontal="center"/>
    </xf>
    <xf numFmtId="0" fontId="18" fillId="9" borderId="0" xfId="12" applyFont="1" applyFill="1" applyAlignment="1">
      <alignment horizontal="center" vertical="center"/>
    </xf>
    <xf numFmtId="0" fontId="16" fillId="0" borderId="12" xfId="12" applyFont="1" applyBorder="1" applyAlignment="1">
      <alignment horizontal="left" wrapText="1"/>
    </xf>
    <xf numFmtId="0" fontId="17" fillId="0" borderId="10" xfId="12" applyFont="1" applyBorder="1" applyAlignment="1">
      <alignment horizontal="right"/>
    </xf>
    <xf numFmtId="0" fontId="18" fillId="7" borderId="12" xfId="12" applyFont="1" applyFill="1" applyBorder="1" applyAlignment="1">
      <alignment horizontal="center"/>
    </xf>
    <xf numFmtId="0" fontId="18" fillId="7" borderId="12" xfId="12" applyFont="1" applyFill="1" applyBorder="1" applyAlignment="1">
      <alignment horizontal="center" vertical="center"/>
    </xf>
    <xf numFmtId="0" fontId="18" fillId="7" borderId="2" xfId="12" applyFont="1" applyFill="1" applyBorder="1" applyAlignment="1">
      <alignment horizontal="center" vertical="center"/>
    </xf>
    <xf numFmtId="0" fontId="18" fillId="7" borderId="9" xfId="12" applyFont="1" applyFill="1" applyBorder="1" applyAlignment="1">
      <alignment horizontal="center" vertical="center"/>
    </xf>
    <xf numFmtId="0" fontId="18" fillId="7" borderId="12" xfId="12" applyFont="1" applyFill="1" applyBorder="1" applyAlignment="1">
      <alignment horizontal="center" vertical="center" wrapText="1"/>
    </xf>
    <xf numFmtId="0" fontId="18" fillId="7" borderId="2" xfId="12" applyFont="1" applyFill="1" applyBorder="1" applyAlignment="1">
      <alignment horizontal="center" vertical="center" wrapText="1"/>
    </xf>
    <xf numFmtId="0" fontId="36" fillId="7" borderId="12" xfId="12" applyFont="1" applyFill="1" applyBorder="1" applyAlignment="1">
      <alignment horizontal="center"/>
    </xf>
    <xf numFmtId="0" fontId="36" fillId="7" borderId="2" xfId="12" applyFont="1" applyFill="1" applyBorder="1" applyAlignment="1">
      <alignment horizontal="center"/>
    </xf>
    <xf numFmtId="0" fontId="18" fillId="7" borderId="2" xfId="12" applyFont="1" applyFill="1" applyBorder="1" applyAlignment="1">
      <alignment horizontal="center"/>
    </xf>
    <xf numFmtId="0" fontId="18" fillId="7" borderId="9" xfId="12" applyFont="1" applyFill="1" applyBorder="1" applyAlignment="1">
      <alignment horizontal="center"/>
    </xf>
    <xf numFmtId="0" fontId="18" fillId="7" borderId="19" xfId="12" applyFont="1" applyFill="1" applyBorder="1" applyAlignment="1">
      <alignment horizontal="center" vertical="center" wrapText="1"/>
    </xf>
    <xf numFmtId="0" fontId="17" fillId="7" borderId="3" xfId="12" applyFont="1" applyFill="1" applyBorder="1" applyAlignment="1">
      <alignment horizontal="center" vertical="center" wrapText="1"/>
    </xf>
    <xf numFmtId="170" fontId="16" fillId="0" borderId="3" xfId="35" applyNumberFormat="1" applyFont="1" applyBorder="1" applyAlignment="1">
      <alignment horizontal="center"/>
    </xf>
    <xf numFmtId="2" fontId="17" fillId="9" borderId="12" xfId="12" applyNumberFormat="1" applyFont="1" applyFill="1" applyBorder="1" applyAlignment="1">
      <alignment horizontal="center"/>
    </xf>
    <xf numFmtId="0" fontId="29" fillId="7" borderId="12" xfId="12" applyFont="1" applyFill="1" applyBorder="1" applyAlignment="1">
      <alignment horizontal="center" vertical="center" wrapText="1"/>
    </xf>
    <xf numFmtId="6" fontId="25" fillId="6" borderId="12" xfId="12" applyNumberFormat="1" applyFont="1" applyFill="1" applyBorder="1" applyAlignment="1">
      <alignment horizontal="center" vertical="center" wrapText="1"/>
    </xf>
    <xf numFmtId="0" fontId="18" fillId="7" borderId="8" xfId="12" applyFont="1" applyFill="1" applyBorder="1" applyAlignment="1">
      <alignment horizontal="center" vertical="center"/>
    </xf>
    <xf numFmtId="0" fontId="18" fillId="7" borderId="3" xfId="12" applyFont="1" applyFill="1" applyBorder="1" applyAlignment="1">
      <alignment horizontal="center" vertical="center"/>
    </xf>
    <xf numFmtId="0" fontId="18" fillId="7" borderId="3" xfId="12" applyFont="1" applyFill="1" applyBorder="1" applyAlignment="1">
      <alignment horizontal="center"/>
    </xf>
    <xf numFmtId="0" fontId="17" fillId="0" borderId="22" xfId="12" applyFont="1" applyBorder="1" applyAlignment="1">
      <alignment horizontal="right"/>
    </xf>
    <xf numFmtId="0" fontId="18" fillId="7" borderId="3" xfId="12" applyFont="1" applyFill="1" applyBorder="1" applyAlignment="1">
      <alignment horizontal="center" vertical="center" wrapText="1"/>
    </xf>
    <xf numFmtId="0" fontId="18" fillId="7" borderId="8" xfId="12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wrapText="1"/>
    </xf>
    <xf numFmtId="0" fontId="0" fillId="9" borderId="2" xfId="0" applyFill="1" applyBorder="1" applyAlignment="1">
      <alignment horizontal="center" wrapText="1"/>
    </xf>
    <xf numFmtId="0" fontId="0" fillId="9" borderId="9" xfId="0" applyFill="1" applyBorder="1" applyAlignment="1">
      <alignment horizontal="center" wrapText="1"/>
    </xf>
    <xf numFmtId="0" fontId="11" fillId="0" borderId="22" xfId="0" applyFont="1" applyBorder="1" applyAlignment="1">
      <alignment horizontal="right"/>
    </xf>
    <xf numFmtId="0" fontId="11" fillId="0" borderId="21" xfId="0" applyFont="1" applyBorder="1" applyAlignment="1">
      <alignment horizontal="right"/>
    </xf>
    <xf numFmtId="0" fontId="11" fillId="0" borderId="23" xfId="0" applyFont="1" applyBorder="1" applyAlignment="1">
      <alignment horizontal="right"/>
    </xf>
    <xf numFmtId="0" fontId="29" fillId="7" borderId="2" xfId="12" applyFont="1" applyFill="1" applyBorder="1" applyAlignment="1">
      <alignment horizontal="center" vertical="center" wrapText="1"/>
    </xf>
    <xf numFmtId="0" fontId="29" fillId="7" borderId="9" xfId="12" applyFont="1" applyFill="1" applyBorder="1" applyAlignment="1">
      <alignment horizontal="center" vertical="center" wrapText="1"/>
    </xf>
    <xf numFmtId="0" fontId="25" fillId="8" borderId="12" xfId="12" applyFont="1" applyFill="1" applyBorder="1" applyAlignment="1">
      <alignment horizontal="center" vertical="center" wrapText="1"/>
    </xf>
    <xf numFmtId="0" fontId="25" fillId="8" borderId="9" xfId="12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/>
    </xf>
    <xf numFmtId="0" fontId="21" fillId="7" borderId="12" xfId="0" applyFont="1" applyFill="1" applyBorder="1" applyAlignment="1">
      <alignment horizontal="center"/>
    </xf>
    <xf numFmtId="0" fontId="21" fillId="7" borderId="2" xfId="0" applyFont="1" applyFill="1" applyBorder="1" applyAlignment="1">
      <alignment horizontal="center"/>
    </xf>
    <xf numFmtId="0" fontId="21" fillId="7" borderId="9" xfId="0" applyFont="1" applyFill="1" applyBorder="1" applyAlignment="1">
      <alignment horizontal="center"/>
    </xf>
  </cellXfs>
  <cellStyles count="36">
    <cellStyle name="active" xfId="1" xr:uid="{00000000-0005-0000-0000-000000000000}"/>
    <cellStyle name="Comma 2" xfId="13" xr:uid="{00000000-0005-0000-0000-000002000000}"/>
    <cellStyle name="Comma 3" xfId="23" xr:uid="{00000000-0005-0000-0000-000003000000}"/>
    <cellStyle name="Comma 4" xfId="26" xr:uid="{70843B5B-5B20-425F-A562-FE6217C273E5}"/>
    <cellStyle name="Comma 4 2" xfId="29" xr:uid="{7F7CD4DC-138E-45B6-BD63-8E20BBB70E88}"/>
    <cellStyle name="Comma 4 3" xfId="34" xr:uid="{865A539E-9617-4A9C-8676-579A16C2A4E3}"/>
    <cellStyle name="Comma 5" xfId="35" xr:uid="{4BC2A7B7-C011-4A6D-9EDD-5D96C4863E16}"/>
    <cellStyle name="Currency" xfId="2" builtinId="4"/>
    <cellStyle name="Currency 2" xfId="30" xr:uid="{1EBC2143-73A8-4208-9DCD-D028241C161F}"/>
    <cellStyle name="Currency 2 2" xfId="20" xr:uid="{00000000-0005-0000-0000-000005000000}"/>
    <cellStyle name="Currency 2 3" xfId="33" xr:uid="{C888180E-8EEF-4125-8A3B-FB0092CDE3C9}"/>
    <cellStyle name="Currency 3" xfId="21" xr:uid="{00000000-0005-0000-0000-000006000000}"/>
    <cellStyle name="Currency 8" xfId="17" xr:uid="{00000000-0005-0000-0000-000007000000}"/>
    <cellStyle name="Grey" xfId="3" xr:uid="{00000000-0005-0000-0000-000008000000}"/>
    <cellStyle name="Header1" xfId="4" xr:uid="{00000000-0005-0000-0000-000009000000}"/>
    <cellStyle name="Header2" xfId="5" xr:uid="{00000000-0005-0000-0000-00000A000000}"/>
    <cellStyle name="Hyperlink" xfId="27" builtinId="8"/>
    <cellStyle name="Hyperlink 2" xfId="31" xr:uid="{A264FA62-74C7-4D6F-A50F-0F3D7D9AD2C0}"/>
    <cellStyle name="Input [yellow]" xfId="6" xr:uid="{00000000-0005-0000-0000-00000C000000}"/>
    <cellStyle name="Normal" xfId="0" builtinId="0"/>
    <cellStyle name="Normal - Style1" xfId="7" xr:uid="{00000000-0005-0000-0000-00000E000000}"/>
    <cellStyle name="Normal 11" xfId="16" xr:uid="{00000000-0005-0000-0000-00000F000000}"/>
    <cellStyle name="Normal 11 2" xfId="24" xr:uid="{00000000-0005-0000-0000-000010000000}"/>
    <cellStyle name="Normal 16" xfId="12" xr:uid="{00000000-0005-0000-0000-000011000000}"/>
    <cellStyle name="Normal 2" xfId="8" xr:uid="{00000000-0005-0000-0000-000012000000}"/>
    <cellStyle name="Normal 2 2" xfId="19" xr:uid="{00000000-0005-0000-0000-000013000000}"/>
    <cellStyle name="Normal 3" xfId="28" xr:uid="{1925518A-B263-4CFD-BB5E-0709EEAC8044}"/>
    <cellStyle name="Normal 3 2" xfId="32" xr:uid="{AA2B0321-D12C-419B-9E75-E60F81B6AD7A}"/>
    <cellStyle name="Normal 4" xfId="14" xr:uid="{00000000-0005-0000-0000-000014000000}"/>
    <cellStyle name="Normal 4 2" xfId="15" xr:uid="{00000000-0005-0000-0000-000015000000}"/>
    <cellStyle name="Normal 4 2 2" xfId="25" xr:uid="{BCC2316D-3890-4BC2-81F5-EA24DB0F5E68}"/>
    <cellStyle name="Normal 4 3" xfId="18" xr:uid="{00000000-0005-0000-0000-000016000000}"/>
    <cellStyle name="Normal 5" xfId="22" xr:uid="{00000000-0005-0000-0000-000017000000}"/>
    <cellStyle name="Percent" xfId="9" builtinId="5"/>
    <cellStyle name="Percent [2]" xfId="10" xr:uid="{00000000-0005-0000-0000-000019000000}"/>
    <cellStyle name="PSChar" xfId="11" xr:uid="{00000000-0005-0000-0000-00001A000000}"/>
  </cellStyles>
  <dxfs count="0"/>
  <tableStyles count="0" defaultTableStyle="TableStyleMedium9" defaultPivotStyle="PivotStyleLight16"/>
  <colors>
    <mruColors>
      <color rgb="FFFFFFCC"/>
      <color rgb="FFFEF5E4"/>
      <color rgb="FFFDB924"/>
      <color rgb="FF029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164</xdr:row>
      <xdr:rowOff>66675</xdr:rowOff>
    </xdr:from>
    <xdr:to>
      <xdr:col>8</xdr:col>
      <xdr:colOff>250646</xdr:colOff>
      <xdr:row>169</xdr:row>
      <xdr:rowOff>131011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90A893-DCFD-4C25-B679-0F9B1EF1A4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3543"/>
        <a:stretch/>
      </xdr:blipFill>
      <xdr:spPr>
        <a:xfrm>
          <a:off x="0" y="57607200"/>
          <a:ext cx="5346521" cy="9215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yoming%20TIGER\CBA%20Working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EMCKEN~1\LOCALS~1\Temp\notesE97E9E\Template%20of%20Benefits%20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WFP01\Data\Project\FTW_TPTO\061018034\xls\Service%20Area%20D\2007_8_11_FTW_RIF_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Matrix"/>
      <sheetName val="START Summary"/>
      <sheetName val="START Narrative"/>
      <sheetName val="START Distance Benefit"/>
      <sheetName val="START Costs"/>
      <sheetName val="START VMT Table"/>
      <sheetName val="START Assumptions"/>
      <sheetName val="START Inside Storage Benefit"/>
      <sheetName val="START Mobility Benefit"/>
      <sheetName val="START Safety Benefit"/>
      <sheetName val="START Cost of Extra Idling"/>
      <sheetName val="START Road Cost Benefit"/>
      <sheetName val="START Parking Benefit"/>
      <sheetName val="START Remaining Capital Value"/>
      <sheetName val="START Global Benefit"/>
      <sheetName val="START Energy Cost"/>
      <sheetName val="START CNG Benefits"/>
      <sheetName val="START Value of CO2 rdctn"/>
    </sheetNames>
    <sheetDataSet>
      <sheetData sheetId="0"/>
      <sheetData sheetId="1"/>
      <sheetData sheetId="2"/>
      <sheetData sheetId="3"/>
      <sheetData sheetId="4">
        <row r="5">
          <cell r="I5">
            <v>35873401.852506503</v>
          </cell>
          <cell r="L5">
            <v>-11950617.593879221</v>
          </cell>
        </row>
      </sheetData>
      <sheetData sheetId="5"/>
      <sheetData sheetId="6">
        <row r="31">
          <cell r="B31">
            <v>2013</v>
          </cell>
        </row>
        <row r="32">
          <cell r="B32">
            <v>2015</v>
          </cell>
        </row>
        <row r="33">
          <cell r="B33">
            <v>50</v>
          </cell>
        </row>
        <row r="35">
          <cell r="B35">
            <v>7.0000000000000007E-2</v>
          </cell>
        </row>
        <row r="37">
          <cell r="B37">
            <v>0.26</v>
          </cell>
        </row>
        <row r="39">
          <cell r="B39">
            <v>0.02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I8">
            <v>101752.39</v>
          </cell>
        </row>
      </sheetData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nnel Capacity"/>
      <sheetName val="Notes"/>
    </sheetNames>
    <sheetDataSet>
      <sheetData sheetId="0">
        <row r="2">
          <cell r="C2">
            <v>8000</v>
          </cell>
        </row>
        <row r="3">
          <cell r="C3">
            <v>0.57999999999999996</v>
          </cell>
        </row>
        <row r="4">
          <cell r="C4">
            <v>0</v>
          </cell>
        </row>
        <row r="5">
          <cell r="C5">
            <v>63</v>
          </cell>
        </row>
        <row r="6">
          <cell r="C6">
            <v>36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NEW ROAD"/>
      <sheetName val="CCI"/>
      <sheetName val="PayItems"/>
      <sheetName val="Basswood (4)"/>
      <sheetName val="Basswood (5)"/>
      <sheetName val="Basswood (6)"/>
      <sheetName val="Basswood (7)"/>
      <sheetName val="Summerfields"/>
      <sheetName val="NTP (2)"/>
      <sheetName val="NTP (3)"/>
      <sheetName val="NTP (4)"/>
      <sheetName val="Shiver"/>
      <sheetName val="Heritage Trace (5)"/>
      <sheetName val="Heritage Trace (6)"/>
      <sheetName val="Heritage Trace (7)"/>
      <sheetName val="Golden Triangle (2)"/>
      <sheetName val="Golden Triangle (3)"/>
      <sheetName val="Golden Triangle (4)"/>
      <sheetName val="Keller Hicks (2)"/>
      <sheetName val="Keller Hicks (3)"/>
      <sheetName val="Keller Hicks (4)"/>
      <sheetName val="Timberland (1)"/>
      <sheetName val="Timberland (2)"/>
      <sheetName val="Timberland (3)"/>
      <sheetName val="N. Riverside (1)"/>
      <sheetName val="N. Riverside (2)"/>
      <sheetName val="N. Riverside (3)"/>
      <sheetName val="N. Riverside (4)"/>
      <sheetName val="N. Riverside (5)"/>
      <sheetName val="N. Riverside (6)"/>
      <sheetName val="N. Riverside (7)"/>
      <sheetName val="N. Beach (3)"/>
      <sheetName val="N. Beach (4)"/>
      <sheetName val="N. Beach (5)"/>
      <sheetName val="N. Beach (6)"/>
      <sheetName val="N. Beach (7)"/>
      <sheetName val="N. Beach (8)"/>
      <sheetName val="N. Beach (9)"/>
      <sheetName val="N. Beach (10)"/>
      <sheetName val="Park Vista (2)"/>
      <sheetName val="Park Vista (3)"/>
      <sheetName val="Park Vista (4)"/>
      <sheetName val="Park Vista (5)"/>
      <sheetName val="Summary"/>
      <sheetName val="CIP"/>
      <sheetName val="CIP-cost"/>
      <sheetName val="SupD"/>
      <sheetName val="E-D"/>
      <sheetName val="MaxFee"/>
      <sheetName val="PieCharts"/>
      <sheetName val="LUVMET"/>
      <sheetName val="LUVMET (2)"/>
      <sheetName val="10-Yr"/>
    </sheetNames>
    <sheetDataSet>
      <sheetData sheetId="0"/>
      <sheetData sheetId="1">
        <row r="2">
          <cell r="A2" t="str">
            <v>Median</v>
          </cell>
        </row>
        <row r="3">
          <cell r="A3" t="str">
            <v>NEW</v>
          </cell>
        </row>
        <row r="4">
          <cell r="A4" t="str">
            <v>EXISTING</v>
          </cell>
        </row>
      </sheetData>
      <sheetData sheetId="2">
        <row r="6">
          <cell r="B6">
            <v>155.07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CC"/>
    <pageSetUpPr fitToPage="1"/>
  </sheetPr>
  <dimension ref="A1:Z51"/>
  <sheetViews>
    <sheetView tabSelected="1" workbookViewId="0">
      <selection activeCell="C11" sqref="C11"/>
    </sheetView>
  </sheetViews>
  <sheetFormatPr defaultRowHeight="13.2"/>
  <cols>
    <col min="2" max="2" width="11.88671875" customWidth="1"/>
    <col min="3" max="3" width="11.33203125" bestFit="1" customWidth="1"/>
    <col min="4" max="4" width="14.33203125" customWidth="1"/>
    <col min="5" max="5" width="18.21875" customWidth="1"/>
    <col min="6" max="6" width="16" customWidth="1"/>
    <col min="7" max="7" width="19.5546875" customWidth="1"/>
    <col min="8" max="8" width="18.33203125" customWidth="1"/>
  </cols>
  <sheetData>
    <row r="1" spans="1:26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32.25" customHeight="1" thickBot="1">
      <c r="A2" s="65"/>
      <c r="B2" s="334" t="s">
        <v>0</v>
      </c>
      <c r="C2" s="334"/>
      <c r="D2" s="7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26" ht="62.25" customHeight="1" thickTop="1">
      <c r="A3" s="65"/>
      <c r="B3" s="335" t="str">
        <f>'Summary Table'!A1</f>
        <v>2022 BCA SUMMARY - U.S. 412 IMPROVEMENTS TO INTERSTATE STANDARDS PROJECT</v>
      </c>
      <c r="C3" s="336"/>
      <c r="D3" s="8">
        <f>Costs!C3</f>
        <v>139790000</v>
      </c>
      <c r="E3" s="8">
        <f>'Summary Table'!V41</f>
        <v>80590367</v>
      </c>
      <c r="F3" s="8">
        <f>'Summary Table'!O41</f>
        <v>435657500.87327421</v>
      </c>
      <c r="G3" s="8">
        <f>'Summary Table'!R41</f>
        <v>138195934.94165322</v>
      </c>
      <c r="H3" s="9">
        <f>'Summary Table'!C4</f>
        <v>1.7147947091698097</v>
      </c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4" spans="1:26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 ht="15.6">
      <c r="A7" s="65"/>
      <c r="B7" s="65"/>
      <c r="C7" s="65"/>
      <c r="D7" s="65"/>
      <c r="E7" s="65"/>
      <c r="F7" s="65"/>
      <c r="G7" s="65"/>
      <c r="H7" s="65"/>
      <c r="I7" s="122"/>
      <c r="J7" s="122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5.6">
      <c r="A8" s="65"/>
      <c r="B8" s="65"/>
      <c r="C8" s="65"/>
      <c r="D8" s="65"/>
      <c r="E8" s="65"/>
      <c r="F8" s="65"/>
      <c r="G8" s="65"/>
      <c r="H8" s="65"/>
      <c r="I8" s="122"/>
      <c r="J8" s="122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</row>
    <row r="9" spans="1:26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</row>
    <row r="10" spans="1:26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</row>
    <row r="11" spans="1:26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</row>
    <row r="12" spans="1:26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</row>
    <row r="13" spans="1:26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</row>
    <row r="14" spans="1:26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</row>
    <row r="15" spans="1:26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</row>
    <row r="16" spans="1:26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</row>
    <row r="17" spans="1:26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</row>
    <row r="18" spans="1:26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</row>
    <row r="19" spans="1:26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</row>
    <row r="20" spans="1:26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</row>
    <row r="21" spans="1:26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</row>
    <row r="22" spans="1:26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</row>
    <row r="23" spans="1:26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</row>
    <row r="24" spans="1:26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</row>
    <row r="26" spans="1:26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</row>
    <row r="27" spans="1:26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</row>
    <row r="28" spans="1:26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</row>
    <row r="29" spans="1:26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</row>
    <row r="30" spans="1:26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</row>
    <row r="31" spans="1:26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</row>
    <row r="32" spans="1:26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</row>
    <row r="33" spans="1:26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</row>
    <row r="34" spans="1:26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</row>
    <row r="35" spans="1:26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</row>
    <row r="36" spans="1:26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</row>
    <row r="38" spans="1:26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</row>
    <row r="39" spans="1:26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</row>
    <row r="40" spans="1:26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</row>
    <row r="41" spans="1:26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</row>
    <row r="42" spans="1:26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43" spans="1:26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46" spans="1:26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</row>
    <row r="50" spans="1:26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spans="1:26"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</sheetData>
  <mergeCells count="2">
    <mergeCell ref="B2:C2"/>
    <mergeCell ref="B3:C3"/>
  </mergeCells>
  <pageMargins left="0.7" right="0.7" top="0.75" bottom="0.75" header="0.3" footer="0.3"/>
  <pageSetup scale="96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581F9-3E96-449E-A527-903E83E687E2}">
  <sheetPr>
    <tabColor theme="6"/>
    <pageSetUpPr fitToPage="1"/>
  </sheetPr>
  <dimension ref="A1:EY483"/>
  <sheetViews>
    <sheetView workbookViewId="0"/>
  </sheetViews>
  <sheetFormatPr defaultRowHeight="13.2"/>
  <cols>
    <col min="1" max="1" width="13.88671875" customWidth="1"/>
    <col min="2" max="2" width="16.6640625" customWidth="1"/>
    <col min="3" max="3" width="15.6640625" customWidth="1"/>
    <col min="4" max="4" width="16.109375" bestFit="1" customWidth="1"/>
    <col min="5" max="5" width="14.6640625" customWidth="1"/>
    <col min="6" max="7" width="11.88671875" customWidth="1"/>
    <col min="8" max="8" width="12.44140625" bestFit="1" customWidth="1"/>
    <col min="9" max="9" width="14" customWidth="1"/>
    <col min="10" max="10" width="12.33203125" customWidth="1"/>
    <col min="11" max="11" width="10.44140625" customWidth="1"/>
    <col min="12" max="12" width="11.77734375" customWidth="1"/>
    <col min="13" max="13" width="10.109375" customWidth="1"/>
    <col min="14" max="14" width="11.21875" customWidth="1"/>
    <col min="15" max="15" width="11.33203125" customWidth="1"/>
    <col min="16" max="16" width="12.5546875" customWidth="1"/>
    <col min="17" max="17" width="11.6640625" customWidth="1"/>
    <col min="18" max="18" width="12.6640625" customWidth="1"/>
    <col min="19" max="19" width="12.88671875" customWidth="1"/>
    <col min="20" max="20" width="12.5546875" customWidth="1"/>
    <col min="21" max="21" width="17.44140625" customWidth="1"/>
    <col min="22" max="22" width="14.6640625" customWidth="1"/>
    <col min="23" max="23" width="12.88671875" bestFit="1" customWidth="1"/>
    <col min="24" max="30" width="10.6640625" customWidth="1"/>
    <col min="31" max="155" width="8.88671875" style="65"/>
  </cols>
  <sheetData>
    <row r="1" spans="1:30" ht="23.4">
      <c r="A1" s="265" t="s">
        <v>222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</row>
    <row r="2" spans="1:30" ht="18">
      <c r="A2" s="116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</row>
    <row r="3" spans="1:30" ht="18" customHeight="1">
      <c r="A3" s="343" t="s">
        <v>6</v>
      </c>
      <c r="B3" s="344"/>
      <c r="C3" s="34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30" ht="19.95" customHeight="1">
      <c r="A4" s="346" t="s">
        <v>7</v>
      </c>
      <c r="B4" s="346"/>
      <c r="C4" s="60">
        <f>R41/V41</f>
        <v>1.7147947091698097</v>
      </c>
      <c r="D4" s="77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</row>
    <row r="5" spans="1:30" ht="18" customHeight="1">
      <c r="A5" s="347" t="s">
        <v>8</v>
      </c>
      <c r="B5" s="347"/>
      <c r="C5" s="58">
        <f>IRR(D12:D40)</f>
        <v>5.0195386892320393E-2</v>
      </c>
      <c r="D5" s="77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</row>
    <row r="6" spans="1:30" ht="18" customHeight="1">
      <c r="A6" s="347" t="s">
        <v>9</v>
      </c>
      <c r="B6" s="347"/>
      <c r="C6" s="59">
        <f>R41-V41</f>
        <v>57605567.941653222</v>
      </c>
      <c r="D6" s="77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30" ht="18" customHeight="1">
      <c r="A7" s="347" t="s">
        <v>10</v>
      </c>
      <c r="B7" s="347"/>
      <c r="C7" s="58">
        <v>7.0000000000000007E-2</v>
      </c>
      <c r="D7" s="77" t="s">
        <v>194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30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</row>
    <row r="9" spans="1:30" ht="14.4" customHeight="1">
      <c r="A9" s="337" t="s">
        <v>11</v>
      </c>
      <c r="B9" s="338"/>
      <c r="C9" s="338"/>
      <c r="D9" s="338"/>
      <c r="E9" s="339"/>
      <c r="F9" s="65"/>
      <c r="G9" s="65"/>
      <c r="H9" s="354" t="s">
        <v>192</v>
      </c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65"/>
      <c r="T9" s="337" t="s">
        <v>193</v>
      </c>
      <c r="U9" s="338"/>
      <c r="V9" s="339"/>
      <c r="W9" s="65"/>
      <c r="X9" s="65"/>
      <c r="Y9" s="65"/>
      <c r="Z9" s="65"/>
      <c r="AA9" s="65"/>
      <c r="AB9" s="65"/>
      <c r="AC9" s="65"/>
      <c r="AD9" s="65"/>
    </row>
    <row r="10" spans="1:30" ht="14.4" customHeight="1">
      <c r="A10" s="340"/>
      <c r="B10" s="341"/>
      <c r="C10" s="341"/>
      <c r="D10" s="341"/>
      <c r="E10" s="342"/>
      <c r="F10" s="65"/>
      <c r="G10" s="65"/>
      <c r="H10" s="350" t="s">
        <v>12</v>
      </c>
      <c r="I10" s="237"/>
      <c r="J10" s="352" t="s">
        <v>13</v>
      </c>
      <c r="K10" s="353"/>
      <c r="L10" s="352" t="s">
        <v>14</v>
      </c>
      <c r="M10" s="353"/>
      <c r="N10" s="230" t="s">
        <v>15</v>
      </c>
      <c r="O10" s="348" t="s">
        <v>16</v>
      </c>
      <c r="P10" s="348" t="s">
        <v>17</v>
      </c>
      <c r="Q10" s="348" t="s">
        <v>18</v>
      </c>
      <c r="R10" s="348" t="s">
        <v>19</v>
      </c>
      <c r="S10" s="65"/>
      <c r="T10" s="340"/>
      <c r="U10" s="341"/>
      <c r="V10" s="342"/>
      <c r="W10" s="65"/>
      <c r="X10" s="65"/>
      <c r="Y10" s="65"/>
      <c r="Z10" s="65"/>
      <c r="AA10" s="65"/>
      <c r="AB10" s="65"/>
      <c r="AC10" s="65"/>
      <c r="AD10" s="65"/>
    </row>
    <row r="11" spans="1:30" ht="48.75" customHeight="1" thickBot="1">
      <c r="A11" s="62" t="s">
        <v>12</v>
      </c>
      <c r="B11" s="62" t="s">
        <v>20</v>
      </c>
      <c r="C11" s="62" t="s">
        <v>21</v>
      </c>
      <c r="D11" s="62" t="s">
        <v>22</v>
      </c>
      <c r="E11" s="62" t="s">
        <v>23</v>
      </c>
      <c r="F11" s="65"/>
      <c r="G11" s="65"/>
      <c r="H11" s="351"/>
      <c r="I11" s="62" t="s">
        <v>24</v>
      </c>
      <c r="J11" s="62" t="s">
        <v>25</v>
      </c>
      <c r="K11" s="62" t="s">
        <v>26</v>
      </c>
      <c r="L11" s="62" t="s">
        <v>27</v>
      </c>
      <c r="M11" s="62" t="s">
        <v>28</v>
      </c>
      <c r="N11" s="62" t="s">
        <v>29</v>
      </c>
      <c r="O11" s="349"/>
      <c r="P11" s="349"/>
      <c r="Q11" s="349"/>
      <c r="R11" s="349"/>
      <c r="S11" s="65"/>
      <c r="T11" s="62" t="s">
        <v>12</v>
      </c>
      <c r="U11" s="62" t="s">
        <v>1</v>
      </c>
      <c r="V11" s="62" t="s">
        <v>17</v>
      </c>
      <c r="W11" s="65"/>
      <c r="X11" s="65"/>
      <c r="Y11" s="65"/>
      <c r="Z11" s="65"/>
      <c r="AA11" s="65"/>
      <c r="AB11" s="65"/>
      <c r="AC11" s="65"/>
      <c r="AD11" s="65"/>
    </row>
    <row r="12" spans="1:30" ht="13.95" customHeight="1" thickTop="1">
      <c r="A12" s="194">
        <v>2020</v>
      </c>
      <c r="B12" s="143">
        <f t="shared" ref="B12" si="0">V12</f>
        <v>0</v>
      </c>
      <c r="C12" s="144">
        <f t="shared" ref="C12:C40" si="1">P12</f>
        <v>0</v>
      </c>
      <c r="D12" s="143">
        <f t="shared" ref="D12" si="2">C12-B12</f>
        <v>0</v>
      </c>
      <c r="E12" s="145">
        <f>D12</f>
        <v>0</v>
      </c>
      <c r="F12" s="65"/>
      <c r="G12" s="65"/>
      <c r="H12" s="194">
        <v>2020</v>
      </c>
      <c r="I12" s="150"/>
      <c r="J12" s="140"/>
      <c r="K12" s="129"/>
      <c r="L12" s="140"/>
      <c r="M12" s="129"/>
      <c r="N12" s="140"/>
      <c r="O12" s="129"/>
      <c r="P12" s="140"/>
      <c r="Q12" s="129"/>
      <c r="R12" s="140"/>
      <c r="S12" s="65"/>
      <c r="T12" s="194">
        <v>2020</v>
      </c>
      <c r="U12" s="149">
        <f>Costs!G5</f>
        <v>0</v>
      </c>
      <c r="V12" s="150">
        <f>Costs!H5</f>
        <v>0</v>
      </c>
      <c r="W12" s="65"/>
      <c r="X12" s="65"/>
      <c r="Y12" s="65"/>
      <c r="Z12" s="65"/>
      <c r="AA12" s="65"/>
      <c r="AB12" s="65"/>
      <c r="AC12" s="65"/>
      <c r="AD12" s="65"/>
    </row>
    <row r="13" spans="1:30" ht="13.8">
      <c r="A13" s="194">
        <v>2021</v>
      </c>
      <c r="B13" s="143">
        <f t="shared" ref="B13:B40" si="3">V13</f>
        <v>0</v>
      </c>
      <c r="C13" s="144">
        <f t="shared" si="1"/>
        <v>0</v>
      </c>
      <c r="D13" s="143">
        <f t="shared" ref="D13:D40" si="4">C13-B13</f>
        <v>0</v>
      </c>
      <c r="E13" s="145">
        <f>D13+E12</f>
        <v>0</v>
      </c>
      <c r="F13" s="65"/>
      <c r="G13" s="65"/>
      <c r="H13" s="194">
        <v>2021</v>
      </c>
      <c r="I13" s="150"/>
      <c r="J13" s="140"/>
      <c r="K13" s="129"/>
      <c r="L13" s="140"/>
      <c r="M13" s="129"/>
      <c r="N13" s="140"/>
      <c r="O13" s="129"/>
      <c r="P13" s="140"/>
      <c r="Q13" s="129"/>
      <c r="R13" s="140"/>
      <c r="S13" s="65"/>
      <c r="T13" s="194">
        <v>2021</v>
      </c>
      <c r="U13" s="149">
        <f>Costs!G6</f>
        <v>0</v>
      </c>
      <c r="V13" s="150">
        <f>Costs!H6</f>
        <v>0</v>
      </c>
      <c r="W13" s="65"/>
      <c r="X13" s="65"/>
      <c r="Y13" s="65"/>
      <c r="Z13" s="65"/>
      <c r="AA13" s="65"/>
      <c r="AB13" s="65"/>
      <c r="AC13" s="65"/>
      <c r="AD13" s="65"/>
    </row>
    <row r="14" spans="1:30" ht="13.8">
      <c r="A14" s="194">
        <f t="shared" ref="A14:A40" si="5">A13+1</f>
        <v>2022</v>
      </c>
      <c r="B14" s="143">
        <f t="shared" si="3"/>
        <v>1262282</v>
      </c>
      <c r="C14" s="144">
        <f t="shared" si="1"/>
        <v>0</v>
      </c>
      <c r="D14" s="143">
        <f t="shared" si="4"/>
        <v>-1262282</v>
      </c>
      <c r="E14" s="145">
        <f t="shared" ref="E14:E20" si="6">D14+E13</f>
        <v>-1262282</v>
      </c>
      <c r="F14" s="65"/>
      <c r="G14" s="65"/>
      <c r="H14" s="194">
        <f t="shared" ref="H14:H40" si="7">H13+1</f>
        <v>2022</v>
      </c>
      <c r="I14" s="150"/>
      <c r="J14" s="140"/>
      <c r="K14" s="129"/>
      <c r="L14" s="140"/>
      <c r="M14" s="129"/>
      <c r="N14" s="140"/>
      <c r="O14" s="129"/>
      <c r="P14" s="140"/>
      <c r="Q14" s="129"/>
      <c r="R14" s="140"/>
      <c r="S14" s="65"/>
      <c r="T14" s="194">
        <f t="shared" ref="T14:T40" si="8">T13+1</f>
        <v>2022</v>
      </c>
      <c r="U14" s="149">
        <f>Costs!G7</f>
        <v>1445187</v>
      </c>
      <c r="V14" s="150">
        <f>Costs!H7</f>
        <v>1262282</v>
      </c>
      <c r="W14" s="65"/>
      <c r="X14" s="65"/>
      <c r="Y14" s="65"/>
      <c r="Z14" s="65"/>
      <c r="AA14" s="65"/>
      <c r="AB14" s="65"/>
      <c r="AC14" s="65"/>
      <c r="AD14" s="65"/>
    </row>
    <row r="15" spans="1:30" ht="13.8">
      <c r="A15" s="194">
        <f t="shared" si="5"/>
        <v>2023</v>
      </c>
      <c r="B15" s="143">
        <f t="shared" si="3"/>
        <v>7800666</v>
      </c>
      <c r="C15" s="144">
        <f t="shared" si="1"/>
        <v>0</v>
      </c>
      <c r="D15" s="143">
        <f t="shared" si="4"/>
        <v>-7800666</v>
      </c>
      <c r="E15" s="145">
        <f t="shared" si="6"/>
        <v>-9062948</v>
      </c>
      <c r="F15" s="65"/>
      <c r="G15" s="65"/>
      <c r="H15" s="194">
        <f t="shared" si="7"/>
        <v>2023</v>
      </c>
      <c r="I15" s="150"/>
      <c r="J15" s="140"/>
      <c r="K15" s="129"/>
      <c r="L15" s="140"/>
      <c r="M15" s="129"/>
      <c r="N15" s="140"/>
      <c r="O15" s="129"/>
      <c r="P15" s="140"/>
      <c r="Q15" s="129"/>
      <c r="R15" s="140"/>
      <c r="S15" s="65"/>
      <c r="T15" s="194">
        <f t="shared" si="8"/>
        <v>2023</v>
      </c>
      <c r="U15" s="149">
        <f>Costs!G8</f>
        <v>9556151</v>
      </c>
      <c r="V15" s="150">
        <f>Costs!H8</f>
        <v>7800666</v>
      </c>
      <c r="W15" s="65"/>
      <c r="X15" s="65"/>
      <c r="Y15" s="65"/>
      <c r="Z15" s="65"/>
      <c r="AA15" s="65"/>
      <c r="AB15" s="65"/>
      <c r="AC15" s="65"/>
      <c r="AD15" s="65"/>
    </row>
    <row r="16" spans="1:30" ht="13.8">
      <c r="A16" s="194">
        <f t="shared" si="5"/>
        <v>2024</v>
      </c>
      <c r="B16" s="143">
        <f t="shared" si="3"/>
        <v>4464348</v>
      </c>
      <c r="C16" s="144">
        <f t="shared" si="1"/>
        <v>0</v>
      </c>
      <c r="D16" s="143">
        <f t="shared" si="4"/>
        <v>-4464348</v>
      </c>
      <c r="E16" s="145">
        <f t="shared" si="6"/>
        <v>-13527296</v>
      </c>
      <c r="F16" s="65"/>
      <c r="G16" s="65"/>
      <c r="H16" s="194">
        <f t="shared" si="7"/>
        <v>2024</v>
      </c>
      <c r="I16" s="150"/>
      <c r="J16" s="140"/>
      <c r="K16" s="129"/>
      <c r="L16" s="140"/>
      <c r="M16" s="129"/>
      <c r="N16" s="140"/>
      <c r="O16" s="129"/>
      <c r="P16" s="140"/>
      <c r="Q16" s="129"/>
      <c r="R16" s="140"/>
      <c r="S16" s="65"/>
      <c r="T16" s="194">
        <f t="shared" si="8"/>
        <v>2024</v>
      </c>
      <c r="U16" s="149">
        <f>Costs!G9</f>
        <v>5851849</v>
      </c>
      <c r="V16" s="150">
        <f>Costs!H9</f>
        <v>4464348</v>
      </c>
      <c r="W16" s="65"/>
      <c r="X16" s="65"/>
      <c r="Y16" s="65"/>
      <c r="Z16" s="65"/>
      <c r="AA16" s="65"/>
      <c r="AB16" s="65"/>
      <c r="AC16" s="65"/>
      <c r="AD16" s="65"/>
    </row>
    <row r="17" spans="1:30" ht="13.8">
      <c r="A17" s="194">
        <f t="shared" si="5"/>
        <v>2025</v>
      </c>
      <c r="B17" s="143">
        <f t="shared" si="3"/>
        <v>23973652</v>
      </c>
      <c r="C17" s="144">
        <f t="shared" si="1"/>
        <v>0</v>
      </c>
      <c r="D17" s="143">
        <f t="shared" si="4"/>
        <v>-23973652</v>
      </c>
      <c r="E17" s="145">
        <f>D17+E16</f>
        <v>-37500948</v>
      </c>
      <c r="F17" s="65"/>
      <c r="G17" s="65"/>
      <c r="H17" s="194">
        <f t="shared" si="7"/>
        <v>2025</v>
      </c>
      <c r="I17" s="150"/>
      <c r="J17" s="140"/>
      <c r="K17" s="129"/>
      <c r="L17" s="140"/>
      <c r="M17" s="129"/>
      <c r="N17" s="140"/>
      <c r="O17" s="129"/>
      <c r="P17" s="140"/>
      <c r="Q17" s="129"/>
      <c r="R17" s="140"/>
      <c r="S17" s="65"/>
      <c r="T17" s="194">
        <f t="shared" si="8"/>
        <v>2025</v>
      </c>
      <c r="U17" s="149">
        <f>Costs!G10</f>
        <v>33624287</v>
      </c>
      <c r="V17" s="150">
        <f>Costs!H10</f>
        <v>23973652</v>
      </c>
      <c r="W17" s="65"/>
      <c r="X17" s="65"/>
      <c r="Y17" s="65"/>
      <c r="Z17" s="65"/>
      <c r="AA17" s="65"/>
      <c r="AB17" s="65"/>
      <c r="AC17" s="65"/>
      <c r="AD17" s="65"/>
    </row>
    <row r="18" spans="1:30" ht="13.8">
      <c r="A18" s="194">
        <f t="shared" si="5"/>
        <v>2026</v>
      </c>
      <c r="B18" s="143">
        <f t="shared" si="3"/>
        <v>19837569</v>
      </c>
      <c r="C18" s="144">
        <f t="shared" si="1"/>
        <v>0</v>
      </c>
      <c r="D18" s="143">
        <f t="shared" si="4"/>
        <v>-19837569</v>
      </c>
      <c r="E18" s="145">
        <f t="shared" si="6"/>
        <v>-57338517</v>
      </c>
      <c r="F18" s="65"/>
      <c r="G18" s="65"/>
      <c r="H18" s="194">
        <f t="shared" si="7"/>
        <v>2026</v>
      </c>
      <c r="I18" s="150"/>
      <c r="J18" s="140"/>
      <c r="K18" s="129"/>
      <c r="L18" s="140"/>
      <c r="M18" s="129"/>
      <c r="N18" s="140"/>
      <c r="O18" s="129"/>
      <c r="P18" s="140"/>
      <c r="Q18" s="129"/>
      <c r="R18" s="140"/>
      <c r="S18" s="65"/>
      <c r="T18" s="194">
        <f t="shared" si="8"/>
        <v>2026</v>
      </c>
      <c r="U18" s="149">
        <f>Costs!G11</f>
        <v>29770842</v>
      </c>
      <c r="V18" s="150">
        <f>Costs!H11</f>
        <v>19837569</v>
      </c>
      <c r="W18" s="65"/>
      <c r="X18" s="65"/>
      <c r="Y18" s="65"/>
      <c r="Z18" s="65"/>
      <c r="AA18" s="65"/>
      <c r="AB18" s="65"/>
      <c r="AC18" s="65"/>
      <c r="AD18" s="65"/>
    </row>
    <row r="19" spans="1:30" ht="13.8">
      <c r="A19" s="194">
        <f t="shared" si="5"/>
        <v>2027</v>
      </c>
      <c r="B19" s="143">
        <f t="shared" si="3"/>
        <v>18539784</v>
      </c>
      <c r="C19" s="144">
        <f t="shared" si="1"/>
        <v>9500751.9681005739</v>
      </c>
      <c r="D19" s="143">
        <f t="shared" si="4"/>
        <v>-9039032.0318994261</v>
      </c>
      <c r="E19" s="145">
        <f t="shared" si="6"/>
        <v>-66377549.031899422</v>
      </c>
      <c r="F19" s="65"/>
      <c r="G19" s="65"/>
      <c r="H19" s="194">
        <f t="shared" si="7"/>
        <v>2027</v>
      </c>
      <c r="I19" s="150"/>
      <c r="J19" s="140">
        <f>'Travel Time'!N11</f>
        <v>12453.522991890386</v>
      </c>
      <c r="K19" s="129">
        <f>'Travel Time'!L39</f>
        <v>0</v>
      </c>
      <c r="L19" s="140">
        <f>'Environmental Protection'!G8</f>
        <v>0</v>
      </c>
      <c r="M19" s="129">
        <f>'Environmental Protection'!H8</f>
        <v>0</v>
      </c>
      <c r="N19" s="140">
        <f>Safety!D10</f>
        <v>15243678</v>
      </c>
      <c r="O19" s="129">
        <f>SUM(I19:N19)</f>
        <v>15256131.52299189</v>
      </c>
      <c r="P19" s="140">
        <f>SUM(I19,J19,K19,L19,N19)*INDEX(NPV!$C$3:$C$42,MATCH('Summary Table'!$H19,NPV!$B$3:$B$42,0))</f>
        <v>9500751.9681005739</v>
      </c>
      <c r="Q19" s="129">
        <f>M19*INDEX(NPV!$D$3:$D$42,MATCH('Summary Table'!$H19,NPV!$B$3:$B$42,0))</f>
        <v>0</v>
      </c>
      <c r="R19" s="140">
        <f>SUM(P19:Q19)</f>
        <v>9500751.9681005739</v>
      </c>
      <c r="S19" s="65"/>
      <c r="T19" s="194">
        <f t="shared" si="8"/>
        <v>2027</v>
      </c>
      <c r="U19" s="149">
        <f>Costs!G12</f>
        <v>29770842</v>
      </c>
      <c r="V19" s="150">
        <f>Costs!H12</f>
        <v>18539784</v>
      </c>
      <c r="W19" s="65"/>
      <c r="X19" s="65"/>
      <c r="Y19" s="65"/>
      <c r="Z19" s="65"/>
      <c r="AA19" s="65"/>
      <c r="AB19" s="65"/>
      <c r="AC19" s="65"/>
      <c r="AD19" s="65"/>
    </row>
    <row r="20" spans="1:30" ht="13.8">
      <c r="A20" s="194">
        <f t="shared" si="5"/>
        <v>2028</v>
      </c>
      <c r="B20" s="143">
        <f t="shared" si="3"/>
        <v>17326901</v>
      </c>
      <c r="C20" s="144">
        <f t="shared" si="1"/>
        <v>8881627.4066579826</v>
      </c>
      <c r="D20" s="143">
        <f t="shared" si="4"/>
        <v>-8445273.5933420174</v>
      </c>
      <c r="E20" s="145">
        <f t="shared" si="6"/>
        <v>-74822822.625241444</v>
      </c>
      <c r="F20" s="65"/>
      <c r="G20" s="65"/>
      <c r="H20" s="194">
        <f t="shared" si="7"/>
        <v>2028</v>
      </c>
      <c r="I20" s="150"/>
      <c r="J20" s="140">
        <f>'Travel Time'!N12</f>
        <v>12647.464536164387</v>
      </c>
      <c r="K20" s="129">
        <f>'Travel Time'!L40</f>
        <v>0</v>
      </c>
      <c r="L20" s="140">
        <f>'Environmental Protection'!G9</f>
        <v>0</v>
      </c>
      <c r="M20" s="129">
        <f>'Environmental Protection'!H9</f>
        <v>0</v>
      </c>
      <c r="N20" s="140">
        <f>Safety!D11</f>
        <v>15247642</v>
      </c>
      <c r="O20" s="129">
        <f t="shared" ref="O20:O39" si="9">SUM(I20:N20)</f>
        <v>15260289.464536164</v>
      </c>
      <c r="P20" s="140">
        <f>SUM(I20,J20,K20,L20,N20)*INDEX(NPV!$C$3:$C$42,MATCH('Summary Table'!$H20,NPV!$B$3:$B$42,0))</f>
        <v>8881627.4066579826</v>
      </c>
      <c r="Q20" s="129">
        <f>M20*INDEX(NPV!$D$3:$D$42,MATCH('Summary Table'!$H20,NPV!$B$3:$B$42,0))</f>
        <v>0</v>
      </c>
      <c r="R20" s="140">
        <f t="shared" ref="R20:R40" si="10">SUM(P20:Q20)</f>
        <v>8881627.4066579826</v>
      </c>
      <c r="S20" s="65"/>
      <c r="T20" s="194">
        <f t="shared" si="8"/>
        <v>2028</v>
      </c>
      <c r="U20" s="149">
        <f>Costs!G13</f>
        <v>29770842</v>
      </c>
      <c r="V20" s="150">
        <f>Costs!H13</f>
        <v>17326901</v>
      </c>
      <c r="W20" s="65"/>
      <c r="X20" s="65"/>
      <c r="Y20" s="65"/>
      <c r="Z20" s="65"/>
      <c r="AA20" s="65"/>
      <c r="AB20" s="65"/>
      <c r="AC20" s="65"/>
      <c r="AD20" s="65"/>
    </row>
    <row r="21" spans="1:30" ht="13.8">
      <c r="A21" s="194">
        <f t="shared" si="5"/>
        <v>2029</v>
      </c>
      <c r="B21" s="143">
        <f t="shared" si="3"/>
        <v>0</v>
      </c>
      <c r="C21" s="144">
        <f t="shared" si="1"/>
        <v>8260759.7929877276</v>
      </c>
      <c r="D21" s="143">
        <f t="shared" si="4"/>
        <v>8260759.7929877276</v>
      </c>
      <c r="E21" s="146">
        <f>D21+E20</f>
        <v>-66562062.832253717</v>
      </c>
      <c r="F21" s="65"/>
      <c r="G21" s="65"/>
      <c r="H21" s="194">
        <f t="shared" si="7"/>
        <v>2029</v>
      </c>
      <c r="I21" s="150">
        <f>Maintenance!D8</f>
        <v>-150000</v>
      </c>
      <c r="J21" s="140">
        <f>'Travel Time'!N13</f>
        <v>12844.943008297456</v>
      </c>
      <c r="K21" s="129">
        <f>'Travel Time'!L41</f>
        <v>0</v>
      </c>
      <c r="L21" s="140">
        <f>'Environmental Protection'!G10</f>
        <v>0</v>
      </c>
      <c r="M21" s="129">
        <f>'Environmental Protection'!H10</f>
        <v>0</v>
      </c>
      <c r="N21" s="140">
        <f>Safety!D12</f>
        <v>15324225</v>
      </c>
      <c r="O21" s="129">
        <f t="shared" si="9"/>
        <v>15187069.943008298</v>
      </c>
      <c r="P21" s="140">
        <f>SUM(I21,J21,K21,L21,N21)*INDEX(NPV!$C$3:$C$42,MATCH('Summary Table'!$H21,NPV!$B$3:$B$42,0))</f>
        <v>8260759.7929877276</v>
      </c>
      <c r="Q21" s="129">
        <f>M21*INDEX(NPV!$D$3:$D$42,MATCH('Summary Table'!$H21,NPV!$B$3:$B$42,0))</f>
        <v>0</v>
      </c>
      <c r="R21" s="140">
        <f t="shared" si="10"/>
        <v>8260759.7929877276</v>
      </c>
      <c r="S21" s="65"/>
      <c r="T21" s="194">
        <f t="shared" si="8"/>
        <v>2029</v>
      </c>
      <c r="U21" s="149">
        <f>Costs!G14</f>
        <v>0</v>
      </c>
      <c r="V21" s="150">
        <f>Costs!H14</f>
        <v>0</v>
      </c>
      <c r="W21" s="65"/>
      <c r="X21" s="65"/>
      <c r="Y21" s="65"/>
      <c r="Z21" s="65"/>
      <c r="AA21" s="65"/>
      <c r="AB21" s="65"/>
      <c r="AC21" s="65"/>
      <c r="AD21" s="65"/>
    </row>
    <row r="22" spans="1:30" ht="13.8">
      <c r="A22" s="194">
        <f t="shared" si="5"/>
        <v>2030</v>
      </c>
      <c r="B22" s="143">
        <f t="shared" si="3"/>
        <v>0</v>
      </c>
      <c r="C22" s="144">
        <f t="shared" si="1"/>
        <v>7772874.8793322043</v>
      </c>
      <c r="D22" s="143">
        <f t="shared" si="4"/>
        <v>7772874.8793322043</v>
      </c>
      <c r="E22" s="146">
        <f t="shared" ref="E22:E40" si="11">D22+E21</f>
        <v>-58789187.95292151</v>
      </c>
      <c r="F22" s="65"/>
      <c r="G22" s="65"/>
      <c r="H22" s="194">
        <f t="shared" si="7"/>
        <v>2030</v>
      </c>
      <c r="I22" s="150">
        <f>Maintenance!D9</f>
        <v>-85000</v>
      </c>
      <c r="J22" s="140">
        <f>'Travel Time'!N14</f>
        <v>13045.368920313113</v>
      </c>
      <c r="K22" s="129">
        <f>'Travel Time'!L42</f>
        <v>0</v>
      </c>
      <c r="L22" s="140">
        <f>'Environmental Protection'!G11</f>
        <v>0</v>
      </c>
      <c r="M22" s="129">
        <f>'Environmental Protection'!H11</f>
        <v>0</v>
      </c>
      <c r="N22" s="140">
        <f>Safety!D13</f>
        <v>15362376</v>
      </c>
      <c r="O22" s="129">
        <f t="shared" si="9"/>
        <v>15290421.368920313</v>
      </c>
      <c r="P22" s="140">
        <f>SUM(I22,J22,K22,L22,N22)*INDEX(NPV!$C$3:$C$42,MATCH('Summary Table'!$H22,NPV!$B$3:$B$42,0))</f>
        <v>7772874.8793322043</v>
      </c>
      <c r="Q22" s="129">
        <f>M22*INDEX(NPV!$D$3:$D$42,MATCH('Summary Table'!$H22,NPV!$B$3:$B$42,0))</f>
        <v>0</v>
      </c>
      <c r="R22" s="140">
        <f t="shared" si="10"/>
        <v>7772874.8793322043</v>
      </c>
      <c r="S22" s="65"/>
      <c r="T22" s="194">
        <f t="shared" si="8"/>
        <v>2030</v>
      </c>
      <c r="U22" s="149">
        <f>Costs!G15</f>
        <v>0</v>
      </c>
      <c r="V22" s="150">
        <f>Costs!H15</f>
        <v>0</v>
      </c>
      <c r="W22" s="65"/>
      <c r="X22" s="65"/>
      <c r="Y22" s="65"/>
      <c r="Z22" s="65"/>
      <c r="AA22" s="65"/>
      <c r="AB22" s="65"/>
      <c r="AC22" s="65"/>
      <c r="AD22" s="65"/>
    </row>
    <row r="23" spans="1:30" ht="13.8">
      <c r="A23" s="194">
        <f t="shared" si="5"/>
        <v>2031</v>
      </c>
      <c r="B23" s="143">
        <f t="shared" si="3"/>
        <v>0</v>
      </c>
      <c r="C23" s="144">
        <f t="shared" si="1"/>
        <v>7307751.3719981993</v>
      </c>
      <c r="D23" s="143">
        <f t="shared" si="4"/>
        <v>7307751.3719981993</v>
      </c>
      <c r="E23" s="146">
        <f t="shared" si="11"/>
        <v>-51481436.580923311</v>
      </c>
      <c r="F23" s="65"/>
      <c r="G23" s="65"/>
      <c r="H23" s="194">
        <f t="shared" si="7"/>
        <v>2031</v>
      </c>
      <c r="I23" s="150">
        <f>Maintenance!D10</f>
        <v>0</v>
      </c>
      <c r="J23" s="140">
        <f>'Travel Time'!N15</f>
        <v>13248.742272211346</v>
      </c>
      <c r="K23" s="129">
        <f>'Travel Time'!L43</f>
        <v>0</v>
      </c>
      <c r="L23" s="140">
        <f>'Environmental Protection'!G12</f>
        <v>0</v>
      </c>
      <c r="M23" s="129">
        <f>'Environmental Protection'!H12</f>
        <v>0</v>
      </c>
      <c r="N23" s="140">
        <f>Safety!D14</f>
        <v>15368486</v>
      </c>
      <c r="O23" s="129">
        <f t="shared" si="9"/>
        <v>15381734.742272211</v>
      </c>
      <c r="P23" s="140">
        <f>SUM(I23,J23,K23,L23,N23)*INDEX(NPV!$C$3:$C$42,MATCH('Summary Table'!$H23,NPV!$B$3:$B$42,0))</f>
        <v>7307751.3719981993</v>
      </c>
      <c r="Q23" s="129">
        <f>M23*INDEX(NPV!$D$3:$D$42,MATCH('Summary Table'!$H23,NPV!$B$3:$B$42,0))</f>
        <v>0</v>
      </c>
      <c r="R23" s="140">
        <f t="shared" si="10"/>
        <v>7307751.3719981993</v>
      </c>
      <c r="S23" s="65"/>
      <c r="T23" s="194">
        <f t="shared" si="8"/>
        <v>2031</v>
      </c>
      <c r="U23" s="149">
        <f>Costs!G16</f>
        <v>0</v>
      </c>
      <c r="V23" s="150">
        <f>Costs!H16</f>
        <v>0</v>
      </c>
      <c r="W23" s="65"/>
      <c r="X23" s="65"/>
      <c r="Y23" s="65"/>
      <c r="Z23" s="65"/>
      <c r="AA23" s="65"/>
      <c r="AB23" s="65"/>
      <c r="AC23" s="65"/>
      <c r="AD23" s="65"/>
    </row>
    <row r="24" spans="1:30" ht="13.8">
      <c r="A24" s="194">
        <f t="shared" si="5"/>
        <v>2032</v>
      </c>
      <c r="B24" s="143">
        <f t="shared" si="3"/>
        <v>0</v>
      </c>
      <c r="C24" s="144">
        <f t="shared" si="1"/>
        <v>6825076.134023061</v>
      </c>
      <c r="D24" s="143">
        <f t="shared" si="4"/>
        <v>6825076.134023061</v>
      </c>
      <c r="E24" s="146">
        <f t="shared" ref="E24:E34" si="12">D24+E23</f>
        <v>-44656360.446900249</v>
      </c>
      <c r="F24" s="65"/>
      <c r="G24" s="65"/>
      <c r="H24" s="194">
        <f t="shared" si="7"/>
        <v>2032</v>
      </c>
      <c r="I24" s="150">
        <f>Maintenance!D11</f>
        <v>-85000</v>
      </c>
      <c r="J24" s="140">
        <f>'Travel Time'!N16</f>
        <v>13455.063063992169</v>
      </c>
      <c r="K24" s="129">
        <f>'Travel Time'!L44</f>
        <v>0</v>
      </c>
      <c r="L24" s="140">
        <f>'Environmental Protection'!G13</f>
        <v>0</v>
      </c>
      <c r="M24" s="129">
        <f>'Environmental Protection'!H13</f>
        <v>0</v>
      </c>
      <c r="N24" s="140">
        <f>Safety!D15</f>
        <v>15442924</v>
      </c>
      <c r="O24" s="129">
        <f t="shared" si="9"/>
        <v>15371379.063063992</v>
      </c>
      <c r="P24" s="140">
        <f>SUM(I24,J24,K24,L24,N24)*INDEX(NPV!$C$3:$C$42,MATCH('Summary Table'!$H24,NPV!$B$3:$B$42,0))</f>
        <v>6825076.134023061</v>
      </c>
      <c r="Q24" s="129">
        <f>M24*INDEX(NPV!$D$3:$D$42,MATCH('Summary Table'!$H24,NPV!$B$3:$B$42,0))</f>
        <v>0</v>
      </c>
      <c r="R24" s="140">
        <f t="shared" si="10"/>
        <v>6825076.134023061</v>
      </c>
      <c r="S24" s="65"/>
      <c r="T24" s="194">
        <f t="shared" si="8"/>
        <v>2032</v>
      </c>
      <c r="U24" s="149">
        <f>Costs!G17</f>
        <v>0</v>
      </c>
      <c r="V24" s="150">
        <f>Costs!H17</f>
        <v>0</v>
      </c>
      <c r="W24" s="65"/>
      <c r="X24" s="65"/>
      <c r="Y24" s="65"/>
      <c r="Z24" s="65"/>
      <c r="AA24" s="65"/>
      <c r="AB24" s="65"/>
      <c r="AC24" s="65"/>
      <c r="AD24" s="65"/>
    </row>
    <row r="25" spans="1:30" ht="13.8">
      <c r="A25" s="194">
        <f t="shared" si="5"/>
        <v>2033</v>
      </c>
      <c r="B25" s="143">
        <f t="shared" si="3"/>
        <v>0</v>
      </c>
      <c r="C25" s="144">
        <f t="shared" si="1"/>
        <v>8610841.327622354</v>
      </c>
      <c r="D25" s="143">
        <f t="shared" si="4"/>
        <v>8610841.327622354</v>
      </c>
      <c r="E25" s="146">
        <f t="shared" si="12"/>
        <v>-36045519.119277894</v>
      </c>
      <c r="F25" s="65"/>
      <c r="G25" s="65"/>
      <c r="H25" s="194">
        <f t="shared" si="7"/>
        <v>2033</v>
      </c>
      <c r="I25" s="150">
        <f>Maintenance!D12</f>
        <v>-120000</v>
      </c>
      <c r="J25" s="140">
        <f>'Travel Time'!N17</f>
        <v>13664.920783632091</v>
      </c>
      <c r="K25" s="129">
        <f>'Travel Time'!L45</f>
        <v>0</v>
      </c>
      <c r="L25" s="140">
        <f>'Environmental Protection'!G14</f>
        <v>0</v>
      </c>
      <c r="M25" s="129">
        <f>'Environmental Protection'!H14</f>
        <v>0</v>
      </c>
      <c r="N25" s="140">
        <f>Safety!D16</f>
        <v>20857128</v>
      </c>
      <c r="O25" s="129">
        <f t="shared" si="9"/>
        <v>20750792.920783632</v>
      </c>
      <c r="P25" s="140">
        <f>SUM(I25,J25,K25,L25,N25)*INDEX(NPV!$C$3:$C$42,MATCH('Summary Table'!$H25,NPV!$B$3:$B$42,0))</f>
        <v>8610841.327622354</v>
      </c>
      <c r="Q25" s="129">
        <f>M25*INDEX(NPV!$D$3:$D$42,MATCH('Summary Table'!$H25,NPV!$B$3:$B$42,0))</f>
        <v>0</v>
      </c>
      <c r="R25" s="140">
        <f t="shared" si="10"/>
        <v>8610841.327622354</v>
      </c>
      <c r="S25" s="65"/>
      <c r="T25" s="194">
        <f t="shared" si="8"/>
        <v>2033</v>
      </c>
      <c r="U25" s="149">
        <f>Costs!G18</f>
        <v>0</v>
      </c>
      <c r="V25" s="150">
        <f>Costs!H18</f>
        <v>0</v>
      </c>
      <c r="W25" s="65"/>
      <c r="X25" s="65"/>
      <c r="Y25" s="65"/>
      <c r="Z25" s="65"/>
      <c r="AA25" s="65"/>
      <c r="AB25" s="65"/>
      <c r="AC25" s="65"/>
      <c r="AD25" s="65"/>
    </row>
    <row r="26" spans="1:30" ht="13.8">
      <c r="A26" s="194">
        <f t="shared" si="5"/>
        <v>2034</v>
      </c>
      <c r="B26" s="143">
        <f t="shared" si="3"/>
        <v>0</v>
      </c>
      <c r="C26" s="144">
        <f t="shared" si="1"/>
        <v>8077504.931941879</v>
      </c>
      <c r="D26" s="143">
        <f t="shared" si="4"/>
        <v>8077504.931941879</v>
      </c>
      <c r="E26" s="146">
        <f t="shared" si="12"/>
        <v>-27968014.187336016</v>
      </c>
      <c r="F26" s="65"/>
      <c r="G26" s="65"/>
      <c r="H26" s="194">
        <f t="shared" si="7"/>
        <v>2034</v>
      </c>
      <c r="I26" s="150">
        <f>Maintenance!D13</f>
        <v>-85000</v>
      </c>
      <c r="J26" s="140">
        <f>'Travel Time'!N18</f>
        <v>13878.315431131132</v>
      </c>
      <c r="K26" s="129">
        <f>'Travel Time'!L46</f>
        <v>0</v>
      </c>
      <c r="L26" s="140">
        <f>'Environmental Protection'!G15</f>
        <v>0</v>
      </c>
      <c r="M26" s="129">
        <f>'Environmental Protection'!H15</f>
        <v>0</v>
      </c>
      <c r="N26" s="140">
        <f>Safety!D17</f>
        <v>20899244</v>
      </c>
      <c r="O26" s="129">
        <f t="shared" si="9"/>
        <v>20828122.315431133</v>
      </c>
      <c r="P26" s="140">
        <f>SUM(I26,J26,K26,L26,N26)*INDEX(NPV!$C$3:$C$42,MATCH('Summary Table'!$H26,NPV!$B$3:$B$42,0))</f>
        <v>8077504.931941879</v>
      </c>
      <c r="Q26" s="129">
        <f>M26*INDEX(NPV!$D$3:$D$42,MATCH('Summary Table'!$H26,NPV!$B$3:$B$42,0))</f>
        <v>0</v>
      </c>
      <c r="R26" s="140">
        <f t="shared" si="10"/>
        <v>8077504.931941879</v>
      </c>
      <c r="S26" s="65"/>
      <c r="T26" s="194">
        <f t="shared" si="8"/>
        <v>2034</v>
      </c>
      <c r="U26" s="149">
        <f>Costs!G19</f>
        <v>0</v>
      </c>
      <c r="V26" s="150">
        <f>Costs!H19</f>
        <v>0</v>
      </c>
      <c r="W26" s="65"/>
      <c r="X26" s="65"/>
      <c r="Y26" s="65"/>
      <c r="Z26" s="65"/>
      <c r="AA26" s="65"/>
      <c r="AB26" s="65"/>
      <c r="AC26" s="65"/>
      <c r="AD26" s="65"/>
    </row>
    <row r="27" spans="1:30" ht="13.8">
      <c r="A27" s="194">
        <f t="shared" si="5"/>
        <v>2035</v>
      </c>
      <c r="B27" s="143">
        <f t="shared" si="3"/>
        <v>0</v>
      </c>
      <c r="C27" s="144">
        <f t="shared" si="1"/>
        <v>7700721.9178110305</v>
      </c>
      <c r="D27" s="143">
        <f t="shared" si="4"/>
        <v>7700721.9178110305</v>
      </c>
      <c r="E27" s="146">
        <f t="shared" si="12"/>
        <v>-20267292.269524984</v>
      </c>
      <c r="F27" s="65"/>
      <c r="G27" s="65"/>
      <c r="H27" s="194">
        <f t="shared" si="7"/>
        <v>2035</v>
      </c>
      <c r="I27" s="150">
        <f>Maintenance!D14</f>
        <v>0</v>
      </c>
      <c r="J27" s="140">
        <f>'Travel Time'!N19</f>
        <v>14094.657518512709</v>
      </c>
      <c r="K27" s="129">
        <f>'Travel Time'!L47</f>
        <v>0</v>
      </c>
      <c r="L27" s="140">
        <f>'Environmental Protection'!G16</f>
        <v>0</v>
      </c>
      <c r="M27" s="129">
        <f>'Environmental Protection'!H16</f>
        <v>0</v>
      </c>
      <c r="N27" s="140">
        <f>Safety!D18</f>
        <v>21232440</v>
      </c>
      <c r="O27" s="129">
        <f t="shared" si="9"/>
        <v>21246534.657518514</v>
      </c>
      <c r="P27" s="140">
        <f>SUM(I27,J27,K27,L27,N27)*INDEX(NPV!$C$3:$C$42,MATCH('Summary Table'!$H27,NPV!$B$3:$B$42,0))</f>
        <v>7700721.9178110305</v>
      </c>
      <c r="Q27" s="129">
        <f>M27*INDEX(NPV!$D$3:$D$42,MATCH('Summary Table'!$H27,NPV!$B$3:$B$42,0))</f>
        <v>0</v>
      </c>
      <c r="R27" s="140">
        <f t="shared" si="10"/>
        <v>7700721.9178110305</v>
      </c>
      <c r="S27" s="65"/>
      <c r="T27" s="194">
        <f t="shared" si="8"/>
        <v>2035</v>
      </c>
      <c r="U27" s="149">
        <f>Costs!G20</f>
        <v>0</v>
      </c>
      <c r="V27" s="150">
        <f>Costs!H20</f>
        <v>0</v>
      </c>
      <c r="W27" s="65"/>
      <c r="X27" s="65"/>
      <c r="Y27" s="65"/>
      <c r="Z27" s="65"/>
      <c r="AA27" s="65"/>
      <c r="AB27" s="65"/>
      <c r="AC27" s="65"/>
      <c r="AD27" s="65"/>
    </row>
    <row r="28" spans="1:30" ht="13.8">
      <c r="A28" s="194">
        <f t="shared" si="5"/>
        <v>2036</v>
      </c>
      <c r="B28" s="143">
        <f t="shared" si="3"/>
        <v>0</v>
      </c>
      <c r="C28" s="144">
        <f t="shared" si="1"/>
        <v>7168945.3360499628</v>
      </c>
      <c r="D28" s="143">
        <f t="shared" si="4"/>
        <v>7168945.3360499628</v>
      </c>
      <c r="E28" s="146">
        <f t="shared" si="12"/>
        <v>-13098346.933475021</v>
      </c>
      <c r="F28" s="65"/>
      <c r="G28" s="65"/>
      <c r="H28" s="194">
        <f t="shared" si="7"/>
        <v>2036</v>
      </c>
      <c r="I28" s="150">
        <f>Maintenance!D15</f>
        <v>-85000</v>
      </c>
      <c r="J28" s="140">
        <f>'Travel Time'!N20</f>
        <v>14314.536533753448</v>
      </c>
      <c r="K28" s="129">
        <f>'Travel Time'!L48</f>
        <v>0</v>
      </c>
      <c r="L28" s="140">
        <f>'Environmental Protection'!G17</f>
        <v>0</v>
      </c>
      <c r="M28" s="129">
        <f>'Environmental Protection'!H17</f>
        <v>0</v>
      </c>
      <c r="N28" s="140">
        <f>Safety!D19</f>
        <v>21234586</v>
      </c>
      <c r="O28" s="129">
        <f t="shared" si="9"/>
        <v>21163900.536533754</v>
      </c>
      <c r="P28" s="140">
        <f>SUM(I28,J28,K28,L28,N28)*INDEX(NPV!$C$3:$C$42,MATCH('Summary Table'!$H28,NPV!$B$3:$B$42,0))</f>
        <v>7168945.3360499628</v>
      </c>
      <c r="Q28" s="129">
        <f>M28*INDEX(NPV!$D$3:$D$42,MATCH('Summary Table'!$H28,NPV!$B$3:$B$42,0))</f>
        <v>0</v>
      </c>
      <c r="R28" s="140">
        <f t="shared" si="10"/>
        <v>7168945.3360499628</v>
      </c>
      <c r="S28" s="65"/>
      <c r="T28" s="194">
        <f t="shared" si="8"/>
        <v>2036</v>
      </c>
      <c r="U28" s="149">
        <f>Costs!G21</f>
        <v>0</v>
      </c>
      <c r="V28" s="150">
        <f>Costs!H21</f>
        <v>0</v>
      </c>
      <c r="W28" s="65"/>
      <c r="X28" s="65"/>
      <c r="Y28" s="65"/>
      <c r="Z28" s="65"/>
      <c r="AA28" s="65"/>
      <c r="AB28" s="65"/>
      <c r="AC28" s="65"/>
      <c r="AD28" s="65"/>
    </row>
    <row r="29" spans="1:30" ht="13.8">
      <c r="A29" s="194">
        <f t="shared" si="5"/>
        <v>2037</v>
      </c>
      <c r="B29" s="143">
        <f t="shared" si="3"/>
        <v>0</v>
      </c>
      <c r="C29" s="144">
        <f t="shared" si="1"/>
        <v>6740261.1235636733</v>
      </c>
      <c r="D29" s="143">
        <f t="shared" si="4"/>
        <v>6740261.1235636733</v>
      </c>
      <c r="E29" s="146">
        <f t="shared" si="12"/>
        <v>-6358085.8099113479</v>
      </c>
      <c r="F29" s="65"/>
      <c r="G29" s="65"/>
      <c r="H29" s="194">
        <f t="shared" si="7"/>
        <v>2037</v>
      </c>
      <c r="I29" s="150">
        <f>Maintenance!D16</f>
        <v>0</v>
      </c>
      <c r="J29" s="140">
        <f>'Travel Time'!N21</f>
        <v>14537.362988876746</v>
      </c>
      <c r="K29" s="129">
        <f>'Travel Time'!L49</f>
        <v>0</v>
      </c>
      <c r="L29" s="140">
        <f>'Environmental Protection'!G18</f>
        <v>0</v>
      </c>
      <c r="M29" s="129">
        <f>'Environmental Protection'!H18</f>
        <v>0</v>
      </c>
      <c r="N29" s="140">
        <f>Safety!D20</f>
        <v>21276702</v>
      </c>
      <c r="O29" s="129">
        <f t="shared" si="9"/>
        <v>21291239.362988878</v>
      </c>
      <c r="P29" s="140">
        <f>SUM(I29,J29,K29,L29,N29)*INDEX(NPV!$C$3:$C$42,MATCH('Summary Table'!$H29,NPV!$B$3:$B$42,0))</f>
        <v>6740261.1235636733</v>
      </c>
      <c r="Q29" s="129">
        <f>M29*INDEX(NPV!$D$3:$D$42,MATCH('Summary Table'!$H29,NPV!$B$3:$B$42,0))</f>
        <v>0</v>
      </c>
      <c r="R29" s="140">
        <f t="shared" si="10"/>
        <v>6740261.1235636733</v>
      </c>
      <c r="S29" s="65"/>
      <c r="T29" s="194">
        <f t="shared" si="8"/>
        <v>2037</v>
      </c>
      <c r="U29" s="149">
        <f>Costs!G22</f>
        <v>0</v>
      </c>
      <c r="V29" s="150">
        <f>Costs!H22</f>
        <v>0</v>
      </c>
      <c r="W29" s="65"/>
      <c r="X29" s="65"/>
      <c r="Y29" s="65"/>
      <c r="Z29" s="65"/>
      <c r="AA29" s="65"/>
      <c r="AB29" s="65"/>
      <c r="AC29" s="65"/>
      <c r="AD29" s="65"/>
    </row>
    <row r="30" spans="1:30" ht="13.8">
      <c r="A30" s="194">
        <f t="shared" si="5"/>
        <v>2038</v>
      </c>
      <c r="B30" s="143">
        <f t="shared" si="3"/>
        <v>0</v>
      </c>
      <c r="C30" s="144">
        <f t="shared" si="1"/>
        <v>6261382.3560334956</v>
      </c>
      <c r="D30" s="143">
        <f t="shared" si="4"/>
        <v>6261382.3560334956</v>
      </c>
      <c r="E30" s="146">
        <f>D30+E29</f>
        <v>-96703.453877852298</v>
      </c>
      <c r="F30" s="65"/>
      <c r="G30" s="65"/>
      <c r="H30" s="194">
        <f t="shared" si="7"/>
        <v>2038</v>
      </c>
      <c r="I30" s="150">
        <f>Maintenance!D17</f>
        <v>-205000</v>
      </c>
      <c r="J30" s="140">
        <f>'Travel Time'!N22</f>
        <v>14764.315859835657</v>
      </c>
      <c r="K30" s="129">
        <f>'Travel Time'!L50</f>
        <v>0</v>
      </c>
      <c r="L30" s="140">
        <f>'Environmental Protection'!G19</f>
        <v>0</v>
      </c>
      <c r="M30" s="129">
        <f>'Environmental Protection'!H19</f>
        <v>0</v>
      </c>
      <c r="N30" s="140">
        <f>Safety!D21</f>
        <v>21353284</v>
      </c>
      <c r="O30" s="129">
        <f t="shared" si="9"/>
        <v>21163048.315859836</v>
      </c>
      <c r="P30" s="140">
        <f>SUM(I30,J30,K30,L30,N30)*INDEX(NPV!$C$3:$C$42,MATCH('Summary Table'!$H30,NPV!$B$3:$B$42,0))</f>
        <v>6261382.3560334956</v>
      </c>
      <c r="Q30" s="129">
        <f>M30*INDEX(NPV!$D$3:$D$42,MATCH('Summary Table'!$H30,NPV!$B$3:$B$42,0))</f>
        <v>0</v>
      </c>
      <c r="R30" s="140">
        <f t="shared" si="10"/>
        <v>6261382.3560334956</v>
      </c>
      <c r="S30" s="65"/>
      <c r="T30" s="194">
        <f t="shared" si="8"/>
        <v>2038</v>
      </c>
      <c r="U30" s="149">
        <f>Costs!G23</f>
        <v>0</v>
      </c>
      <c r="V30" s="150">
        <f>Costs!H23</f>
        <v>0</v>
      </c>
      <c r="W30" s="65"/>
      <c r="X30" s="65"/>
      <c r="Y30" s="65"/>
      <c r="Z30" s="65"/>
      <c r="AA30" s="65"/>
      <c r="AB30" s="65"/>
      <c r="AC30" s="65"/>
      <c r="AD30" s="65"/>
    </row>
    <row r="31" spans="1:30" ht="13.8">
      <c r="A31" s="194">
        <f t="shared" si="5"/>
        <v>2039</v>
      </c>
      <c r="B31" s="143">
        <f t="shared" si="3"/>
        <v>0</v>
      </c>
      <c r="C31" s="144">
        <f t="shared" si="1"/>
        <v>5909603.3444055766</v>
      </c>
      <c r="D31" s="143">
        <f t="shared" si="4"/>
        <v>5909603.3444055766</v>
      </c>
      <c r="E31" s="146">
        <f t="shared" si="12"/>
        <v>5812899.8905277243</v>
      </c>
      <c r="F31" s="65"/>
      <c r="G31" s="65"/>
      <c r="H31" s="194">
        <f t="shared" si="7"/>
        <v>2039</v>
      </c>
      <c r="I31" s="150">
        <f>Maintenance!D18</f>
        <v>0</v>
      </c>
      <c r="J31" s="140">
        <f>'Travel Time'!N23</f>
        <v>14994.216170677089</v>
      </c>
      <c r="K31" s="129">
        <f>'Travel Time'!L51</f>
        <v>0</v>
      </c>
      <c r="L31" s="140">
        <f>'Environmental Protection'!G20</f>
        <v>0</v>
      </c>
      <c r="M31" s="129">
        <f>'Environmental Protection'!H20</f>
        <v>0</v>
      </c>
      <c r="N31" s="140">
        <f>Safety!D22</f>
        <v>21357249</v>
      </c>
      <c r="O31" s="129">
        <f t="shared" si="9"/>
        <v>21372243.216170676</v>
      </c>
      <c r="P31" s="140">
        <f>SUM(I31,J31,K31,L31,N31)*INDEX(NPV!$C$3:$C$42,MATCH('Summary Table'!$H31,NPV!$B$3:$B$42,0))</f>
        <v>5909603.3444055766</v>
      </c>
      <c r="Q31" s="129">
        <f>M31*INDEX(NPV!$D$3:$D$42,MATCH('Summary Table'!$H31,NPV!$B$3:$B$42,0))</f>
        <v>0</v>
      </c>
      <c r="R31" s="140">
        <f t="shared" si="10"/>
        <v>5909603.3444055766</v>
      </c>
      <c r="S31" s="65"/>
      <c r="T31" s="194">
        <f t="shared" si="8"/>
        <v>2039</v>
      </c>
      <c r="U31" s="149">
        <f>Costs!G24</f>
        <v>0</v>
      </c>
      <c r="V31" s="150">
        <f>Costs!H24</f>
        <v>0</v>
      </c>
      <c r="W31" s="65"/>
      <c r="X31" s="65"/>
      <c r="Y31" s="65"/>
      <c r="Z31" s="65"/>
      <c r="AA31" s="65"/>
      <c r="AB31" s="65"/>
      <c r="AC31" s="65"/>
      <c r="AD31" s="65"/>
    </row>
    <row r="32" spans="1:30" ht="13.8">
      <c r="A32" s="194">
        <f t="shared" si="5"/>
        <v>2040</v>
      </c>
      <c r="B32" s="143">
        <f t="shared" si="3"/>
        <v>0</v>
      </c>
      <c r="C32" s="144">
        <f t="shared" si="1"/>
        <v>5520324.576844913</v>
      </c>
      <c r="D32" s="143">
        <f t="shared" si="4"/>
        <v>5520324.576844913</v>
      </c>
      <c r="E32" s="146">
        <f t="shared" si="12"/>
        <v>11333224.467372637</v>
      </c>
      <c r="F32" s="65"/>
      <c r="G32" s="65"/>
      <c r="H32" s="194">
        <f t="shared" si="7"/>
        <v>2040</v>
      </c>
      <c r="I32" s="150">
        <f>Maintenance!D19</f>
        <v>-85000</v>
      </c>
      <c r="J32" s="140">
        <f>'Travel Time'!N24</f>
        <v>15228.242897354216</v>
      </c>
      <c r="K32" s="129">
        <f>'Travel Time'!L52</f>
        <v>0</v>
      </c>
      <c r="L32" s="140">
        <f>'Environmental Protection'!G21</f>
        <v>0</v>
      </c>
      <c r="M32" s="129">
        <f>'Environmental Protection'!H21</f>
        <v>0</v>
      </c>
      <c r="N32" s="140">
        <f>Safety!D23</f>
        <v>21431686</v>
      </c>
      <c r="O32" s="129">
        <f t="shared" si="9"/>
        <v>21361914.242897354</v>
      </c>
      <c r="P32" s="140">
        <f>SUM(I32,J32,K32,L32,N32)*INDEX(NPV!$C$3:$C$42,MATCH('Summary Table'!$H32,NPV!$B$3:$B$42,0))</f>
        <v>5520324.576844913</v>
      </c>
      <c r="Q32" s="129">
        <f>M32*INDEX(NPV!$D$3:$D$42,MATCH('Summary Table'!$H32,NPV!$B$3:$B$42,0))</f>
        <v>0</v>
      </c>
      <c r="R32" s="140">
        <f t="shared" si="10"/>
        <v>5520324.576844913</v>
      </c>
      <c r="S32" s="65"/>
      <c r="T32" s="194">
        <f t="shared" si="8"/>
        <v>2040</v>
      </c>
      <c r="U32" s="149">
        <f>Costs!G25</f>
        <v>0</v>
      </c>
      <c r="V32" s="150">
        <f>Costs!H25</f>
        <v>0</v>
      </c>
      <c r="W32" s="65"/>
      <c r="X32" s="65"/>
      <c r="Y32" s="65"/>
      <c r="Z32" s="65"/>
      <c r="AA32" s="65"/>
      <c r="AB32" s="65"/>
      <c r="AC32" s="65"/>
      <c r="AD32" s="65"/>
    </row>
    <row r="33" spans="1:30" ht="13.8">
      <c r="A33" s="194">
        <f t="shared" si="5"/>
        <v>2041</v>
      </c>
      <c r="B33" s="143">
        <f t="shared" si="3"/>
        <v>0</v>
      </c>
      <c r="C33" s="144">
        <f t="shared" si="1"/>
        <v>5189939.399784402</v>
      </c>
      <c r="D33" s="143">
        <f t="shared" si="4"/>
        <v>5189939.399784402</v>
      </c>
      <c r="E33" s="146">
        <f t="shared" si="12"/>
        <v>16523163.867157038</v>
      </c>
      <c r="F33" s="65"/>
      <c r="G33" s="65"/>
      <c r="H33" s="194">
        <f t="shared" si="7"/>
        <v>2041</v>
      </c>
      <c r="I33" s="150">
        <f>Maintenance!D20</f>
        <v>0</v>
      </c>
      <c r="J33" s="140">
        <f>'Travel Time'!N25</f>
        <v>15465.806551890426</v>
      </c>
      <c r="K33" s="129">
        <f>'Travel Time'!L53</f>
        <v>0</v>
      </c>
      <c r="L33" s="140">
        <f>'Environmental Protection'!G22</f>
        <v>0</v>
      </c>
      <c r="M33" s="129">
        <f>'Environmental Protection'!H22</f>
        <v>0</v>
      </c>
      <c r="N33" s="140">
        <f>Safety!D24</f>
        <v>21473802</v>
      </c>
      <c r="O33" s="129">
        <f t="shared" si="9"/>
        <v>21489267.806551889</v>
      </c>
      <c r="P33" s="140">
        <f>SUM(I33,J33,K33,L33,N33)*INDEX(NPV!$C$3:$C$42,MATCH('Summary Table'!$H33,NPV!$B$3:$B$42,0))</f>
        <v>5189939.399784402</v>
      </c>
      <c r="Q33" s="129">
        <f>M33*INDEX(NPV!$D$3:$D$42,MATCH('Summary Table'!$H33,NPV!$B$3:$B$42,0))</f>
        <v>0</v>
      </c>
      <c r="R33" s="140">
        <f t="shared" si="10"/>
        <v>5189939.399784402</v>
      </c>
      <c r="S33" s="65"/>
      <c r="T33" s="194">
        <f t="shared" si="8"/>
        <v>2041</v>
      </c>
      <c r="U33" s="149">
        <f>Costs!G26</f>
        <v>0</v>
      </c>
      <c r="V33" s="150">
        <f>Costs!H26</f>
        <v>0</v>
      </c>
      <c r="W33" s="65"/>
      <c r="X33" s="65"/>
      <c r="Y33" s="65"/>
      <c r="Z33" s="65"/>
      <c r="AA33" s="65"/>
      <c r="AB33" s="65"/>
      <c r="AC33" s="65"/>
      <c r="AD33" s="65"/>
    </row>
    <row r="34" spans="1:30" ht="13.8">
      <c r="A34" s="194">
        <f t="shared" si="5"/>
        <v>2042</v>
      </c>
      <c r="B34" s="143">
        <f t="shared" si="3"/>
        <v>0</v>
      </c>
      <c r="C34" s="144">
        <f t="shared" si="1"/>
        <v>4891063.8748873435</v>
      </c>
      <c r="D34" s="143">
        <f t="shared" si="4"/>
        <v>4891063.8748873435</v>
      </c>
      <c r="E34" s="146">
        <f t="shared" si="12"/>
        <v>21414227.742044382</v>
      </c>
      <c r="F34" s="65"/>
      <c r="G34" s="65"/>
      <c r="H34" s="194">
        <f t="shared" si="7"/>
        <v>2042</v>
      </c>
      <c r="I34" s="150">
        <f>Maintenance!D21</f>
        <v>-85000</v>
      </c>
      <c r="J34" s="140">
        <f>'Travel Time'!N26</f>
        <v>15706.907134285693</v>
      </c>
      <c r="K34" s="129">
        <f>'Travel Time'!L54</f>
        <v>0</v>
      </c>
      <c r="L34" s="140">
        <f>'Environmental Protection'!G23</f>
        <v>0</v>
      </c>
      <c r="M34" s="129">
        <f>'Environmental Protection'!H23</f>
        <v>0</v>
      </c>
      <c r="N34" s="140">
        <f>Safety!D25</f>
        <v>21738671</v>
      </c>
      <c r="O34" s="129">
        <f t="shared" si="9"/>
        <v>21669377.907134287</v>
      </c>
      <c r="P34" s="140">
        <f>SUM(I34,J34,K34,L34,N34)*INDEX(NPV!$C$3:$C$42,MATCH('Summary Table'!$H34,NPV!$B$3:$B$42,0))</f>
        <v>4891063.8748873435</v>
      </c>
      <c r="Q34" s="129">
        <f>M34*INDEX(NPV!$D$3:$D$42,MATCH('Summary Table'!$H34,NPV!$B$3:$B$42,0))</f>
        <v>0</v>
      </c>
      <c r="R34" s="140">
        <f t="shared" si="10"/>
        <v>4891063.8748873435</v>
      </c>
      <c r="S34" s="65"/>
      <c r="T34" s="194">
        <f t="shared" si="8"/>
        <v>2042</v>
      </c>
      <c r="U34" s="149">
        <f>Costs!G27</f>
        <v>0</v>
      </c>
      <c r="V34" s="150">
        <f>Costs!H27</f>
        <v>0</v>
      </c>
      <c r="W34" s="65"/>
      <c r="X34" s="65"/>
      <c r="Y34" s="65"/>
      <c r="Z34" s="65"/>
      <c r="AA34" s="65"/>
      <c r="AB34" s="65"/>
      <c r="AC34" s="65"/>
      <c r="AD34" s="65"/>
    </row>
    <row r="35" spans="1:30" ht="13.8">
      <c r="A35" s="194">
        <f t="shared" si="5"/>
        <v>2043</v>
      </c>
      <c r="B35" s="143">
        <f t="shared" si="3"/>
        <v>0</v>
      </c>
      <c r="C35" s="144">
        <f t="shared" si="1"/>
        <v>4587053.929130774</v>
      </c>
      <c r="D35" s="143">
        <f t="shared" si="4"/>
        <v>4587053.929130774</v>
      </c>
      <c r="E35" s="146">
        <f t="shared" si="11"/>
        <v>26001281.671175156</v>
      </c>
      <c r="F35" s="65"/>
      <c r="G35" s="65"/>
      <c r="H35" s="194">
        <f t="shared" si="7"/>
        <v>2043</v>
      </c>
      <c r="I35" s="150">
        <f>Maintenance!D22</f>
        <v>-120000</v>
      </c>
      <c r="J35" s="140">
        <f>'Travel Time'!N27</f>
        <v>15952.134132516643</v>
      </c>
      <c r="K35" s="129">
        <f>'Travel Time'!L55</f>
        <v>0</v>
      </c>
      <c r="L35" s="140">
        <f>'Environmental Protection'!G24</f>
        <v>0</v>
      </c>
      <c r="M35" s="129">
        <f>'Environmental Protection'!H24</f>
        <v>0</v>
      </c>
      <c r="N35" s="140">
        <f>Safety!D26</f>
        <v>21849114</v>
      </c>
      <c r="O35" s="129">
        <f t="shared" si="9"/>
        <v>21745066.134132516</v>
      </c>
      <c r="P35" s="140">
        <f>SUM(I35,J35,K35,L35,N35)*INDEX(NPV!$C$3:$C$42,MATCH('Summary Table'!$H35,NPV!$B$3:$B$42,0))</f>
        <v>4587053.929130774</v>
      </c>
      <c r="Q35" s="129">
        <f>M35*INDEX(NPV!$D$3:$D$42,MATCH('Summary Table'!$H35,NPV!$B$3:$B$42,0))</f>
        <v>0</v>
      </c>
      <c r="R35" s="140">
        <f t="shared" si="10"/>
        <v>4587053.929130774</v>
      </c>
      <c r="S35" s="65"/>
      <c r="T35" s="194">
        <f t="shared" si="8"/>
        <v>2043</v>
      </c>
      <c r="U35" s="149">
        <f>Costs!G28</f>
        <v>0</v>
      </c>
      <c r="V35" s="150">
        <f>Costs!H28</f>
        <v>0</v>
      </c>
      <c r="W35" s="65"/>
      <c r="X35" s="65"/>
      <c r="Y35" s="65"/>
      <c r="Z35" s="65"/>
      <c r="AA35" s="65"/>
      <c r="AB35" s="65"/>
      <c r="AC35" s="65"/>
      <c r="AD35" s="65"/>
    </row>
    <row r="36" spans="1:30" ht="13.8">
      <c r="A36" s="194">
        <f t="shared" si="5"/>
        <v>2044</v>
      </c>
      <c r="B36" s="143">
        <f t="shared" si="3"/>
        <v>0</v>
      </c>
      <c r="C36" s="144">
        <f t="shared" si="1"/>
        <v>4295120.0294205556</v>
      </c>
      <c r="D36" s="143">
        <f t="shared" si="4"/>
        <v>4295120.0294205556</v>
      </c>
      <c r="E36" s="146">
        <f t="shared" si="11"/>
        <v>30296401.70059571</v>
      </c>
      <c r="F36" s="65"/>
      <c r="G36" s="65"/>
      <c r="H36" s="194">
        <f t="shared" si="7"/>
        <v>2044</v>
      </c>
      <c r="I36" s="150">
        <f>Maintenance!D23</f>
        <v>-85000</v>
      </c>
      <c r="J36" s="140">
        <f>'Travel Time'!N28</f>
        <v>16200.898058606643</v>
      </c>
      <c r="K36" s="129">
        <f>'Travel Time'!L56</f>
        <v>0</v>
      </c>
      <c r="L36" s="140">
        <f>'Environmental Protection'!G25</f>
        <v>0</v>
      </c>
      <c r="M36" s="129">
        <f>'Environmental Protection'!H25</f>
        <v>0</v>
      </c>
      <c r="N36" s="140">
        <f>Safety!D27</f>
        <v>21855224</v>
      </c>
      <c r="O36" s="129">
        <f t="shared" si="9"/>
        <v>21786424.898058608</v>
      </c>
      <c r="P36" s="140">
        <f>SUM(I36,J36,K36,L36,N36)*INDEX(NPV!$C$3:$C$42,MATCH('Summary Table'!$H36,NPV!$B$3:$B$42,0))</f>
        <v>4295120.0294205556</v>
      </c>
      <c r="Q36" s="129">
        <f>M36*INDEX(NPV!$D$3:$D$42,MATCH('Summary Table'!$H36,NPV!$B$3:$B$42,0))</f>
        <v>0</v>
      </c>
      <c r="R36" s="140">
        <f t="shared" si="10"/>
        <v>4295120.0294205556</v>
      </c>
      <c r="S36" s="65"/>
      <c r="T36" s="194">
        <f t="shared" si="8"/>
        <v>2044</v>
      </c>
      <c r="U36" s="149">
        <f>Costs!G29</f>
        <v>0</v>
      </c>
      <c r="V36" s="150">
        <f>Costs!H29</f>
        <v>0</v>
      </c>
      <c r="W36" s="65"/>
      <c r="X36" s="65"/>
      <c r="Y36" s="65"/>
      <c r="Z36" s="65"/>
      <c r="AA36" s="65"/>
      <c r="AB36" s="65"/>
      <c r="AC36" s="65"/>
      <c r="AD36" s="65"/>
    </row>
    <row r="37" spans="1:30" ht="13.8">
      <c r="A37" s="194">
        <f t="shared" si="5"/>
        <v>2045</v>
      </c>
      <c r="B37" s="143">
        <f t="shared" si="3"/>
        <v>0</v>
      </c>
      <c r="C37" s="144">
        <f t="shared" si="1"/>
        <v>4043948.8896937449</v>
      </c>
      <c r="D37" s="143">
        <f t="shared" si="4"/>
        <v>4043948.8896937449</v>
      </c>
      <c r="E37" s="146">
        <f t="shared" si="11"/>
        <v>34340350.590289459</v>
      </c>
      <c r="F37" s="65"/>
      <c r="G37" s="65"/>
      <c r="H37" s="194">
        <f t="shared" si="7"/>
        <v>2045</v>
      </c>
      <c r="I37" s="150">
        <f>Maintenance!D24</f>
        <v>0</v>
      </c>
      <c r="J37" s="140">
        <f>'Travel Time'!N29</f>
        <v>16453.198912555774</v>
      </c>
      <c r="K37" s="129">
        <f>'Travel Time'!L57</f>
        <v>0</v>
      </c>
      <c r="L37" s="140">
        <f>'Environmental Protection'!G26</f>
        <v>0</v>
      </c>
      <c r="M37" s="129">
        <f>'Environmental Protection'!H26</f>
        <v>0</v>
      </c>
      <c r="N37" s="140">
        <f>Safety!D28</f>
        <v>21931807</v>
      </c>
      <c r="O37" s="129">
        <f t="shared" si="9"/>
        <v>21948260.198912557</v>
      </c>
      <c r="P37" s="140">
        <f>SUM(I37,J37,K37,L37,N37)*INDEX(NPV!$C$3:$C$42,MATCH('Summary Table'!$H37,NPV!$B$3:$B$42,0))</f>
        <v>4043948.8896937449</v>
      </c>
      <c r="Q37" s="129">
        <f>M37*INDEX(NPV!$D$3:$D$42,MATCH('Summary Table'!$H37,NPV!$B$3:$B$42,0))</f>
        <v>0</v>
      </c>
      <c r="R37" s="140">
        <f t="shared" si="10"/>
        <v>4043948.8896937449</v>
      </c>
      <c r="S37" s="65"/>
      <c r="T37" s="194">
        <f t="shared" si="8"/>
        <v>2045</v>
      </c>
      <c r="U37" s="149">
        <f>Costs!G30</f>
        <v>0</v>
      </c>
      <c r="V37" s="150">
        <f>Costs!H30</f>
        <v>0</v>
      </c>
      <c r="W37" s="65"/>
      <c r="X37" s="65"/>
      <c r="Y37" s="65"/>
      <c r="Z37" s="65"/>
      <c r="AA37" s="65"/>
      <c r="AB37" s="65"/>
      <c r="AC37" s="65"/>
      <c r="AD37" s="65"/>
    </row>
    <row r="38" spans="1:30" ht="13.8">
      <c r="A38" s="194">
        <f t="shared" si="5"/>
        <v>2046</v>
      </c>
      <c r="B38" s="143">
        <f t="shared" si="3"/>
        <v>0</v>
      </c>
      <c r="C38" s="144">
        <f t="shared" si="1"/>
        <v>3771681.850460419</v>
      </c>
      <c r="D38" s="143">
        <f t="shared" si="4"/>
        <v>3771681.850460419</v>
      </c>
      <c r="E38" s="146">
        <f t="shared" si="11"/>
        <v>38112032.440749876</v>
      </c>
      <c r="F38" s="65"/>
      <c r="G38" s="65"/>
      <c r="H38" s="194">
        <f t="shared" si="7"/>
        <v>2046</v>
      </c>
      <c r="I38" s="150">
        <f>Maintenance!D25</f>
        <v>-85000</v>
      </c>
      <c r="J38" s="140">
        <f>'Travel Time'!N30</f>
        <v>16709.626182340537</v>
      </c>
      <c r="K38" s="129">
        <f>'Travel Time'!L58</f>
        <v>0</v>
      </c>
      <c r="L38" s="140">
        <f>'Environmental Protection'!G27</f>
        <v>0</v>
      </c>
      <c r="M38" s="129">
        <f>'Environmental Protection'!H27</f>
        <v>0</v>
      </c>
      <c r="N38" s="140">
        <f>Safety!D29</f>
        <v>21971778</v>
      </c>
      <c r="O38" s="129">
        <f t="shared" si="9"/>
        <v>21903487.62618234</v>
      </c>
      <c r="P38" s="140">
        <f>SUM(I38,J38,K38,L38,N38)*INDEX(NPV!$C$3:$C$42,MATCH('Summary Table'!$H38,NPV!$B$3:$B$42,0))</f>
        <v>3771681.850460419</v>
      </c>
      <c r="Q38" s="129">
        <f>M38*INDEX(NPV!$D$3:$D$42,MATCH('Summary Table'!$H38,NPV!$B$3:$B$42,0))</f>
        <v>0</v>
      </c>
      <c r="R38" s="140">
        <f t="shared" si="10"/>
        <v>3771681.850460419</v>
      </c>
      <c r="S38" s="65"/>
      <c r="T38" s="194">
        <f t="shared" si="8"/>
        <v>2046</v>
      </c>
      <c r="U38" s="149">
        <f>Costs!G31</f>
        <v>0</v>
      </c>
      <c r="V38" s="150">
        <f>Costs!H31</f>
        <v>0</v>
      </c>
      <c r="W38" s="65"/>
      <c r="X38" s="65"/>
      <c r="Y38" s="65"/>
      <c r="Z38" s="65"/>
      <c r="AA38" s="65"/>
      <c r="AB38" s="65"/>
      <c r="AC38" s="65"/>
      <c r="AD38" s="65"/>
    </row>
    <row r="39" spans="1:30" ht="13.8">
      <c r="A39" s="194">
        <f t="shared" si="5"/>
        <v>2047</v>
      </c>
      <c r="B39" s="143">
        <f t="shared" si="3"/>
        <v>0</v>
      </c>
      <c r="C39" s="144">
        <f t="shared" si="1"/>
        <v>3550981.7853174922</v>
      </c>
      <c r="D39" s="143">
        <f t="shared" si="4"/>
        <v>3550981.7853174922</v>
      </c>
      <c r="E39" s="146">
        <f t="shared" si="11"/>
        <v>41663014.226067372</v>
      </c>
      <c r="F39" s="65"/>
      <c r="G39" s="65"/>
      <c r="H39" s="308">
        <f t="shared" si="7"/>
        <v>2047</v>
      </c>
      <c r="I39" s="307">
        <f>Maintenance!D26</f>
        <v>0</v>
      </c>
      <c r="J39" s="309">
        <f>'Travel Time'!N31</f>
        <v>16970.769355937355</v>
      </c>
      <c r="K39" s="310">
        <f>'Travel Time'!L59</f>
        <v>0</v>
      </c>
      <c r="L39" s="309">
        <f>'Environmental Protection'!G28</f>
        <v>0</v>
      </c>
      <c r="M39" s="310">
        <f>'Environmental Protection'!H28</f>
        <v>0</v>
      </c>
      <c r="N39" s="309">
        <f>Safety!D30</f>
        <v>22048360</v>
      </c>
      <c r="O39" s="310">
        <f t="shared" si="9"/>
        <v>22065330.769355938</v>
      </c>
      <c r="P39" s="309">
        <f>SUM(I39,J39,K39,L39,N39)*INDEX(NPV!$C$3:$C$42,MATCH('Summary Table'!$H39,NPV!$B$3:$B$42,0))</f>
        <v>3550981.7853174922</v>
      </c>
      <c r="Q39" s="310">
        <f>M39*INDEX(NPV!$D$3:$D$42,MATCH('Summary Table'!$H39,NPV!$B$3:$B$42,0))</f>
        <v>0</v>
      </c>
      <c r="R39" s="309">
        <f t="shared" si="10"/>
        <v>3550981.7853174922</v>
      </c>
      <c r="S39" s="65"/>
      <c r="T39" s="194">
        <f t="shared" si="8"/>
        <v>2047</v>
      </c>
      <c r="U39" s="306">
        <f>Costs!G32</f>
        <v>0</v>
      </c>
      <c r="V39" s="307">
        <f>Costs!H32</f>
        <v>0</v>
      </c>
      <c r="W39" s="65"/>
      <c r="X39" s="65"/>
      <c r="Y39" s="65"/>
      <c r="Z39" s="65"/>
      <c r="AA39" s="65"/>
      <c r="AB39" s="65"/>
      <c r="AC39" s="65"/>
      <c r="AD39" s="65"/>
    </row>
    <row r="40" spans="1:30" ht="14.4" thickBot="1">
      <c r="A40" s="195">
        <f t="shared" si="5"/>
        <v>2048</v>
      </c>
      <c r="B40" s="328">
        <f t="shared" si="3"/>
        <v>-12614835</v>
      </c>
      <c r="C40" s="329">
        <f t="shared" si="1"/>
        <v>3327718.7155858218</v>
      </c>
      <c r="D40" s="328">
        <f t="shared" si="4"/>
        <v>15942553.715585822</v>
      </c>
      <c r="E40" s="329">
        <f t="shared" si="11"/>
        <v>57605567.941653192</v>
      </c>
      <c r="F40" s="65"/>
      <c r="G40" s="65"/>
      <c r="H40" s="195">
        <f t="shared" si="7"/>
        <v>2048</v>
      </c>
      <c r="I40" s="216">
        <f>Maintenance!D27</f>
        <v>-205000</v>
      </c>
      <c r="J40" s="141">
        <f>'Travel Time'!N32</f>
        <v>17234.859969416837</v>
      </c>
      <c r="K40" s="133">
        <f>'Travel Time'!L60</f>
        <v>0</v>
      </c>
      <c r="L40" s="141">
        <f>'Environmental Protection'!G29</f>
        <v>0</v>
      </c>
      <c r="M40" s="133">
        <f>'Environmental Protection'!H29</f>
        <v>0</v>
      </c>
      <c r="N40" s="141">
        <f>Safety!D31</f>
        <v>22313229</v>
      </c>
      <c r="O40" s="133">
        <f>SUM(I40:N40)</f>
        <v>22125463.859969418</v>
      </c>
      <c r="P40" s="141">
        <f>SUM(I40,J40,K40,L40,N40)*INDEX(NPV!$C$3:$C$42,MATCH('Summary Table'!$H40,NPV!$B$3:$B$42,0))</f>
        <v>3327718.7155858218</v>
      </c>
      <c r="Q40" s="133">
        <f>M40*INDEX(NPV!$D$3:$D$42,MATCH('Summary Table'!$H40,NPV!$B$3:$B$42,0))</f>
        <v>0</v>
      </c>
      <c r="R40" s="141">
        <f t="shared" si="10"/>
        <v>3327718.7155858218</v>
      </c>
      <c r="S40" s="65"/>
      <c r="T40" s="195">
        <f t="shared" si="8"/>
        <v>2048</v>
      </c>
      <c r="U40" s="215">
        <f>Costs!G33</f>
        <v>-83874000</v>
      </c>
      <c r="V40" s="216">
        <f>Costs!H33</f>
        <v>-12614835</v>
      </c>
      <c r="W40" s="65"/>
      <c r="X40" s="65"/>
      <c r="Y40" s="65"/>
      <c r="Z40" s="65"/>
      <c r="AA40" s="65"/>
      <c r="AB40" s="65"/>
      <c r="AC40" s="65"/>
      <c r="AD40" s="65"/>
    </row>
    <row r="41" spans="1:30" ht="14.4" thickTop="1">
      <c r="A41" s="214" t="s">
        <v>16</v>
      </c>
      <c r="B41" s="147">
        <f>SUM(B12:B40)</f>
        <v>80590367</v>
      </c>
      <c r="C41" s="148">
        <f>SUM(C12:C40)</f>
        <v>138195934.94165322</v>
      </c>
      <c r="D41" s="147">
        <f>SUM(D12:D40)</f>
        <v>57605567.941653192</v>
      </c>
      <c r="E41" s="148">
        <f>SUM(E12:E40)</f>
        <v>-302113207.70591009</v>
      </c>
      <c r="F41" s="65"/>
      <c r="G41" s="65"/>
      <c r="H41" s="214" t="s">
        <v>16</v>
      </c>
      <c r="I41" s="142">
        <f t="shared" ref="I41:R41" si="13">SUM(I12:I40)</f>
        <v>-1480000</v>
      </c>
      <c r="J41" s="312">
        <f t="shared" si="13"/>
        <v>323865.87327419186</v>
      </c>
      <c r="K41" s="142">
        <f t="shared" si="13"/>
        <v>0</v>
      </c>
      <c r="L41" s="312">
        <f t="shared" si="13"/>
        <v>0</v>
      </c>
      <c r="M41" s="142">
        <f t="shared" si="13"/>
        <v>0</v>
      </c>
      <c r="N41" s="312">
        <f t="shared" si="13"/>
        <v>436813635</v>
      </c>
      <c r="O41" s="142">
        <f>SUM(O12:O40)</f>
        <v>435657500.87327421</v>
      </c>
      <c r="P41" s="312">
        <f t="shared" si="13"/>
        <v>138195934.94165322</v>
      </c>
      <c r="Q41" s="142">
        <f t="shared" si="13"/>
        <v>0</v>
      </c>
      <c r="R41" s="312">
        <f t="shared" si="13"/>
        <v>138195934.94165322</v>
      </c>
      <c r="S41" s="65"/>
      <c r="T41" s="214" t="s">
        <v>16</v>
      </c>
      <c r="U41" s="330">
        <f>SUM(U12:U40)</f>
        <v>55916000</v>
      </c>
      <c r="V41" s="151">
        <f>SUM(V12:V40)</f>
        <v>80590367</v>
      </c>
      <c r="W41" s="65"/>
      <c r="X41" s="65"/>
      <c r="Y41" s="65"/>
      <c r="Z41" s="65"/>
      <c r="AA41" s="65"/>
      <c r="AB41" s="65"/>
      <c r="AC41" s="65"/>
      <c r="AD41" s="65"/>
    </row>
    <row r="42" spans="1:30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</row>
    <row r="43" spans="1:30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</row>
    <row r="44" spans="1:30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</row>
    <row r="45" spans="1:30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</row>
    <row r="46" spans="1:30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</row>
    <row r="47" spans="1:30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</row>
    <row r="48" spans="1:30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</row>
    <row r="49" spans="1:30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</row>
    <row r="50" spans="1:30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</row>
    <row r="51" spans="1:30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</row>
    <row r="52" spans="1:30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</row>
    <row r="53" spans="1:30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</row>
    <row r="54" spans="1:30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</row>
    <row r="55" spans="1:30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</row>
    <row r="56" spans="1:30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</row>
    <row r="57" spans="1:30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</row>
    <row r="58" spans="1:30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</row>
    <row r="59" spans="1:30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</row>
    <row r="60" spans="1:30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</row>
    <row r="61" spans="1:30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</row>
    <row r="62" spans="1:30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</row>
    <row r="63" spans="1:30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</row>
    <row r="64" spans="1:30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</row>
    <row r="65" spans="1:30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</row>
    <row r="66" spans="1:30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</row>
    <row r="67" spans="1:30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</row>
    <row r="68" spans="1:30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</row>
    <row r="69" spans="1:30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</row>
    <row r="70" spans="1:30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</row>
    <row r="71" spans="1:30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</row>
    <row r="72" spans="1:30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</row>
    <row r="73" spans="1:30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</row>
    <row r="74" spans="1:30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</row>
    <row r="75" spans="1:30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</row>
    <row r="76" spans="1:30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</row>
    <row r="77" spans="1:30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</row>
    <row r="78" spans="1:30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</row>
    <row r="79" spans="1:30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</row>
    <row r="80" spans="1:30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</row>
    <row r="81" spans="1:30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</row>
    <row r="82" spans="1:30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</row>
    <row r="83" spans="1:30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</row>
    <row r="84" spans="1:30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</row>
    <row r="85" spans="1:30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</row>
    <row r="86" spans="1:30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</row>
    <row r="87" spans="1:30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</row>
    <row r="88" spans="1:30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</row>
    <row r="89" spans="1:30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</row>
    <row r="90" spans="1:30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</row>
    <row r="91" spans="1:30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</row>
    <row r="92" spans="1:30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</row>
    <row r="93" spans="1:30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</row>
    <row r="94" spans="1:30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</row>
    <row r="95" spans="1:30" s="65" customFormat="1"/>
    <row r="96" spans="1:30" s="65" customFormat="1"/>
    <row r="97" s="65" customFormat="1"/>
    <row r="98" s="65" customFormat="1"/>
    <row r="99" s="65" customFormat="1"/>
    <row r="100" s="65" customFormat="1"/>
    <row r="101" s="65" customFormat="1"/>
    <row r="102" s="65" customFormat="1"/>
    <row r="103" s="65" customFormat="1"/>
    <row r="104" s="65" customFormat="1"/>
    <row r="105" s="65" customFormat="1"/>
    <row r="106" s="65" customFormat="1"/>
    <row r="107" s="65" customFormat="1"/>
    <row r="108" s="65" customFormat="1"/>
    <row r="109" s="65" customFormat="1"/>
    <row r="110" s="65" customFormat="1"/>
    <row r="111" s="65" customFormat="1"/>
    <row r="112" s="65" customFormat="1"/>
    <row r="113" s="65" customFormat="1"/>
    <row r="114" s="65" customFormat="1"/>
    <row r="115" s="65" customFormat="1"/>
    <row r="116" s="65" customFormat="1"/>
    <row r="117" s="65" customFormat="1"/>
    <row r="118" s="65" customFormat="1"/>
    <row r="119" s="65" customFormat="1"/>
    <row r="120" s="65" customFormat="1"/>
    <row r="121" s="65" customFormat="1"/>
    <row r="122" s="65" customFormat="1"/>
    <row r="123" s="65" customFormat="1"/>
    <row r="124" s="65" customFormat="1"/>
    <row r="125" s="65" customFormat="1"/>
    <row r="126" s="65" customFormat="1"/>
    <row r="127" s="65" customFormat="1"/>
    <row r="128" s="65" customFormat="1"/>
    <row r="129" s="65" customFormat="1"/>
    <row r="130" s="65" customFormat="1"/>
    <row r="131" s="65" customFormat="1"/>
    <row r="132" s="65" customFormat="1"/>
    <row r="133" s="65" customFormat="1"/>
    <row r="134" s="65" customFormat="1"/>
    <row r="135" s="65" customFormat="1"/>
    <row r="136" s="65" customFormat="1"/>
    <row r="137" s="65" customFormat="1"/>
    <row r="138" s="65" customFormat="1"/>
    <row r="139" s="65" customFormat="1"/>
    <row r="140" s="65" customFormat="1"/>
    <row r="141" s="65" customFormat="1"/>
    <row r="142" s="65" customFormat="1"/>
    <row r="143" s="65" customFormat="1"/>
    <row r="144" s="65" customFormat="1"/>
    <row r="145" s="65" customFormat="1"/>
    <row r="146" s="65" customFormat="1"/>
    <row r="147" s="65" customFormat="1"/>
    <row r="148" s="65" customFormat="1"/>
    <row r="149" s="65" customFormat="1"/>
    <row r="150" s="65" customFormat="1"/>
    <row r="151" s="65" customFormat="1"/>
    <row r="152" s="65" customFormat="1"/>
    <row r="153" s="65" customFormat="1"/>
    <row r="154" s="65" customFormat="1"/>
    <row r="155" s="65" customFormat="1"/>
    <row r="156" s="65" customFormat="1"/>
    <row r="157" s="65" customFormat="1"/>
    <row r="158" s="65" customFormat="1"/>
    <row r="159" s="65" customFormat="1"/>
    <row r="160" s="65" customFormat="1"/>
    <row r="161" s="65" customFormat="1"/>
    <row r="162" s="65" customFormat="1"/>
    <row r="163" s="65" customFormat="1"/>
    <row r="164" s="65" customFormat="1"/>
    <row r="165" s="65" customFormat="1"/>
    <row r="166" s="65" customFormat="1"/>
    <row r="167" s="65" customFormat="1"/>
    <row r="168" s="65" customFormat="1"/>
    <row r="169" s="65" customFormat="1"/>
    <row r="170" s="65" customFormat="1"/>
    <row r="171" s="65" customFormat="1"/>
    <row r="172" s="65" customFormat="1"/>
    <row r="173" s="65" customFormat="1"/>
    <row r="174" s="65" customFormat="1"/>
    <row r="175" s="65" customFormat="1"/>
    <row r="176" s="65" customFormat="1"/>
    <row r="177" s="65" customFormat="1"/>
    <row r="178" s="65" customFormat="1"/>
    <row r="179" s="65" customFormat="1"/>
    <row r="180" s="65" customFormat="1"/>
    <row r="181" s="65" customFormat="1"/>
    <row r="182" s="65" customFormat="1"/>
    <row r="183" s="65" customFormat="1"/>
    <row r="184" s="65" customFormat="1"/>
    <row r="185" s="65" customFormat="1"/>
    <row r="186" s="65" customFormat="1"/>
    <row r="187" s="65" customFormat="1"/>
    <row r="188" s="65" customFormat="1"/>
    <row r="189" s="65" customFormat="1"/>
    <row r="190" s="65" customFormat="1"/>
    <row r="191" s="65" customFormat="1"/>
    <row r="192" s="65" customFormat="1"/>
    <row r="193" s="65" customFormat="1"/>
    <row r="194" s="65" customFormat="1"/>
    <row r="195" s="65" customFormat="1"/>
    <row r="196" s="65" customFormat="1"/>
    <row r="197" s="65" customFormat="1"/>
    <row r="198" s="65" customFormat="1"/>
    <row r="199" s="65" customFormat="1"/>
    <row r="200" s="65" customFormat="1"/>
    <row r="201" s="65" customFormat="1"/>
    <row r="202" s="65" customFormat="1"/>
    <row r="203" s="65" customFormat="1"/>
    <row r="204" s="65" customFormat="1"/>
    <row r="205" s="65" customFormat="1"/>
    <row r="206" s="65" customFormat="1"/>
    <row r="207" s="65" customFormat="1"/>
    <row r="208" s="65" customFormat="1"/>
    <row r="209" s="65" customFormat="1"/>
    <row r="210" s="65" customFormat="1"/>
    <row r="211" s="65" customFormat="1"/>
    <row r="212" s="65" customFormat="1"/>
    <row r="213" s="65" customFormat="1"/>
    <row r="214" s="65" customFormat="1"/>
    <row r="215" s="65" customFormat="1"/>
    <row r="216" s="65" customFormat="1"/>
    <row r="217" s="65" customFormat="1"/>
    <row r="218" s="65" customFormat="1"/>
    <row r="219" s="65" customFormat="1"/>
    <row r="220" s="65" customFormat="1"/>
    <row r="221" s="65" customFormat="1"/>
    <row r="222" s="65" customFormat="1"/>
    <row r="223" s="65" customFormat="1"/>
    <row r="224" s="65" customFormat="1"/>
    <row r="225" s="65" customFormat="1"/>
    <row r="226" s="65" customFormat="1"/>
    <row r="227" s="65" customFormat="1"/>
    <row r="228" s="65" customFormat="1"/>
    <row r="229" s="65" customFormat="1"/>
    <row r="230" s="65" customFormat="1"/>
    <row r="231" s="65" customFormat="1"/>
    <row r="232" s="65" customFormat="1"/>
    <row r="233" s="65" customFormat="1"/>
    <row r="234" s="65" customFormat="1"/>
    <row r="235" s="65" customFormat="1"/>
    <row r="236" s="65" customFormat="1"/>
    <row r="237" s="65" customFormat="1"/>
    <row r="238" s="65" customFormat="1"/>
    <row r="239" s="65" customFormat="1"/>
    <row r="240" s="65" customFormat="1"/>
    <row r="241" s="65" customFormat="1"/>
    <row r="242" s="65" customFormat="1"/>
    <row r="243" s="65" customFormat="1"/>
    <row r="244" s="65" customFormat="1"/>
    <row r="245" s="65" customFormat="1"/>
    <row r="246" s="65" customFormat="1"/>
    <row r="247" s="65" customFormat="1"/>
    <row r="248" s="65" customFormat="1"/>
    <row r="249" s="65" customFormat="1"/>
    <row r="250" s="65" customFormat="1"/>
    <row r="251" s="65" customFormat="1"/>
    <row r="252" s="65" customFormat="1"/>
    <row r="253" s="65" customFormat="1"/>
    <row r="254" s="65" customFormat="1"/>
    <row r="255" s="65" customFormat="1"/>
    <row r="256" s="65" customFormat="1"/>
    <row r="257" s="65" customFormat="1"/>
    <row r="258" s="65" customFormat="1"/>
    <row r="259" s="65" customFormat="1"/>
    <row r="260" s="65" customFormat="1"/>
    <row r="261" s="65" customFormat="1"/>
    <row r="262" s="65" customFormat="1"/>
    <row r="263" s="65" customFormat="1"/>
    <row r="264" s="65" customFormat="1"/>
    <row r="265" s="65" customFormat="1"/>
    <row r="266" s="65" customFormat="1"/>
    <row r="267" s="65" customFormat="1"/>
    <row r="268" s="65" customFormat="1"/>
    <row r="269" s="65" customFormat="1"/>
    <row r="270" s="65" customFormat="1"/>
    <row r="271" s="65" customFormat="1"/>
    <row r="272" s="65" customFormat="1"/>
    <row r="273" s="65" customFormat="1"/>
    <row r="274" s="65" customFormat="1"/>
    <row r="275" s="65" customFormat="1"/>
    <row r="276" s="65" customFormat="1"/>
    <row r="277" s="65" customFormat="1"/>
    <row r="278" s="65" customFormat="1"/>
    <row r="279" s="65" customFormat="1"/>
    <row r="280" s="65" customFormat="1"/>
    <row r="281" s="65" customFormat="1"/>
    <row r="282" s="65" customFormat="1"/>
    <row r="283" s="65" customFormat="1"/>
    <row r="284" s="65" customFormat="1"/>
    <row r="285" s="65" customFormat="1"/>
    <row r="286" s="65" customFormat="1"/>
    <row r="287" s="65" customFormat="1"/>
    <row r="288" s="65" customFormat="1"/>
    <row r="289" s="65" customFormat="1"/>
    <row r="290" s="65" customFormat="1"/>
    <row r="291" s="65" customFormat="1"/>
    <row r="292" s="65" customFormat="1"/>
    <row r="293" s="65" customFormat="1"/>
    <row r="294" s="65" customFormat="1"/>
    <row r="295" s="65" customFormat="1"/>
    <row r="296" s="65" customFormat="1"/>
    <row r="297" s="65" customFormat="1"/>
    <row r="298" s="65" customFormat="1"/>
    <row r="299" s="65" customFormat="1"/>
    <row r="300" s="65" customFormat="1"/>
    <row r="301" s="65" customFormat="1"/>
    <row r="302" s="65" customFormat="1"/>
    <row r="303" s="65" customFormat="1"/>
    <row r="304" s="65" customFormat="1"/>
    <row r="305" s="65" customFormat="1"/>
    <row r="306" s="65" customFormat="1"/>
    <row r="307" s="65" customFormat="1"/>
    <row r="308" s="65" customFormat="1"/>
    <row r="309" s="65" customFormat="1"/>
    <row r="310" s="65" customFormat="1"/>
    <row r="311" s="65" customFormat="1"/>
    <row r="312" s="65" customFormat="1"/>
    <row r="313" s="65" customFormat="1"/>
    <row r="314" s="65" customFormat="1"/>
    <row r="315" s="65" customFormat="1"/>
    <row r="316" s="65" customFormat="1"/>
    <row r="317" s="65" customFormat="1"/>
    <row r="318" s="65" customFormat="1"/>
    <row r="319" s="65" customFormat="1"/>
    <row r="320" s="65" customFormat="1"/>
    <row r="321" s="65" customFormat="1"/>
    <row r="322" s="65" customFormat="1"/>
    <row r="323" s="65" customFormat="1"/>
    <row r="324" s="65" customFormat="1"/>
    <row r="325" s="65" customFormat="1"/>
    <row r="326" s="65" customFormat="1"/>
    <row r="327" s="65" customFormat="1"/>
    <row r="328" s="65" customFormat="1"/>
    <row r="329" s="65" customFormat="1"/>
    <row r="330" s="65" customFormat="1"/>
    <row r="331" s="65" customFormat="1"/>
    <row r="332" s="65" customFormat="1"/>
    <row r="333" s="65" customFormat="1"/>
    <row r="334" s="65" customFormat="1"/>
    <row r="335" s="65" customFormat="1"/>
    <row r="336" s="65" customFormat="1"/>
    <row r="337" s="65" customFormat="1"/>
    <row r="338" s="65" customFormat="1"/>
    <row r="339" s="65" customFormat="1"/>
    <row r="340" s="65" customFormat="1"/>
    <row r="341" s="65" customFormat="1"/>
    <row r="342" s="65" customFormat="1"/>
    <row r="343" s="65" customFormat="1"/>
    <row r="344" s="65" customFormat="1"/>
    <row r="345" s="65" customFormat="1"/>
    <row r="346" s="65" customFormat="1"/>
    <row r="347" s="65" customFormat="1"/>
    <row r="348" s="65" customFormat="1"/>
    <row r="349" s="65" customFormat="1"/>
    <row r="350" s="65" customFormat="1"/>
    <row r="351" s="65" customFormat="1"/>
    <row r="352" s="65" customFormat="1"/>
    <row r="353" s="65" customFormat="1"/>
    <row r="354" s="65" customFormat="1"/>
    <row r="355" s="65" customFormat="1"/>
    <row r="356" s="65" customFormat="1"/>
    <row r="357" s="65" customFormat="1"/>
    <row r="358" s="65" customFormat="1"/>
    <row r="359" s="65" customFormat="1"/>
    <row r="360" s="65" customFormat="1"/>
    <row r="361" s="65" customFormat="1"/>
    <row r="362" s="65" customFormat="1"/>
    <row r="363" s="65" customFormat="1"/>
    <row r="364" s="65" customFormat="1"/>
    <row r="365" s="65" customFormat="1"/>
    <row r="366" s="65" customFormat="1"/>
    <row r="367" s="65" customFormat="1"/>
    <row r="368" s="65" customFormat="1"/>
    <row r="369" s="65" customFormat="1"/>
    <row r="370" s="65" customFormat="1"/>
    <row r="371" s="65" customFormat="1"/>
    <row r="372" s="65" customFormat="1"/>
    <row r="373" s="65" customFormat="1"/>
    <row r="374" s="65" customFormat="1"/>
    <row r="375" s="65" customFormat="1"/>
    <row r="376" s="65" customFormat="1"/>
    <row r="377" s="65" customFormat="1"/>
    <row r="378" s="65" customFormat="1"/>
    <row r="379" s="65" customFormat="1"/>
    <row r="380" s="65" customFormat="1"/>
    <row r="381" s="65" customFormat="1"/>
    <row r="382" s="65" customFormat="1"/>
    <row r="383" s="65" customFormat="1"/>
    <row r="384" s="65" customFormat="1"/>
    <row r="385" s="65" customFormat="1"/>
    <row r="386" s="65" customFormat="1"/>
    <row r="387" s="65" customFormat="1"/>
    <row r="388" s="65" customFormat="1"/>
    <row r="389" s="65" customFormat="1"/>
    <row r="390" s="65" customFormat="1"/>
    <row r="391" s="65" customFormat="1"/>
    <row r="392" s="65" customFormat="1"/>
    <row r="393" s="65" customFormat="1"/>
    <row r="394" s="65" customFormat="1"/>
    <row r="395" s="65" customFormat="1"/>
    <row r="396" s="65" customFormat="1"/>
    <row r="397" s="65" customFormat="1"/>
    <row r="398" s="65" customFormat="1"/>
    <row r="399" s="65" customFormat="1"/>
    <row r="400" s="65" customFormat="1"/>
    <row r="401" s="65" customFormat="1"/>
    <row r="402" s="65" customFormat="1"/>
    <row r="403" s="65" customFormat="1"/>
    <row r="404" s="65" customFormat="1"/>
    <row r="405" s="65" customFormat="1"/>
    <row r="406" s="65" customFormat="1"/>
    <row r="407" s="65" customFormat="1"/>
    <row r="408" s="65" customFormat="1"/>
    <row r="409" s="65" customFormat="1"/>
    <row r="410" s="65" customFormat="1"/>
    <row r="411" s="65" customFormat="1"/>
    <row r="412" s="65" customFormat="1"/>
    <row r="413" s="65" customFormat="1"/>
    <row r="414" s="65" customFormat="1"/>
    <row r="415" s="65" customFormat="1"/>
    <row r="416" s="65" customFormat="1"/>
    <row r="417" s="65" customFormat="1"/>
    <row r="418" s="65" customFormat="1"/>
    <row r="419" s="65" customFormat="1"/>
    <row r="420" s="65" customFormat="1"/>
    <row r="421" s="65" customFormat="1"/>
    <row r="422" s="65" customFormat="1"/>
    <row r="423" s="65" customFormat="1"/>
    <row r="424" s="65" customFormat="1"/>
    <row r="425" s="65" customFormat="1"/>
    <row r="426" s="65" customFormat="1"/>
    <row r="427" s="65" customFormat="1"/>
    <row r="428" s="65" customFormat="1"/>
    <row r="429" s="65" customFormat="1"/>
    <row r="430" s="65" customFormat="1"/>
    <row r="431" s="65" customFormat="1"/>
    <row r="432" s="65" customFormat="1"/>
    <row r="433" s="65" customFormat="1"/>
    <row r="434" s="65" customFormat="1"/>
    <row r="435" s="65" customFormat="1"/>
    <row r="436" s="65" customFormat="1"/>
    <row r="437" s="65" customFormat="1"/>
    <row r="438" s="65" customFormat="1"/>
    <row r="439" s="65" customFormat="1"/>
    <row r="440" s="65" customFormat="1"/>
    <row r="441" s="65" customFormat="1"/>
    <row r="442" s="65" customFormat="1"/>
    <row r="443" s="65" customFormat="1"/>
    <row r="444" s="65" customFormat="1"/>
    <row r="445" s="65" customFormat="1"/>
    <row r="446" s="65" customFormat="1"/>
    <row r="447" s="65" customFormat="1"/>
    <row r="448" s="65" customFormat="1"/>
    <row r="449" s="65" customFormat="1"/>
    <row r="450" s="65" customFormat="1"/>
    <row r="451" s="65" customFormat="1"/>
    <row r="452" s="65" customFormat="1"/>
    <row r="453" s="65" customFormat="1"/>
    <row r="454" s="65" customFormat="1"/>
    <row r="455" s="65" customFormat="1"/>
    <row r="456" s="65" customFormat="1"/>
    <row r="457" s="65" customFormat="1"/>
    <row r="458" s="65" customFormat="1"/>
    <row r="459" s="65" customFormat="1"/>
    <row r="460" s="65" customFormat="1"/>
    <row r="461" s="65" customFormat="1"/>
    <row r="462" s="65" customFormat="1"/>
    <row r="463" s="65" customFormat="1"/>
    <row r="464" s="65" customFormat="1"/>
    <row r="465" s="65" customFormat="1"/>
    <row r="466" s="65" customFormat="1"/>
    <row r="467" s="65" customFormat="1"/>
    <row r="468" s="65" customFormat="1"/>
    <row r="469" s="65" customFormat="1"/>
    <row r="470" s="65" customFormat="1"/>
    <row r="471" s="65" customFormat="1"/>
    <row r="472" s="65" customFormat="1"/>
    <row r="473" s="65" customFormat="1"/>
    <row r="474" s="65" customFormat="1"/>
    <row r="475" s="65" customFormat="1"/>
    <row r="476" s="65" customFormat="1"/>
    <row r="477" s="65" customFormat="1"/>
    <row r="478" s="65" customFormat="1"/>
    <row r="479" s="65" customFormat="1"/>
    <row r="480" s="65" customFormat="1"/>
    <row r="481" s="65" customFormat="1"/>
    <row r="482" s="65" customFormat="1"/>
    <row r="483" s="65" customFormat="1"/>
  </sheetData>
  <mergeCells count="15">
    <mergeCell ref="T9:V10"/>
    <mergeCell ref="A3:C3"/>
    <mergeCell ref="A4:B4"/>
    <mergeCell ref="A5:B5"/>
    <mergeCell ref="A7:B7"/>
    <mergeCell ref="A6:B6"/>
    <mergeCell ref="P10:P11"/>
    <mergeCell ref="A9:E10"/>
    <mergeCell ref="O10:O11"/>
    <mergeCell ref="H10:H11"/>
    <mergeCell ref="J10:K10"/>
    <mergeCell ref="L10:M10"/>
    <mergeCell ref="Q10:Q11"/>
    <mergeCell ref="R10:R11"/>
    <mergeCell ref="H9:R9"/>
  </mergeCells>
  <pageMargins left="0.25" right="0.25" top="0.75" bottom="0.75" header="0.3" footer="0.3"/>
  <pageSetup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CM500"/>
  <sheetViews>
    <sheetView workbookViewId="0"/>
  </sheetViews>
  <sheetFormatPr defaultRowHeight="13.2"/>
  <cols>
    <col min="4" max="4" width="10.6640625" bestFit="1" customWidth="1"/>
    <col min="6" max="6" width="10.6640625" customWidth="1"/>
    <col min="7" max="7" width="14.5546875" customWidth="1"/>
    <col min="19" max="91" width="8.88671875" style="65"/>
  </cols>
  <sheetData>
    <row r="1" spans="1:18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ht="14.4" thickBot="1">
      <c r="A2" s="361" t="s">
        <v>31</v>
      </c>
      <c r="B2" s="362"/>
      <c r="C2" s="362"/>
      <c r="D2" s="363"/>
      <c r="E2" s="65"/>
      <c r="F2" s="357" t="s">
        <v>32</v>
      </c>
      <c r="G2" s="358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8" ht="15" thickTop="1" thickBot="1">
      <c r="A3" s="194">
        <v>0</v>
      </c>
      <c r="B3" s="194">
        <v>2020</v>
      </c>
      <c r="C3" s="37">
        <v>1</v>
      </c>
      <c r="D3" s="57">
        <f>1/(1+$D$43)^A3</f>
        <v>1</v>
      </c>
      <c r="E3" s="65"/>
      <c r="F3" s="236" t="s">
        <v>33</v>
      </c>
      <c r="G3" s="260" t="s">
        <v>34</v>
      </c>
      <c r="H3" s="65"/>
      <c r="I3" s="81"/>
      <c r="J3" s="65"/>
      <c r="K3" s="65"/>
      <c r="L3" s="65"/>
      <c r="M3" s="65"/>
      <c r="N3" s="65"/>
      <c r="O3" s="65"/>
      <c r="P3" s="65"/>
      <c r="Q3" s="65"/>
      <c r="R3" s="65"/>
    </row>
    <row r="4" spans="1:18" ht="14.4" thickTop="1">
      <c r="A4" s="194">
        <f t="shared" ref="A4:A42" si="0">A3+1</f>
        <v>1</v>
      </c>
      <c r="B4" s="194">
        <f t="shared" ref="B4:B42" si="1">B3+1</f>
        <v>2021</v>
      </c>
      <c r="C4" s="37">
        <f>1/(1+$C$43)^A4</f>
        <v>0.93457943925233644</v>
      </c>
      <c r="D4" s="57">
        <f>1/(1+$D$43)^A4</f>
        <v>0.970873786407767</v>
      </c>
      <c r="E4" s="65"/>
      <c r="F4" s="194">
        <v>2003</v>
      </c>
      <c r="G4" s="254">
        <v>1.38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 ht="13.8">
      <c r="A5" s="194">
        <f t="shared" si="0"/>
        <v>2</v>
      </c>
      <c r="B5" s="194">
        <f t="shared" si="1"/>
        <v>2022</v>
      </c>
      <c r="C5" s="37">
        <f t="shared" ref="C5:C24" si="2">1/(1+$C$43)^A5</f>
        <v>0.87343872827321156</v>
      </c>
      <c r="D5" s="57">
        <f t="shared" ref="D5:D42" si="3">1/(1+$D$43)^A5</f>
        <v>0.94259590913375435</v>
      </c>
      <c r="E5" s="65"/>
      <c r="F5" s="194">
        <f t="shared" ref="F5:F21" si="4">F4+1</f>
        <v>2004</v>
      </c>
      <c r="G5" s="254">
        <v>1.34</v>
      </c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18" ht="13.8">
      <c r="A6" s="194">
        <f t="shared" si="0"/>
        <v>3</v>
      </c>
      <c r="B6" s="194">
        <f t="shared" si="1"/>
        <v>2023</v>
      </c>
      <c r="C6" s="37">
        <f t="shared" si="2"/>
        <v>0.81629787689085187</v>
      </c>
      <c r="D6" s="57">
        <f t="shared" si="3"/>
        <v>0.91514165935315961</v>
      </c>
      <c r="E6" s="65"/>
      <c r="F6" s="194">
        <f t="shared" si="4"/>
        <v>2005</v>
      </c>
      <c r="G6" s="254">
        <v>1.3</v>
      </c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1:18" ht="13.8">
      <c r="A7" s="194">
        <f t="shared" si="0"/>
        <v>4</v>
      </c>
      <c r="B7" s="194">
        <f t="shared" si="1"/>
        <v>2024</v>
      </c>
      <c r="C7" s="37">
        <f t="shared" si="2"/>
        <v>0.7628952120475252</v>
      </c>
      <c r="D7" s="57">
        <f t="shared" si="3"/>
        <v>0.888487047915689</v>
      </c>
      <c r="E7" s="65"/>
      <c r="F7" s="194">
        <f t="shared" si="4"/>
        <v>2006</v>
      </c>
      <c r="G7" s="254">
        <v>1.26</v>
      </c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8" spans="1:18" ht="13.8">
      <c r="A8" s="194">
        <f t="shared" si="0"/>
        <v>5</v>
      </c>
      <c r="B8" s="194">
        <f t="shared" si="1"/>
        <v>2025</v>
      </c>
      <c r="C8" s="37">
        <f t="shared" si="2"/>
        <v>0.71298617948366838</v>
      </c>
      <c r="D8" s="57">
        <f t="shared" si="3"/>
        <v>0.86260878438416411</v>
      </c>
      <c r="E8" s="65"/>
      <c r="F8" s="194">
        <f t="shared" si="4"/>
        <v>2007</v>
      </c>
      <c r="G8" s="254">
        <v>1.23</v>
      </c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</row>
    <row r="9" spans="1:18" ht="13.8">
      <c r="A9" s="194">
        <f t="shared" si="0"/>
        <v>6</v>
      </c>
      <c r="B9" s="194">
        <f t="shared" si="1"/>
        <v>2026</v>
      </c>
      <c r="C9" s="37">
        <f t="shared" si="2"/>
        <v>0.66634222381651254</v>
      </c>
      <c r="D9" s="57">
        <f t="shared" si="3"/>
        <v>0.83748425668365445</v>
      </c>
      <c r="E9" s="65"/>
      <c r="F9" s="194">
        <f t="shared" si="4"/>
        <v>2008</v>
      </c>
      <c r="G9" s="254">
        <v>1.2</v>
      </c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</row>
    <row r="10" spans="1:18" ht="13.8">
      <c r="A10" s="194">
        <f t="shared" si="0"/>
        <v>7</v>
      </c>
      <c r="B10" s="194">
        <f t="shared" si="1"/>
        <v>2027</v>
      </c>
      <c r="C10" s="37">
        <f t="shared" si="2"/>
        <v>0.62274974188459109</v>
      </c>
      <c r="D10" s="57">
        <f t="shared" si="3"/>
        <v>0.81309151134335378</v>
      </c>
      <c r="E10" s="65"/>
      <c r="F10" s="194">
        <f t="shared" si="4"/>
        <v>2009</v>
      </c>
      <c r="G10" s="254">
        <v>1.2</v>
      </c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</row>
    <row r="11" spans="1:18" ht="13.8">
      <c r="A11" s="194">
        <f t="shared" si="0"/>
        <v>8</v>
      </c>
      <c r="B11" s="194">
        <f t="shared" si="1"/>
        <v>2028</v>
      </c>
      <c r="C11" s="37">
        <f t="shared" si="2"/>
        <v>0.5820091045650384</v>
      </c>
      <c r="D11" s="57">
        <f t="shared" si="3"/>
        <v>0.78940923431393573</v>
      </c>
      <c r="E11" s="65"/>
      <c r="F11" s="194">
        <f t="shared" si="4"/>
        <v>2010</v>
      </c>
      <c r="G11" s="254">
        <v>1.18</v>
      </c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spans="1:18" ht="13.8">
      <c r="A12" s="194">
        <f t="shared" si="0"/>
        <v>9</v>
      </c>
      <c r="B12" s="194">
        <f t="shared" si="1"/>
        <v>2029</v>
      </c>
      <c r="C12" s="37">
        <f t="shared" si="2"/>
        <v>0.54393374258414806</v>
      </c>
      <c r="D12" s="57">
        <f t="shared" si="3"/>
        <v>0.76641673234362695</v>
      </c>
      <c r="E12" s="65"/>
      <c r="F12" s="194">
        <f t="shared" si="4"/>
        <v>2011</v>
      </c>
      <c r="G12" s="254">
        <v>1.1599999999999999</v>
      </c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</row>
    <row r="13" spans="1:18" ht="13.8">
      <c r="A13" s="194">
        <f t="shared" si="0"/>
        <v>10</v>
      </c>
      <c r="B13" s="194">
        <f t="shared" si="1"/>
        <v>2030</v>
      </c>
      <c r="C13" s="37">
        <f t="shared" si="2"/>
        <v>0.5083492921347178</v>
      </c>
      <c r="D13" s="57">
        <f t="shared" si="3"/>
        <v>0.74409391489672516</v>
      </c>
      <c r="E13" s="65"/>
      <c r="F13" s="194">
        <f t="shared" si="4"/>
        <v>2012</v>
      </c>
      <c r="G13" s="254">
        <v>1.1399999999999999</v>
      </c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spans="1:18" ht="13.8">
      <c r="A14" s="194">
        <f t="shared" si="0"/>
        <v>11</v>
      </c>
      <c r="B14" s="194">
        <f t="shared" si="1"/>
        <v>2031</v>
      </c>
      <c r="C14" s="37">
        <f t="shared" si="2"/>
        <v>0.47509279638758667</v>
      </c>
      <c r="D14" s="57">
        <f t="shared" si="3"/>
        <v>0.72242127659876232</v>
      </c>
      <c r="E14" s="65"/>
      <c r="F14" s="194">
        <f t="shared" si="4"/>
        <v>2013</v>
      </c>
      <c r="G14" s="254">
        <v>1.1200000000000001</v>
      </c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</row>
    <row r="15" spans="1:18" ht="13.8">
      <c r="A15" s="194">
        <f t="shared" si="0"/>
        <v>12</v>
      </c>
      <c r="B15" s="194">
        <f t="shared" si="1"/>
        <v>2032</v>
      </c>
      <c r="C15" s="37">
        <f t="shared" si="2"/>
        <v>0.44401195924073528</v>
      </c>
      <c r="D15" s="57">
        <f t="shared" si="3"/>
        <v>0.70137988019297326</v>
      </c>
      <c r="E15" s="65"/>
      <c r="F15" s="194">
        <f t="shared" si="4"/>
        <v>2014</v>
      </c>
      <c r="G15" s="254">
        <v>1.1000000000000001</v>
      </c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</row>
    <row r="16" spans="1:18" ht="13.8">
      <c r="A16" s="194">
        <f t="shared" si="0"/>
        <v>13</v>
      </c>
      <c r="B16" s="194">
        <f t="shared" si="1"/>
        <v>2033</v>
      </c>
      <c r="C16" s="37">
        <f t="shared" si="2"/>
        <v>0.41496444788853759</v>
      </c>
      <c r="D16" s="57">
        <f t="shared" si="3"/>
        <v>0.68095133999317792</v>
      </c>
      <c r="E16" s="65"/>
      <c r="F16" s="194">
        <f t="shared" si="4"/>
        <v>2015</v>
      </c>
      <c r="G16" s="254">
        <v>1.0900000000000001</v>
      </c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</row>
    <row r="17" spans="1:18" ht="13.8">
      <c r="A17" s="194">
        <f t="shared" si="0"/>
        <v>14</v>
      </c>
      <c r="B17" s="194">
        <f t="shared" si="1"/>
        <v>2034</v>
      </c>
      <c r="C17" s="37">
        <f t="shared" si="2"/>
        <v>0.3878172410173249</v>
      </c>
      <c r="D17" s="57">
        <f t="shared" si="3"/>
        <v>0.66111780581861923</v>
      </c>
      <c r="E17" s="65"/>
      <c r="F17" s="194">
        <f t="shared" si="4"/>
        <v>2016</v>
      </c>
      <c r="G17" s="254">
        <v>1.07</v>
      </c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spans="1:18" ht="13.8">
      <c r="A18" s="194">
        <f t="shared" si="0"/>
        <v>15</v>
      </c>
      <c r="B18" s="194">
        <f t="shared" si="1"/>
        <v>2035</v>
      </c>
      <c r="C18" s="37">
        <f t="shared" si="2"/>
        <v>0.36244601964235967</v>
      </c>
      <c r="D18" s="57">
        <f t="shared" si="3"/>
        <v>0.64186194739671765</v>
      </c>
      <c r="E18" s="65"/>
      <c r="F18" s="194">
        <f t="shared" si="4"/>
        <v>2017</v>
      </c>
      <c r="G18" s="254">
        <v>1.05</v>
      </c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</row>
    <row r="19" spans="1:18" ht="13.8">
      <c r="A19" s="194">
        <f t="shared" si="0"/>
        <v>16</v>
      </c>
      <c r="B19" s="194">
        <f t="shared" si="1"/>
        <v>2036</v>
      </c>
      <c r="C19" s="37">
        <f t="shared" si="2"/>
        <v>0.33873459779659787</v>
      </c>
      <c r="D19" s="57">
        <f t="shared" si="3"/>
        <v>0.62316693922011435</v>
      </c>
      <c r="E19" s="65"/>
      <c r="F19" s="194">
        <f t="shared" si="4"/>
        <v>2018</v>
      </c>
      <c r="G19" s="254">
        <v>1.03</v>
      </c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spans="1:18" ht="13.8">
      <c r="A20" s="194">
        <f t="shared" si="0"/>
        <v>17</v>
      </c>
      <c r="B20" s="194">
        <f t="shared" si="1"/>
        <v>2037</v>
      </c>
      <c r="C20" s="37">
        <f t="shared" si="2"/>
        <v>0.31657439046411018</v>
      </c>
      <c r="D20" s="57">
        <f t="shared" si="3"/>
        <v>0.60501644584477121</v>
      </c>
      <c r="E20" s="65"/>
      <c r="F20" s="194">
        <f t="shared" si="4"/>
        <v>2019</v>
      </c>
      <c r="G20" s="254">
        <v>1.01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</row>
    <row r="21" spans="1:18" ht="13.8">
      <c r="A21" s="194">
        <f t="shared" si="0"/>
        <v>18</v>
      </c>
      <c r="B21" s="194">
        <f t="shared" si="1"/>
        <v>2038</v>
      </c>
      <c r="C21" s="37">
        <f t="shared" si="2"/>
        <v>0.29586391632159825</v>
      </c>
      <c r="D21" s="57">
        <f t="shared" si="3"/>
        <v>0.5873946076162827</v>
      </c>
      <c r="E21" s="65"/>
      <c r="F21" s="194">
        <f t="shared" si="4"/>
        <v>2020</v>
      </c>
      <c r="G21" s="254">
        <v>1</v>
      </c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</row>
    <row r="22" spans="1:18" ht="13.8">
      <c r="A22" s="194">
        <f t="shared" si="0"/>
        <v>19</v>
      </c>
      <c r="B22" s="194">
        <f t="shared" si="1"/>
        <v>2039</v>
      </c>
      <c r="C22" s="37">
        <f t="shared" si="2"/>
        <v>0.27650833301083949</v>
      </c>
      <c r="D22" s="57">
        <f t="shared" si="3"/>
        <v>0.57028602681192497</v>
      </c>
      <c r="E22" s="65"/>
      <c r="F22" s="359" t="s">
        <v>35</v>
      </c>
      <c r="G22" s="360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</row>
    <row r="23" spans="1:18" ht="13.8">
      <c r="A23" s="194">
        <f t="shared" si="0"/>
        <v>20</v>
      </c>
      <c r="B23" s="194">
        <f t="shared" si="1"/>
        <v>2040</v>
      </c>
      <c r="C23" s="37">
        <f t="shared" si="2"/>
        <v>0.2584190028138687</v>
      </c>
      <c r="D23" s="57">
        <f t="shared" si="3"/>
        <v>0.55367575418633497</v>
      </c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</row>
    <row r="24" spans="1:18" ht="13.8">
      <c r="A24" s="194">
        <f t="shared" si="0"/>
        <v>21</v>
      </c>
      <c r="B24" s="194">
        <f t="shared" si="1"/>
        <v>2041</v>
      </c>
      <c r="C24" s="37">
        <f t="shared" si="2"/>
        <v>0.24151308674193336</v>
      </c>
      <c r="D24" s="57">
        <f t="shared" si="3"/>
        <v>0.5375492759090631</v>
      </c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</row>
    <row r="25" spans="1:18" ht="13.8">
      <c r="A25" s="194">
        <f t="shared" si="0"/>
        <v>22</v>
      </c>
      <c r="B25" s="194">
        <f t="shared" si="1"/>
        <v>2042</v>
      </c>
      <c r="C25" s="37">
        <f t="shared" ref="C25:C35" si="5">1/(1+$C$43)^A25</f>
        <v>0.22571316517937698</v>
      </c>
      <c r="D25" s="57">
        <f t="shared" si="3"/>
        <v>0.52189250088258554</v>
      </c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</row>
    <row r="26" spans="1:18" ht="13.8">
      <c r="A26" s="194">
        <f t="shared" si="0"/>
        <v>23</v>
      </c>
      <c r="B26" s="194">
        <f t="shared" si="1"/>
        <v>2043</v>
      </c>
      <c r="C26" s="37">
        <f t="shared" si="5"/>
        <v>0.21094688334521211</v>
      </c>
      <c r="D26" s="57">
        <f t="shared" si="3"/>
        <v>0.50669174842969467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</row>
    <row r="27" spans="1:18" ht="13.8">
      <c r="A27" s="194">
        <f t="shared" si="0"/>
        <v>24</v>
      </c>
      <c r="B27" s="194">
        <f t="shared" si="1"/>
        <v>2044</v>
      </c>
      <c r="C27" s="37">
        <f t="shared" si="5"/>
        <v>0.19714661994879637</v>
      </c>
      <c r="D27" s="57">
        <f t="shared" si="3"/>
        <v>0.49193373633950943</v>
      </c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</row>
    <row r="28" spans="1:18" ht="13.8">
      <c r="A28" s="194">
        <f t="shared" si="0"/>
        <v>25</v>
      </c>
      <c r="B28" s="194">
        <f t="shared" si="1"/>
        <v>2045</v>
      </c>
      <c r="C28" s="37">
        <f t="shared" si="5"/>
        <v>0.18424917752223957</v>
      </c>
      <c r="D28" s="57">
        <f t="shared" si="3"/>
        <v>0.47760556926165965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3.8">
      <c r="A29" s="194">
        <f t="shared" si="0"/>
        <v>26</v>
      </c>
      <c r="B29" s="194">
        <f t="shared" si="1"/>
        <v>2046</v>
      </c>
      <c r="C29" s="37">
        <f t="shared" si="5"/>
        <v>0.17219549301143888</v>
      </c>
      <c r="D29" s="57">
        <f t="shared" si="3"/>
        <v>0.46369472743850448</v>
      </c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</row>
    <row r="30" spans="1:18" ht="13.8">
      <c r="A30" s="194">
        <f t="shared" si="0"/>
        <v>27</v>
      </c>
      <c r="B30" s="194">
        <f t="shared" si="1"/>
        <v>2047</v>
      </c>
      <c r="C30" s="37">
        <f t="shared" si="5"/>
        <v>0.16093036730041013</v>
      </c>
      <c r="D30" s="57">
        <f t="shared" si="3"/>
        <v>0.45018905576553836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</row>
    <row r="31" spans="1:18" ht="13.8">
      <c r="A31" s="194">
        <f t="shared" si="0"/>
        <v>28</v>
      </c>
      <c r="B31" s="194">
        <f t="shared" si="1"/>
        <v>2048</v>
      </c>
      <c r="C31" s="37">
        <f t="shared" si="5"/>
        <v>0.15040221243028987</v>
      </c>
      <c r="D31" s="57">
        <f t="shared" si="3"/>
        <v>0.4370767531704256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</row>
    <row r="32" spans="1:18" ht="13.8">
      <c r="A32" s="194">
        <f t="shared" si="0"/>
        <v>29</v>
      </c>
      <c r="B32" s="194">
        <f t="shared" si="1"/>
        <v>2049</v>
      </c>
      <c r="C32" s="37">
        <f t="shared" si="5"/>
        <v>0.1405628153554111</v>
      </c>
      <c r="D32" s="57">
        <f t="shared" si="3"/>
        <v>0.42434636230138412</v>
      </c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1:18" ht="13.8">
      <c r="A33" s="194">
        <f t="shared" si="0"/>
        <v>30</v>
      </c>
      <c r="B33" s="194">
        <f t="shared" si="1"/>
        <v>2050</v>
      </c>
      <c r="C33" s="37">
        <f t="shared" si="5"/>
        <v>0.13136711715458982</v>
      </c>
      <c r="D33" s="57">
        <f t="shared" si="3"/>
        <v>0.41198675951590691</v>
      </c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</row>
    <row r="34" spans="1:18" ht="13.8">
      <c r="A34" s="194">
        <f t="shared" si="0"/>
        <v>31</v>
      </c>
      <c r="B34" s="194">
        <f t="shared" si="1"/>
        <v>2051</v>
      </c>
      <c r="C34" s="37">
        <f t="shared" si="5"/>
        <v>0.1227730066865325</v>
      </c>
      <c r="D34" s="57">
        <f t="shared" si="3"/>
        <v>0.39998714516107459</v>
      </c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</row>
    <row r="35" spans="1:18" ht="13.8">
      <c r="A35" s="194">
        <f t="shared" si="0"/>
        <v>32</v>
      </c>
      <c r="B35" s="194">
        <f t="shared" si="1"/>
        <v>2052</v>
      </c>
      <c r="C35" s="37">
        <f t="shared" si="5"/>
        <v>0.11474112774442291</v>
      </c>
      <c r="D35" s="57">
        <f t="shared" si="3"/>
        <v>0.38833703413696569</v>
      </c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</row>
    <row r="36" spans="1:18" ht="13.8">
      <c r="A36" s="194">
        <f t="shared" si="0"/>
        <v>33</v>
      </c>
      <c r="B36" s="194">
        <f t="shared" si="1"/>
        <v>2053</v>
      </c>
      <c r="C36" s="37">
        <f t="shared" ref="C36:C42" si="6">1/(1+$C$43)^A36</f>
        <v>0.10723469882656347</v>
      </c>
      <c r="D36" s="57">
        <f t="shared" si="3"/>
        <v>0.37702624673491814</v>
      </c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</row>
    <row r="37" spans="1:18" ht="13.8">
      <c r="A37" s="194">
        <f t="shared" si="0"/>
        <v>34</v>
      </c>
      <c r="B37" s="194">
        <f t="shared" si="1"/>
        <v>2054</v>
      </c>
      <c r="C37" s="37">
        <f t="shared" si="6"/>
        <v>0.10021934469772288</v>
      </c>
      <c r="D37" s="57">
        <f t="shared" si="3"/>
        <v>0.36604489974263904</v>
      </c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</row>
    <row r="38" spans="1:18" ht="13.8">
      <c r="A38" s="194">
        <f t="shared" si="0"/>
        <v>35</v>
      </c>
      <c r="B38" s="194">
        <f t="shared" si="1"/>
        <v>2055</v>
      </c>
      <c r="C38" s="37">
        <f t="shared" si="6"/>
        <v>9.366293896983445E-2</v>
      </c>
      <c r="D38" s="57">
        <f t="shared" si="3"/>
        <v>0.35538339780838735</v>
      </c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</row>
    <row r="39" spans="1:18" ht="13.8">
      <c r="A39" s="194">
        <f t="shared" si="0"/>
        <v>36</v>
      </c>
      <c r="B39" s="194">
        <f t="shared" si="1"/>
        <v>2056</v>
      </c>
      <c r="C39" s="37">
        <f t="shared" si="6"/>
        <v>8.7535456981153698E-2</v>
      </c>
      <c r="D39" s="57">
        <f t="shared" si="3"/>
        <v>0.34503242505668674</v>
      </c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</row>
    <row r="40" spans="1:18" ht="13.8">
      <c r="A40" s="194">
        <f t="shared" si="0"/>
        <v>37</v>
      </c>
      <c r="B40" s="194">
        <f t="shared" si="1"/>
        <v>2057</v>
      </c>
      <c r="C40" s="37">
        <f t="shared" si="6"/>
        <v>8.1808838300143641E-2</v>
      </c>
      <c r="D40" s="57">
        <f t="shared" si="3"/>
        <v>0.33498293694823961</v>
      </c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</row>
    <row r="41" spans="1:18" ht="13.8">
      <c r="A41" s="194">
        <f t="shared" si="0"/>
        <v>38</v>
      </c>
      <c r="B41" s="194">
        <f t="shared" si="1"/>
        <v>2058</v>
      </c>
      <c r="C41" s="37">
        <f t="shared" si="6"/>
        <v>7.6456858224433308E-2</v>
      </c>
      <c r="D41" s="57">
        <f t="shared" si="3"/>
        <v>0.3252261523769317</v>
      </c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</row>
    <row r="42" spans="1:18" ht="13.8">
      <c r="A42" s="194">
        <f t="shared" si="0"/>
        <v>39</v>
      </c>
      <c r="B42" s="194">
        <f t="shared" si="1"/>
        <v>2059</v>
      </c>
      <c r="C42" s="37">
        <f t="shared" si="6"/>
        <v>7.1455007686386268E-2</v>
      </c>
      <c r="D42" s="57">
        <f t="shared" si="3"/>
        <v>0.31575354599702099</v>
      </c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</row>
    <row r="43" spans="1:18" ht="13.8">
      <c r="A43" s="355" t="s">
        <v>10</v>
      </c>
      <c r="B43" s="356"/>
      <c r="C43" s="38">
        <f>0.07</f>
        <v>7.0000000000000007E-2</v>
      </c>
      <c r="D43" s="38">
        <f>0.03</f>
        <v>0.03</v>
      </c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</row>
    <row r="44" spans="1:18" ht="13.2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</row>
    <row r="45" spans="1:18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</row>
    <row r="46" spans="1:18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</row>
    <row r="47" spans="1:18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</row>
    <row r="48" spans="1:18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</row>
    <row r="49" s="65" customFormat="1"/>
    <row r="50" s="65" customFormat="1"/>
    <row r="51" s="65" customFormat="1"/>
    <row r="52" s="65" customFormat="1"/>
    <row r="53" s="65" customFormat="1"/>
    <row r="54" s="65" customFormat="1"/>
    <row r="55" s="65" customFormat="1"/>
    <row r="56" s="65" customFormat="1"/>
    <row r="57" s="65" customFormat="1"/>
    <row r="58" s="65" customFormat="1"/>
    <row r="59" s="65" customFormat="1"/>
    <row r="60" s="65" customFormat="1"/>
    <row r="61" s="65" customFormat="1"/>
    <row r="62" s="65" customFormat="1"/>
    <row r="63" s="65" customFormat="1"/>
    <row r="64" s="65" customFormat="1"/>
    <row r="65" s="65" customFormat="1"/>
    <row r="66" s="65" customFormat="1"/>
    <row r="67" s="65" customFormat="1"/>
    <row r="68" s="65" customFormat="1"/>
    <row r="69" s="65" customFormat="1"/>
    <row r="70" s="65" customFormat="1"/>
    <row r="71" s="65" customFormat="1"/>
    <row r="72" s="65" customFormat="1"/>
    <row r="73" s="65" customFormat="1"/>
    <row r="74" s="65" customFormat="1"/>
    <row r="75" s="65" customFormat="1"/>
    <row r="76" s="65" customFormat="1"/>
    <row r="77" s="65" customFormat="1"/>
    <row r="78" s="65" customFormat="1"/>
    <row r="79" s="65" customFormat="1"/>
    <row r="80" s="65" customFormat="1"/>
    <row r="81" s="65" customFormat="1"/>
    <row r="82" s="65" customFormat="1"/>
    <row r="83" s="65" customFormat="1"/>
    <row r="84" s="65" customFormat="1"/>
    <row r="85" s="65" customFormat="1"/>
    <row r="86" s="65" customFormat="1"/>
    <row r="87" s="65" customFormat="1"/>
    <row r="88" s="65" customFormat="1"/>
    <row r="89" s="65" customFormat="1"/>
    <row r="90" s="65" customFormat="1"/>
    <row r="91" s="65" customFormat="1"/>
    <row r="92" s="65" customFormat="1"/>
    <row r="93" s="65" customFormat="1"/>
    <row r="94" s="65" customFormat="1"/>
    <row r="95" s="65" customFormat="1"/>
    <row r="96" s="65" customFormat="1"/>
    <row r="97" s="65" customFormat="1"/>
    <row r="98" s="65" customFormat="1"/>
    <row r="99" s="65" customFormat="1"/>
    <row r="100" s="65" customFormat="1"/>
    <row r="101" s="65" customFormat="1"/>
    <row r="102" s="65" customFormat="1"/>
    <row r="103" s="65" customFormat="1"/>
    <row r="104" s="65" customFormat="1"/>
    <row r="105" s="65" customFormat="1"/>
    <row r="106" s="65" customFormat="1"/>
    <row r="107" s="65" customFormat="1"/>
    <row r="108" s="65" customFormat="1"/>
    <row r="109" s="65" customFormat="1"/>
    <row r="110" s="65" customFormat="1"/>
    <row r="111" s="65" customFormat="1"/>
    <row r="112" s="65" customFormat="1"/>
    <row r="113" s="65" customFormat="1"/>
    <row r="114" s="65" customFormat="1"/>
    <row r="115" s="65" customFormat="1"/>
    <row r="116" s="65" customFormat="1"/>
    <row r="117" s="65" customFormat="1"/>
    <row r="118" s="65" customFormat="1"/>
    <row r="119" s="65" customFormat="1"/>
    <row r="120" s="65" customFormat="1"/>
    <row r="121" s="65" customFormat="1"/>
    <row r="122" s="65" customFormat="1"/>
    <row r="123" s="65" customFormat="1"/>
    <row r="124" s="65" customFormat="1"/>
    <row r="125" s="65" customFormat="1"/>
    <row r="126" s="65" customFormat="1"/>
    <row r="127" s="65" customFormat="1"/>
    <row r="128" s="65" customFormat="1"/>
    <row r="129" s="65" customFormat="1"/>
    <row r="130" s="65" customFormat="1"/>
    <row r="131" s="65" customFormat="1"/>
    <row r="132" s="65" customFormat="1"/>
    <row r="133" s="65" customFormat="1"/>
    <row r="134" s="65" customFormat="1"/>
    <row r="135" s="65" customFormat="1"/>
    <row r="136" s="65" customFormat="1"/>
    <row r="137" s="65" customFormat="1"/>
    <row r="138" s="65" customFormat="1"/>
    <row r="139" s="65" customFormat="1"/>
    <row r="140" s="65" customFormat="1"/>
    <row r="141" s="65" customFormat="1"/>
    <row r="142" s="65" customFormat="1"/>
    <row r="143" s="65" customFormat="1"/>
    <row r="144" s="65" customFormat="1"/>
    <row r="145" s="65" customFormat="1"/>
    <row r="146" s="65" customFormat="1"/>
    <row r="147" s="65" customFormat="1"/>
    <row r="148" s="65" customFormat="1"/>
    <row r="149" s="65" customFormat="1"/>
    <row r="150" s="65" customFormat="1"/>
    <row r="151" s="65" customFormat="1"/>
    <row r="152" s="65" customFormat="1"/>
    <row r="153" s="65" customFormat="1"/>
    <row r="154" s="65" customFormat="1"/>
    <row r="155" s="65" customFormat="1"/>
    <row r="156" s="65" customFormat="1"/>
    <row r="157" s="65" customFormat="1"/>
    <row r="158" s="65" customFormat="1"/>
    <row r="159" s="65" customFormat="1"/>
    <row r="160" s="65" customFormat="1"/>
    <row r="161" s="65" customFormat="1"/>
    <row r="162" s="65" customFormat="1"/>
    <row r="163" s="65" customFormat="1"/>
    <row r="164" s="65" customFormat="1"/>
    <row r="165" s="65" customFormat="1"/>
    <row r="166" s="65" customFormat="1"/>
    <row r="167" s="65" customFormat="1"/>
    <row r="168" s="65" customFormat="1"/>
    <row r="169" s="65" customFormat="1"/>
    <row r="170" s="65" customFormat="1"/>
    <row r="171" s="65" customFormat="1"/>
    <row r="172" s="65" customFormat="1"/>
    <row r="173" s="65" customFormat="1"/>
    <row r="174" s="65" customFormat="1"/>
    <row r="175" s="65" customFormat="1"/>
    <row r="176" s="65" customFormat="1"/>
    <row r="177" s="65" customFormat="1"/>
    <row r="178" s="65" customFormat="1"/>
    <row r="179" s="65" customFormat="1"/>
    <row r="180" s="65" customFormat="1"/>
    <row r="181" s="65" customFormat="1"/>
    <row r="182" s="65" customFormat="1"/>
    <row r="183" s="65" customFormat="1"/>
    <row r="184" s="65" customFormat="1"/>
    <row r="185" s="65" customFormat="1"/>
    <row r="186" s="65" customFormat="1"/>
    <row r="187" s="65" customFormat="1"/>
    <row r="188" s="65" customFormat="1"/>
    <row r="189" s="65" customFormat="1"/>
    <row r="190" s="65" customFormat="1"/>
    <row r="191" s="65" customFormat="1"/>
    <row r="192" s="65" customFormat="1"/>
    <row r="193" s="65" customFormat="1"/>
    <row r="194" s="65" customFormat="1"/>
    <row r="195" s="65" customFormat="1"/>
    <row r="196" s="65" customFormat="1"/>
    <row r="197" s="65" customFormat="1"/>
    <row r="198" s="65" customFormat="1"/>
    <row r="199" s="65" customFormat="1"/>
    <row r="200" s="65" customFormat="1"/>
    <row r="201" s="65" customFormat="1"/>
    <row r="202" s="65" customFormat="1"/>
    <row r="203" s="65" customFormat="1"/>
    <row r="204" s="65" customFormat="1"/>
    <row r="205" s="65" customFormat="1"/>
    <row r="206" s="65" customFormat="1"/>
    <row r="207" s="65" customFormat="1"/>
    <row r="208" s="65" customFormat="1"/>
    <row r="209" s="65" customFormat="1"/>
    <row r="210" s="65" customFormat="1"/>
    <row r="211" s="65" customFormat="1"/>
    <row r="212" s="65" customFormat="1"/>
    <row r="213" s="65" customFormat="1"/>
    <row r="214" s="65" customFormat="1"/>
    <row r="215" s="65" customFormat="1"/>
    <row r="216" s="65" customFormat="1"/>
    <row r="217" s="65" customFormat="1"/>
    <row r="218" s="65" customFormat="1"/>
    <row r="219" s="65" customFormat="1"/>
    <row r="220" s="65" customFormat="1"/>
    <row r="221" s="65" customFormat="1"/>
    <row r="222" s="65" customFormat="1"/>
    <row r="223" s="65" customFormat="1"/>
    <row r="224" s="65" customFormat="1"/>
    <row r="225" s="65" customFormat="1"/>
    <row r="226" s="65" customFormat="1"/>
    <row r="227" s="65" customFormat="1"/>
    <row r="228" s="65" customFormat="1"/>
    <row r="229" s="65" customFormat="1"/>
    <row r="230" s="65" customFormat="1"/>
    <row r="231" s="65" customFormat="1"/>
    <row r="232" s="65" customFormat="1"/>
    <row r="233" s="65" customFormat="1"/>
    <row r="234" s="65" customFormat="1"/>
    <row r="235" s="65" customFormat="1"/>
    <row r="236" s="65" customFormat="1"/>
    <row r="237" s="65" customFormat="1"/>
    <row r="238" s="65" customFormat="1"/>
    <row r="239" s="65" customFormat="1"/>
    <row r="240" s="65" customFormat="1"/>
    <row r="241" s="65" customFormat="1"/>
    <row r="242" s="65" customFormat="1"/>
    <row r="243" s="65" customFormat="1"/>
    <row r="244" s="65" customFormat="1"/>
    <row r="245" s="65" customFormat="1"/>
    <row r="246" s="65" customFormat="1"/>
    <row r="247" s="65" customFormat="1"/>
    <row r="248" s="65" customFormat="1"/>
    <row r="249" s="65" customFormat="1"/>
    <row r="250" s="65" customFormat="1"/>
    <row r="251" s="65" customFormat="1"/>
    <row r="252" s="65" customFormat="1"/>
    <row r="253" s="65" customFormat="1"/>
    <row r="254" s="65" customFormat="1"/>
    <row r="255" s="65" customFormat="1"/>
    <row r="256" s="65" customFormat="1"/>
    <row r="257" s="65" customFormat="1"/>
    <row r="258" s="65" customFormat="1"/>
    <row r="259" s="65" customFormat="1"/>
    <row r="260" s="65" customFormat="1"/>
    <row r="261" s="65" customFormat="1"/>
    <row r="262" s="65" customFormat="1"/>
    <row r="263" s="65" customFormat="1"/>
    <row r="264" s="65" customFormat="1"/>
    <row r="265" s="65" customFormat="1"/>
    <row r="266" s="65" customFormat="1"/>
    <row r="267" s="65" customFormat="1"/>
    <row r="268" s="65" customFormat="1"/>
    <row r="269" s="65" customFormat="1"/>
    <row r="270" s="65" customFormat="1"/>
    <row r="271" s="65" customFormat="1"/>
    <row r="272" s="65" customFormat="1"/>
    <row r="273" s="65" customFormat="1"/>
    <row r="274" s="65" customFormat="1"/>
    <row r="275" s="65" customFormat="1"/>
    <row r="276" s="65" customFormat="1"/>
    <row r="277" s="65" customFormat="1"/>
    <row r="278" s="65" customFormat="1"/>
    <row r="279" s="65" customFormat="1"/>
    <row r="280" s="65" customFormat="1"/>
    <row r="281" s="65" customFormat="1"/>
    <row r="282" s="65" customFormat="1"/>
    <row r="283" s="65" customFormat="1"/>
    <row r="284" s="65" customFormat="1"/>
    <row r="285" s="65" customFormat="1"/>
    <row r="286" s="65" customFormat="1"/>
    <row r="287" s="65" customFormat="1"/>
    <row r="288" s="65" customFormat="1"/>
    <row r="289" s="65" customFormat="1"/>
    <row r="290" s="65" customFormat="1"/>
    <row r="291" s="65" customFormat="1"/>
    <row r="292" s="65" customFormat="1"/>
    <row r="293" s="65" customFormat="1"/>
    <row r="294" s="65" customFormat="1"/>
    <row r="295" s="65" customFormat="1"/>
    <row r="296" s="65" customFormat="1"/>
    <row r="297" s="65" customFormat="1"/>
    <row r="298" s="65" customFormat="1"/>
    <row r="299" s="65" customFormat="1"/>
    <row r="300" s="65" customFormat="1"/>
    <row r="301" s="65" customFormat="1"/>
    <row r="302" s="65" customFormat="1"/>
    <row r="303" s="65" customFormat="1"/>
    <row r="304" s="65" customFormat="1"/>
    <row r="305" s="65" customFormat="1"/>
    <row r="306" s="65" customFormat="1"/>
    <row r="307" s="65" customFormat="1"/>
    <row r="308" s="65" customFormat="1"/>
    <row r="309" s="65" customFormat="1"/>
    <row r="310" s="65" customFormat="1"/>
    <row r="311" s="65" customFormat="1"/>
    <row r="312" s="65" customFormat="1"/>
    <row r="313" s="65" customFormat="1"/>
    <row r="314" s="65" customFormat="1"/>
    <row r="315" s="65" customFormat="1"/>
    <row r="316" s="65" customFormat="1"/>
    <row r="317" s="65" customFormat="1"/>
    <row r="318" s="65" customFormat="1"/>
    <row r="319" s="65" customFormat="1"/>
    <row r="320" s="65" customFormat="1"/>
    <row r="321" s="65" customFormat="1"/>
    <row r="322" s="65" customFormat="1"/>
    <row r="323" s="65" customFormat="1"/>
    <row r="324" s="65" customFormat="1"/>
    <row r="325" s="65" customFormat="1"/>
    <row r="326" s="65" customFormat="1"/>
    <row r="327" s="65" customFormat="1"/>
    <row r="328" s="65" customFormat="1"/>
    <row r="329" s="65" customFormat="1"/>
    <row r="330" s="65" customFormat="1"/>
    <row r="331" s="65" customFormat="1"/>
    <row r="332" s="65" customFormat="1"/>
    <row r="333" s="65" customFormat="1"/>
    <row r="334" s="65" customFormat="1"/>
    <row r="335" s="65" customFormat="1"/>
    <row r="336" s="65" customFormat="1"/>
    <row r="337" s="65" customFormat="1"/>
    <row r="338" s="65" customFormat="1"/>
    <row r="339" s="65" customFormat="1"/>
    <row r="340" s="65" customFormat="1"/>
    <row r="341" s="65" customFormat="1"/>
    <row r="342" s="65" customFormat="1"/>
    <row r="343" s="65" customFormat="1"/>
    <row r="344" s="65" customFormat="1"/>
    <row r="345" s="65" customFormat="1"/>
    <row r="346" s="65" customFormat="1"/>
    <row r="347" s="65" customFormat="1"/>
    <row r="348" s="65" customFormat="1"/>
    <row r="349" s="65" customFormat="1"/>
    <row r="350" s="65" customFormat="1"/>
    <row r="351" s="65" customFormat="1"/>
    <row r="352" s="65" customFormat="1"/>
    <row r="353" s="65" customFormat="1"/>
    <row r="354" s="65" customFormat="1"/>
    <row r="355" s="65" customFormat="1"/>
    <row r="356" s="65" customFormat="1"/>
    <row r="357" s="65" customFormat="1"/>
    <row r="358" s="65" customFormat="1"/>
    <row r="359" s="65" customFormat="1"/>
    <row r="360" s="65" customFormat="1"/>
    <row r="361" s="65" customFormat="1"/>
    <row r="362" s="65" customFormat="1"/>
    <row r="363" s="65" customFormat="1"/>
    <row r="364" s="65" customFormat="1"/>
    <row r="365" s="65" customFormat="1"/>
    <row r="366" s="65" customFormat="1"/>
    <row r="367" s="65" customFormat="1"/>
    <row r="368" s="65" customFormat="1"/>
    <row r="369" s="65" customFormat="1"/>
    <row r="370" s="65" customFormat="1"/>
    <row r="371" s="65" customFormat="1"/>
    <row r="372" s="65" customFormat="1"/>
    <row r="373" s="65" customFormat="1"/>
    <row r="374" s="65" customFormat="1"/>
    <row r="375" s="65" customFormat="1"/>
    <row r="376" s="65" customFormat="1"/>
    <row r="377" s="65" customFormat="1"/>
    <row r="378" s="65" customFormat="1"/>
    <row r="379" s="65" customFormat="1"/>
    <row r="380" s="65" customFormat="1"/>
    <row r="381" s="65" customFormat="1"/>
    <row r="382" s="65" customFormat="1"/>
    <row r="383" s="65" customFormat="1"/>
    <row r="384" s="65" customFormat="1"/>
    <row r="385" s="65" customFormat="1"/>
    <row r="386" s="65" customFormat="1"/>
    <row r="387" s="65" customFormat="1"/>
    <row r="388" s="65" customFormat="1"/>
    <row r="389" s="65" customFormat="1"/>
    <row r="390" s="65" customFormat="1"/>
    <row r="391" s="65" customFormat="1"/>
    <row r="392" s="65" customFormat="1"/>
    <row r="393" s="65" customFormat="1"/>
    <row r="394" s="65" customFormat="1"/>
    <row r="395" s="65" customFormat="1"/>
    <row r="396" s="65" customFormat="1"/>
    <row r="397" s="65" customFormat="1"/>
    <row r="398" s="65" customFormat="1"/>
    <row r="399" s="65" customFormat="1"/>
    <row r="400" s="65" customFormat="1"/>
    <row r="401" s="65" customFormat="1"/>
    <row r="402" s="65" customFormat="1"/>
    <row r="403" s="65" customFormat="1"/>
    <row r="404" s="65" customFormat="1"/>
    <row r="405" s="65" customFormat="1"/>
    <row r="406" s="65" customFormat="1"/>
    <row r="407" s="65" customFormat="1"/>
    <row r="408" s="65" customFormat="1"/>
    <row r="409" s="65" customFormat="1"/>
    <row r="410" s="65" customFormat="1"/>
    <row r="411" s="65" customFormat="1"/>
    <row r="412" s="65" customFormat="1"/>
    <row r="413" s="65" customFormat="1"/>
    <row r="414" s="65" customFormat="1"/>
    <row r="415" s="65" customFormat="1"/>
    <row r="416" s="65" customFormat="1"/>
    <row r="417" s="65" customFormat="1"/>
    <row r="418" s="65" customFormat="1"/>
    <row r="419" s="65" customFormat="1"/>
    <row r="420" s="65" customFormat="1"/>
    <row r="421" s="65" customFormat="1"/>
    <row r="422" s="65" customFormat="1"/>
    <row r="423" s="65" customFormat="1"/>
    <row r="424" s="65" customFormat="1"/>
    <row r="425" s="65" customFormat="1"/>
    <row r="426" s="65" customFormat="1"/>
    <row r="427" s="65" customFormat="1"/>
    <row r="428" s="65" customFormat="1"/>
    <row r="429" s="65" customFormat="1"/>
    <row r="430" s="65" customFormat="1"/>
    <row r="431" s="65" customFormat="1"/>
    <row r="432" s="65" customFormat="1"/>
    <row r="433" s="65" customFormat="1"/>
    <row r="434" s="65" customFormat="1"/>
    <row r="435" s="65" customFormat="1"/>
    <row r="436" s="65" customFormat="1"/>
    <row r="437" s="65" customFormat="1"/>
    <row r="438" s="65" customFormat="1"/>
    <row r="439" s="65" customFormat="1"/>
    <row r="440" s="65" customFormat="1"/>
    <row r="441" s="65" customFormat="1"/>
    <row r="442" s="65" customFormat="1"/>
    <row r="443" s="65" customFormat="1"/>
    <row r="444" s="65" customFormat="1"/>
    <row r="445" s="65" customFormat="1"/>
    <row r="446" s="65" customFormat="1"/>
    <row r="447" s="65" customFormat="1"/>
    <row r="448" s="65" customFormat="1"/>
    <row r="449" s="65" customFormat="1"/>
    <row r="450" s="65" customFormat="1"/>
    <row r="451" s="65" customFormat="1"/>
    <row r="452" s="65" customFormat="1"/>
    <row r="453" s="65" customFormat="1"/>
    <row r="454" s="65" customFormat="1"/>
    <row r="455" s="65" customFormat="1"/>
    <row r="456" s="65" customFormat="1"/>
    <row r="457" s="65" customFormat="1"/>
    <row r="458" s="65" customFormat="1"/>
    <row r="459" s="65" customFormat="1"/>
    <row r="460" s="65" customFormat="1"/>
    <row r="461" s="65" customFormat="1"/>
    <row r="462" s="65" customFormat="1"/>
    <row r="463" s="65" customFormat="1"/>
    <row r="464" s="65" customFormat="1"/>
    <row r="465" s="65" customFormat="1"/>
    <row r="466" s="65" customFormat="1"/>
    <row r="467" s="65" customFormat="1"/>
    <row r="468" s="65" customFormat="1"/>
    <row r="469" s="65" customFormat="1"/>
    <row r="470" s="65" customFormat="1"/>
    <row r="471" s="65" customFormat="1"/>
    <row r="472" s="65" customFormat="1"/>
    <row r="473" s="65" customFormat="1"/>
    <row r="474" s="65" customFormat="1"/>
    <row r="475" s="65" customFormat="1"/>
    <row r="476" s="65" customFormat="1"/>
    <row r="477" s="65" customFormat="1"/>
    <row r="478" s="65" customFormat="1"/>
    <row r="479" s="65" customFormat="1"/>
    <row r="480" s="65" customFormat="1"/>
    <row r="481" s="65" customFormat="1"/>
    <row r="482" s="65" customFormat="1"/>
    <row r="483" s="65" customFormat="1"/>
    <row r="484" s="65" customFormat="1"/>
    <row r="485" s="65" customFormat="1"/>
    <row r="486" s="65" customFormat="1"/>
    <row r="487" s="65" customFormat="1"/>
    <row r="488" s="65" customFormat="1"/>
    <row r="489" s="65" customFormat="1"/>
    <row r="490" s="65" customFormat="1"/>
    <row r="491" s="65" customFormat="1"/>
    <row r="492" s="65" customFormat="1"/>
    <row r="493" s="65" customFormat="1"/>
    <row r="494" s="65" customFormat="1"/>
    <row r="495" s="65" customFormat="1"/>
    <row r="496" s="65" customFormat="1"/>
    <row r="497" s="65" customFormat="1"/>
    <row r="498" s="65" customFormat="1"/>
    <row r="499" s="65" customFormat="1"/>
    <row r="500" s="65" customFormat="1"/>
  </sheetData>
  <mergeCells count="4">
    <mergeCell ref="A43:B43"/>
    <mergeCell ref="F2:G2"/>
    <mergeCell ref="F22:G22"/>
    <mergeCell ref="A2:D2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A1:Z305"/>
  <sheetViews>
    <sheetView workbookViewId="0">
      <selection activeCell="K4" sqref="K4"/>
    </sheetView>
  </sheetViews>
  <sheetFormatPr defaultRowHeight="13.2"/>
  <cols>
    <col min="1" max="1" width="16.33203125" customWidth="1"/>
    <col min="2" max="2" width="5.6640625" customWidth="1"/>
    <col min="3" max="3" width="11.33203125" customWidth="1"/>
    <col min="4" max="4" width="1.33203125" customWidth="1"/>
    <col min="5" max="5" width="7.5546875" customWidth="1"/>
    <col min="6" max="6" width="12.6640625" customWidth="1"/>
    <col min="7" max="7" width="11.6640625" customWidth="1"/>
    <col min="8" max="8" width="14.44140625" customWidth="1"/>
    <col min="9" max="9" width="14.6640625" bestFit="1" customWidth="1"/>
    <col min="10" max="10" width="12.44140625" customWidth="1"/>
    <col min="11" max="11" width="21.33203125" bestFit="1" customWidth="1"/>
    <col min="12" max="12" width="12.5546875" bestFit="1" customWidth="1"/>
    <col min="13" max="13" width="11.6640625" bestFit="1" customWidth="1"/>
  </cols>
  <sheetData>
    <row r="1" spans="1:26" ht="13.8">
      <c r="A1" s="117" t="s">
        <v>36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26" ht="13.8">
      <c r="A3" s="364" t="s">
        <v>37</v>
      </c>
      <c r="B3" s="364"/>
      <c r="C3" s="34">
        <f>SUM(G5:G13)</f>
        <v>139790000</v>
      </c>
      <c r="D3" s="65"/>
      <c r="E3" s="365" t="s">
        <v>38</v>
      </c>
      <c r="F3" s="365"/>
      <c r="G3" s="365"/>
      <c r="H3" s="3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</row>
    <row r="4" spans="1:26" ht="28.2" thickBot="1">
      <c r="A4" s="364" t="s">
        <v>220</v>
      </c>
      <c r="B4" s="364"/>
      <c r="C4" s="33">
        <f>((C5-20)/C5)*C3</f>
        <v>83874000</v>
      </c>
      <c r="D4" s="65"/>
      <c r="E4" s="5" t="s">
        <v>39</v>
      </c>
      <c r="F4" s="6" t="s">
        <v>40</v>
      </c>
      <c r="G4" s="6" t="s">
        <v>41</v>
      </c>
      <c r="H4" s="6" t="s">
        <v>42</v>
      </c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</row>
    <row r="5" spans="1:26" ht="14.4" thickTop="1">
      <c r="A5" s="364" t="s">
        <v>43</v>
      </c>
      <c r="B5" s="364"/>
      <c r="C5" s="35">
        <v>50</v>
      </c>
      <c r="D5" s="65"/>
      <c r="E5" s="194">
        <v>2020</v>
      </c>
      <c r="F5" s="311"/>
      <c r="G5" s="123">
        <v>0</v>
      </c>
      <c r="H5" s="124">
        <f>ROUND((G5)*INDEX(NPV!$C$3:$C$42,MATCH(Costs!$E5,NPV!$B$3:$B$42,0)),0)</f>
        <v>0</v>
      </c>
      <c r="I5" s="30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</row>
    <row r="6" spans="1:26" ht="13.8">
      <c r="A6" s="81"/>
      <c r="B6" s="65"/>
      <c r="C6" s="65"/>
      <c r="D6" s="65"/>
      <c r="E6" s="194">
        <f t="shared" ref="E6:E33" si="0">E5+1</f>
        <v>2021</v>
      </c>
      <c r="F6" s="31"/>
      <c r="G6" s="123">
        <v>0</v>
      </c>
      <c r="H6" s="124">
        <f>ROUND((G6)*INDEX(NPV!$C$3:$C$42,MATCH(Costs!$E6,NPV!$B$3:$B$42,0)),0)</f>
        <v>0</v>
      </c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</row>
    <row r="7" spans="1:26" ht="13.8">
      <c r="A7" s="81"/>
      <c r="B7" s="65"/>
      <c r="C7" s="65"/>
      <c r="D7" s="65"/>
      <c r="E7" s="194">
        <f t="shared" si="0"/>
        <v>2022</v>
      </c>
      <c r="F7" s="31">
        <f t="shared" ref="F7:F13" si="1">G7/$C$3</f>
        <v>1.0338271693254167E-2</v>
      </c>
      <c r="G7" s="123">
        <v>1445187</v>
      </c>
      <c r="H7" s="124">
        <f>ROUND((G7)*INDEX(NPV!$C$3:$C$42,MATCH(Costs!$E7,NPV!$B$3:$B$42,0)),0)</f>
        <v>1262282</v>
      </c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</row>
    <row r="8" spans="1:26" ht="13.8">
      <c r="A8" s="81"/>
      <c r="B8" s="65"/>
      <c r="C8" s="65"/>
      <c r="D8" s="65"/>
      <c r="E8" s="194">
        <f t="shared" si="0"/>
        <v>2023</v>
      </c>
      <c r="F8" s="31">
        <f t="shared" si="1"/>
        <v>6.8360762572430067E-2</v>
      </c>
      <c r="G8" s="123">
        <v>9556151</v>
      </c>
      <c r="H8" s="124">
        <f>ROUND((G8)*INDEX(NPV!$C$3:$C$42,MATCH(Costs!$E8,NPV!$B$3:$B$42,0)),0)</f>
        <v>7800666</v>
      </c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</row>
    <row r="9" spans="1:26" ht="13.8">
      <c r="A9" s="81"/>
      <c r="B9" s="65"/>
      <c r="C9" s="65"/>
      <c r="D9" s="65"/>
      <c r="E9" s="194">
        <f t="shared" si="0"/>
        <v>2024</v>
      </c>
      <c r="F9" s="31">
        <f t="shared" si="1"/>
        <v>4.1861713999570782E-2</v>
      </c>
      <c r="G9" s="123">
        <v>5851849</v>
      </c>
      <c r="H9" s="124">
        <f>ROUND((G9)*INDEX(NPV!$C$3:$C$42,MATCH(Costs!$E9,NPV!$B$3:$B$42,0)),0)</f>
        <v>4464348</v>
      </c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</row>
    <row r="10" spans="1:26" ht="13.8">
      <c r="A10" s="81"/>
      <c r="B10" s="65"/>
      <c r="C10" s="65"/>
      <c r="D10" s="65"/>
      <c r="E10" s="194">
        <f t="shared" si="0"/>
        <v>2025</v>
      </c>
      <c r="F10" s="31">
        <f t="shared" si="1"/>
        <v>0.24053427999141569</v>
      </c>
      <c r="G10" s="123">
        <v>33624287</v>
      </c>
      <c r="H10" s="124">
        <f>ROUND((G10)*INDEX(NPV!$C$3:$C$42,MATCH(Costs!$E10,NPV!$B$3:$B$42,0)),0)</f>
        <v>23973652</v>
      </c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</row>
    <row r="11" spans="1:26" ht="13.8">
      <c r="A11" s="81"/>
      <c r="B11" s="65"/>
      <c r="C11" s="65"/>
      <c r="D11" s="65"/>
      <c r="E11" s="194">
        <f t="shared" si="0"/>
        <v>2026</v>
      </c>
      <c r="F11" s="31">
        <f t="shared" si="1"/>
        <v>0.21296832391444309</v>
      </c>
      <c r="G11" s="123">
        <v>29770842</v>
      </c>
      <c r="H11" s="124">
        <f>ROUND((G11)*INDEX(NPV!$C$3:$C$42,MATCH(Costs!$E11,NPV!$B$3:$B$42,0)),0)</f>
        <v>19837569</v>
      </c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</row>
    <row r="12" spans="1:26" ht="13.8">
      <c r="A12" s="65"/>
      <c r="B12" s="65"/>
      <c r="C12" s="65"/>
      <c r="D12" s="65"/>
      <c r="E12" s="194">
        <f t="shared" si="0"/>
        <v>2027</v>
      </c>
      <c r="F12" s="31">
        <f>G12/$C$3</f>
        <v>0.21296832391444309</v>
      </c>
      <c r="G12" s="123">
        <v>29770842</v>
      </c>
      <c r="H12" s="124">
        <f>ROUND((G12)*INDEX(NPV!$C$3:$C$42,MATCH(Costs!$E12,NPV!$B$3:$B$42,0)),0)</f>
        <v>18539784</v>
      </c>
      <c r="I12" s="65"/>
      <c r="J12" s="65"/>
      <c r="K12" s="65"/>
      <c r="L12" s="226"/>
      <c r="M12" s="226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</row>
    <row r="13" spans="1:26" ht="13.8">
      <c r="A13" s="65"/>
      <c r="B13" s="65"/>
      <c r="C13" s="65"/>
      <c r="D13" s="65"/>
      <c r="E13" s="194">
        <f t="shared" si="0"/>
        <v>2028</v>
      </c>
      <c r="F13" s="31">
        <f t="shared" si="1"/>
        <v>0.21296832391444309</v>
      </c>
      <c r="G13" s="123">
        <v>29770842</v>
      </c>
      <c r="H13" s="124">
        <f>ROUND((G13)*INDEX(NPV!$C$3:$C$42,MATCH(Costs!$E13,NPV!$B$3:$B$42,0)),0)</f>
        <v>17326901</v>
      </c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</row>
    <row r="14" spans="1:26" ht="13.8">
      <c r="A14" s="65"/>
      <c r="B14" s="65"/>
      <c r="C14" s="65"/>
      <c r="D14" s="65"/>
      <c r="E14" s="194">
        <f t="shared" si="0"/>
        <v>2029</v>
      </c>
      <c r="F14" s="32"/>
      <c r="G14" s="123">
        <f t="shared" ref="G14:G32" si="2">F14*$C$3</f>
        <v>0</v>
      </c>
      <c r="H14" s="124">
        <f>ROUND((G14)*INDEX(NPV!$C$3:$C$42,MATCH(Costs!$E14,NPV!$B$3:$B$42,0)),0)</f>
        <v>0</v>
      </c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</row>
    <row r="15" spans="1:26" ht="13.8">
      <c r="A15" s="65"/>
      <c r="B15" s="65"/>
      <c r="C15" s="65"/>
      <c r="D15" s="65"/>
      <c r="E15" s="194">
        <f t="shared" si="0"/>
        <v>2030</v>
      </c>
      <c r="F15" s="32"/>
      <c r="G15" s="123">
        <f t="shared" si="2"/>
        <v>0</v>
      </c>
      <c r="H15" s="124">
        <f>ROUND((G15)*INDEX(NPV!$C$3:$C$42,MATCH(Costs!$E15,NPV!$B$3:$B$42,0)),0)</f>
        <v>0</v>
      </c>
      <c r="I15" s="65"/>
      <c r="J15" s="65"/>
      <c r="K15" s="262"/>
      <c r="L15" s="262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</row>
    <row r="16" spans="1:26" ht="13.8">
      <c r="A16" s="65"/>
      <c r="B16" s="65"/>
      <c r="C16" s="65"/>
      <c r="D16" s="65"/>
      <c r="E16" s="194">
        <f t="shared" si="0"/>
        <v>2031</v>
      </c>
      <c r="F16" s="32"/>
      <c r="G16" s="123">
        <f t="shared" si="2"/>
        <v>0</v>
      </c>
      <c r="H16" s="124">
        <f>ROUND((G16)*INDEX(NPV!$C$3:$C$42,MATCH(Costs!$E16,NPV!$B$3:$B$42,0)),0)</f>
        <v>0</v>
      </c>
      <c r="I16" s="65"/>
      <c r="J16" s="263"/>
      <c r="K16" s="263"/>
      <c r="L16" s="263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</row>
    <row r="17" spans="1:25" ht="13.8">
      <c r="A17" s="65"/>
      <c r="B17" s="65"/>
      <c r="C17" s="65"/>
      <c r="D17" s="65"/>
      <c r="E17" s="194">
        <f t="shared" si="0"/>
        <v>2032</v>
      </c>
      <c r="F17" s="32"/>
      <c r="G17" s="123">
        <f t="shared" si="2"/>
        <v>0</v>
      </c>
      <c r="H17" s="124">
        <f>ROUND((G17)*INDEX(NPV!$C$3:$C$42,MATCH(Costs!$E17,NPV!$B$3:$B$42,0)),0)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</row>
    <row r="18" spans="1:25" ht="13.8">
      <c r="A18" s="65"/>
      <c r="B18" s="65"/>
      <c r="C18" s="65"/>
      <c r="D18" s="65"/>
      <c r="E18" s="194">
        <f t="shared" si="0"/>
        <v>2033</v>
      </c>
      <c r="F18" s="32"/>
      <c r="G18" s="123">
        <f t="shared" si="2"/>
        <v>0</v>
      </c>
      <c r="H18" s="124">
        <f>ROUND((G18)*INDEX(NPV!$C$3:$C$42,MATCH(Costs!$E18,NPV!$B$3:$B$42,0)),0)</f>
        <v>0</v>
      </c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</row>
    <row r="19" spans="1:25" ht="13.8">
      <c r="A19" s="65"/>
      <c r="B19" s="65"/>
      <c r="C19" s="65"/>
      <c r="D19" s="65"/>
      <c r="E19" s="194">
        <f t="shared" si="0"/>
        <v>2034</v>
      </c>
      <c r="F19" s="32"/>
      <c r="G19" s="123">
        <f t="shared" ref="G19:G29" si="3">F19*$C$3</f>
        <v>0</v>
      </c>
      <c r="H19" s="124">
        <f>ROUND((G19)*INDEX(NPV!$C$3:$C$42,MATCH(Costs!$E19,NPV!$B$3:$B$42,0)),0)</f>
        <v>0</v>
      </c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</row>
    <row r="20" spans="1:25" ht="13.8">
      <c r="A20" s="65"/>
      <c r="B20" s="65"/>
      <c r="C20" s="65"/>
      <c r="D20" s="65"/>
      <c r="E20" s="194">
        <f t="shared" si="0"/>
        <v>2035</v>
      </c>
      <c r="F20" s="32"/>
      <c r="G20" s="123">
        <f t="shared" si="3"/>
        <v>0</v>
      </c>
      <c r="H20" s="124">
        <f>ROUND((G20)*INDEX(NPV!$C$3:$C$42,MATCH(Costs!$E20,NPV!$B$3:$B$42,0)),0)</f>
        <v>0</v>
      </c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</row>
    <row r="21" spans="1:25" ht="13.8">
      <c r="A21" s="65"/>
      <c r="B21" s="65"/>
      <c r="C21" s="65"/>
      <c r="D21" s="65"/>
      <c r="E21" s="194">
        <f t="shared" si="0"/>
        <v>2036</v>
      </c>
      <c r="F21" s="32"/>
      <c r="G21" s="123">
        <f t="shared" si="3"/>
        <v>0</v>
      </c>
      <c r="H21" s="124">
        <f>ROUND((G21)*INDEX(NPV!$C$3:$C$42,MATCH(Costs!$E21,NPV!$B$3:$B$42,0)),0)</f>
        <v>0</v>
      </c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</row>
    <row r="22" spans="1:25" ht="13.8">
      <c r="A22" s="65"/>
      <c r="B22" s="65"/>
      <c r="C22" s="65"/>
      <c r="D22" s="65"/>
      <c r="E22" s="194">
        <f t="shared" si="0"/>
        <v>2037</v>
      </c>
      <c r="F22" s="32"/>
      <c r="G22" s="123">
        <f t="shared" si="3"/>
        <v>0</v>
      </c>
      <c r="H22" s="124">
        <f>ROUND((G22)*INDEX(NPV!$C$3:$C$42,MATCH(Costs!$E22,NPV!$B$3:$B$42,0)),0)</f>
        <v>0</v>
      </c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</row>
    <row r="23" spans="1:25" ht="13.8">
      <c r="A23" s="65"/>
      <c r="B23" s="65"/>
      <c r="C23" s="65"/>
      <c r="D23" s="65"/>
      <c r="E23" s="194">
        <f t="shared" si="0"/>
        <v>2038</v>
      </c>
      <c r="F23" s="32"/>
      <c r="G23" s="123">
        <f t="shared" si="3"/>
        <v>0</v>
      </c>
      <c r="H23" s="124">
        <f>ROUND((G23)*INDEX(NPV!$C$3:$C$42,MATCH(Costs!$E23,NPV!$B$3:$B$42,0)),0)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</row>
    <row r="24" spans="1:25" ht="13.8">
      <c r="A24" s="65"/>
      <c r="B24" s="65"/>
      <c r="C24" s="65"/>
      <c r="D24" s="65"/>
      <c r="E24" s="194">
        <f t="shared" si="0"/>
        <v>2039</v>
      </c>
      <c r="F24" s="32"/>
      <c r="G24" s="123">
        <f t="shared" si="3"/>
        <v>0</v>
      </c>
      <c r="H24" s="124">
        <f>ROUND((G24)*INDEX(NPV!$C$3:$C$42,MATCH(Costs!$E24,NPV!$B$3:$B$42,0)),0)</f>
        <v>0</v>
      </c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</row>
    <row r="25" spans="1:25" ht="13.8">
      <c r="A25" s="65"/>
      <c r="B25" s="65"/>
      <c r="C25" s="65"/>
      <c r="D25" s="65"/>
      <c r="E25" s="194">
        <f t="shared" si="0"/>
        <v>2040</v>
      </c>
      <c r="F25" s="32"/>
      <c r="G25" s="123">
        <f t="shared" si="3"/>
        <v>0</v>
      </c>
      <c r="H25" s="124">
        <f>ROUND((G25)*INDEX(NPV!$C$3:$C$42,MATCH(Costs!$E25,NPV!$B$3:$B$42,0)),0)</f>
        <v>0</v>
      </c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</row>
    <row r="26" spans="1:25" ht="13.8">
      <c r="A26" s="65"/>
      <c r="B26" s="65"/>
      <c r="C26" s="65"/>
      <c r="D26" s="65"/>
      <c r="E26" s="194">
        <f t="shared" si="0"/>
        <v>2041</v>
      </c>
      <c r="F26" s="32"/>
      <c r="G26" s="123">
        <f t="shared" si="3"/>
        <v>0</v>
      </c>
      <c r="H26" s="124">
        <f>ROUND((G26)*INDEX(NPV!$C$3:$C$42,MATCH(Costs!$E26,NPV!$B$3:$B$42,0)),0)</f>
        <v>0</v>
      </c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</row>
    <row r="27" spans="1:25" ht="13.8">
      <c r="A27" s="65"/>
      <c r="B27" s="65"/>
      <c r="C27" s="65"/>
      <c r="D27" s="65"/>
      <c r="E27" s="194">
        <f t="shared" si="0"/>
        <v>2042</v>
      </c>
      <c r="F27" s="32"/>
      <c r="G27" s="123">
        <f t="shared" si="3"/>
        <v>0</v>
      </c>
      <c r="H27" s="124">
        <f>ROUND((G27)*INDEX(NPV!$C$3:$C$42,MATCH(Costs!$E27,NPV!$B$3:$B$42,0)),0)</f>
        <v>0</v>
      </c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</row>
    <row r="28" spans="1:25" ht="13.8">
      <c r="A28" s="65"/>
      <c r="B28" s="65"/>
      <c r="C28" s="65"/>
      <c r="D28" s="65"/>
      <c r="E28" s="194">
        <f t="shared" si="0"/>
        <v>2043</v>
      </c>
      <c r="F28" s="32"/>
      <c r="G28" s="123">
        <f t="shared" si="3"/>
        <v>0</v>
      </c>
      <c r="H28" s="124">
        <f>ROUND((G28)*INDEX(NPV!$C$3:$C$42,MATCH(Costs!$E28,NPV!$B$3:$B$42,0)),0)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</row>
    <row r="29" spans="1:25" ht="13.8">
      <c r="A29" s="65"/>
      <c r="B29" s="65"/>
      <c r="C29" s="65"/>
      <c r="D29" s="65"/>
      <c r="E29" s="194">
        <f t="shared" si="0"/>
        <v>2044</v>
      </c>
      <c r="F29" s="32"/>
      <c r="G29" s="123">
        <f t="shared" si="3"/>
        <v>0</v>
      </c>
      <c r="H29" s="124">
        <f>ROUND((G29)*INDEX(NPV!$C$3:$C$42,MATCH(Costs!$E29,NPV!$B$3:$B$42,0)),0)</f>
        <v>0</v>
      </c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</row>
    <row r="30" spans="1:25" ht="13.8">
      <c r="A30" s="65"/>
      <c r="B30" s="65"/>
      <c r="C30" s="65"/>
      <c r="D30" s="65"/>
      <c r="E30" s="194">
        <f t="shared" si="0"/>
        <v>2045</v>
      </c>
      <c r="F30" s="32"/>
      <c r="G30" s="123">
        <f t="shared" si="2"/>
        <v>0</v>
      </c>
      <c r="H30" s="124">
        <f>ROUND((G30)*INDEX(NPV!$C$3:$C$42,MATCH(Costs!$E30,NPV!$B$3:$B$42,0)),0)</f>
        <v>0</v>
      </c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</row>
    <row r="31" spans="1:25" ht="13.8">
      <c r="A31" s="65"/>
      <c r="B31" s="65"/>
      <c r="C31" s="65"/>
      <c r="D31" s="65"/>
      <c r="E31" s="194">
        <f t="shared" si="0"/>
        <v>2046</v>
      </c>
      <c r="F31" s="32"/>
      <c r="G31" s="123">
        <f t="shared" si="2"/>
        <v>0</v>
      </c>
      <c r="H31" s="124">
        <f>ROUND((G31)*INDEX(NPV!$C$3:$C$42,MATCH(Costs!$E31,NPV!$B$3:$B$42,0)),0)</f>
        <v>0</v>
      </c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</row>
    <row r="32" spans="1:25" ht="13.8">
      <c r="A32" s="65"/>
      <c r="B32" s="65"/>
      <c r="C32" s="65"/>
      <c r="D32" s="65"/>
      <c r="E32" s="194">
        <f t="shared" si="0"/>
        <v>2047</v>
      </c>
      <c r="F32" s="32"/>
      <c r="G32" s="123">
        <f t="shared" si="2"/>
        <v>0</v>
      </c>
      <c r="H32" s="124">
        <f>ROUND((G32)*INDEX(NPV!$C$3:$C$42,MATCH(Costs!$E32,NPV!$B$3:$B$42,0)),0)</f>
        <v>0</v>
      </c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</row>
    <row r="33" spans="1:26" ht="14.4" thickBot="1">
      <c r="A33" s="65"/>
      <c r="B33" s="65"/>
      <c r="C33" s="65"/>
      <c r="D33" s="65"/>
      <c r="E33" s="195">
        <f t="shared" si="0"/>
        <v>2048</v>
      </c>
      <c r="F33" s="280"/>
      <c r="G33" s="125">
        <f>-C4</f>
        <v>-83874000</v>
      </c>
      <c r="H33" s="125">
        <f>ROUND((G33)*INDEX(NPV!$C$3:$C$42,MATCH(Costs!$E33,NPV!$B$3:$B$42,0)),0)</f>
        <v>-12614835</v>
      </c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</row>
    <row r="34" spans="1:26" ht="14.4" thickTop="1">
      <c r="A34" s="65"/>
      <c r="B34" s="65"/>
      <c r="C34" s="65"/>
      <c r="D34" s="65"/>
      <c r="E34" s="196" t="s">
        <v>16</v>
      </c>
      <c r="F34" s="36">
        <f>SUM(F5:F33)</f>
        <v>1</v>
      </c>
      <c r="G34" s="126">
        <f>SUM(G5:G33)</f>
        <v>55916000</v>
      </c>
      <c r="H34" s="126">
        <f>SUM(H5:H33)</f>
        <v>80590367</v>
      </c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</row>
    <row r="35" spans="1:26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</row>
    <row r="36" spans="1:26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</row>
    <row r="37" spans="1:26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</row>
    <row r="38" spans="1:26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</row>
    <row r="39" spans="1:26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</row>
    <row r="40" spans="1:26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</row>
    <row r="41" spans="1:26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</row>
    <row r="42" spans="1:26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pans="1:26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</row>
    <row r="44" spans="1:26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</row>
    <row r="45" spans="1:26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</row>
    <row r="46" spans="1:26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</row>
    <row r="50" spans="1:26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spans="1:26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spans="1:26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spans="1:26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 spans="1:26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</row>
    <row r="56" spans="1:26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</row>
    <row r="57" spans="1:26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</row>
    <row r="58" spans="1:26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</row>
    <row r="59" spans="1:26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</row>
    <row r="60" spans="1:26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</row>
    <row r="61" spans="1:26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</row>
    <row r="62" spans="1:26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</row>
    <row r="63" spans="1:26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</row>
    <row r="64" spans="1:26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</row>
    <row r="65" spans="1:26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</row>
    <row r="66" spans="1:26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</row>
    <row r="67" spans="1:26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</row>
    <row r="68" spans="1:26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  <row r="69" spans="1:26" s="65" customFormat="1"/>
    <row r="70" spans="1:26" s="65" customFormat="1"/>
    <row r="71" spans="1:26" s="65" customFormat="1"/>
    <row r="72" spans="1:26" s="65" customFormat="1"/>
    <row r="73" spans="1:26" s="65" customFormat="1"/>
    <row r="74" spans="1:26" s="65" customFormat="1"/>
    <row r="75" spans="1:26" s="65" customFormat="1"/>
    <row r="76" spans="1:26" s="65" customFormat="1"/>
    <row r="77" spans="1:26" s="65" customFormat="1"/>
    <row r="78" spans="1:26" s="65" customFormat="1"/>
    <row r="79" spans="1:26" s="65" customFormat="1"/>
    <row r="80" spans="1:26" s="65" customFormat="1"/>
    <row r="81" s="65" customFormat="1"/>
    <row r="82" s="65" customFormat="1"/>
    <row r="83" s="65" customFormat="1"/>
    <row r="84" s="65" customFormat="1"/>
    <row r="85" s="65" customFormat="1"/>
    <row r="86" s="65" customFormat="1"/>
    <row r="87" s="65" customFormat="1"/>
    <row r="88" s="65" customFormat="1"/>
    <row r="89" s="65" customFormat="1"/>
    <row r="90" s="65" customFormat="1"/>
    <row r="91" s="65" customFormat="1"/>
    <row r="92" s="65" customFormat="1"/>
    <row r="93" s="65" customFormat="1"/>
    <row r="94" s="65" customFormat="1"/>
    <row r="95" s="65" customFormat="1"/>
    <row r="96" s="65" customFormat="1"/>
    <row r="97" s="65" customFormat="1"/>
    <row r="98" s="65" customFormat="1"/>
    <row r="99" s="65" customFormat="1"/>
    <row r="100" s="65" customFormat="1"/>
    <row r="101" s="65" customFormat="1"/>
    <row r="102" s="65" customFormat="1"/>
    <row r="103" s="65" customFormat="1"/>
    <row r="104" s="65" customFormat="1"/>
    <row r="105" s="65" customFormat="1"/>
    <row r="106" s="65" customFormat="1"/>
    <row r="107" s="65" customFormat="1"/>
    <row r="108" s="65" customFormat="1"/>
    <row r="109" s="65" customFormat="1"/>
    <row r="110" s="65" customFormat="1"/>
    <row r="111" s="65" customFormat="1"/>
    <row r="112" s="65" customFormat="1"/>
    <row r="113" s="65" customFormat="1"/>
    <row r="114" s="65" customFormat="1"/>
    <row r="115" s="65" customFormat="1"/>
    <row r="116" s="65" customFormat="1"/>
    <row r="117" s="65" customFormat="1"/>
    <row r="118" s="65" customFormat="1"/>
    <row r="119" s="65" customFormat="1"/>
    <row r="120" s="65" customFormat="1"/>
    <row r="121" s="65" customFormat="1"/>
    <row r="122" s="65" customFormat="1"/>
    <row r="123" s="65" customFormat="1"/>
    <row r="124" s="65" customFormat="1"/>
    <row r="125" s="65" customFormat="1"/>
    <row r="126" s="65" customFormat="1"/>
    <row r="127" s="65" customFormat="1"/>
    <row r="128" s="65" customFormat="1"/>
    <row r="129" s="65" customFormat="1"/>
    <row r="130" s="65" customFormat="1"/>
    <row r="131" s="65" customFormat="1"/>
    <row r="132" s="65" customFormat="1"/>
    <row r="133" s="65" customFormat="1"/>
    <row r="134" s="65" customFormat="1"/>
    <row r="135" s="65" customFormat="1"/>
    <row r="136" s="65" customFormat="1"/>
    <row r="137" s="65" customFormat="1"/>
    <row r="138" s="65" customFormat="1"/>
    <row r="139" s="65" customFormat="1"/>
    <row r="140" s="65" customFormat="1"/>
    <row r="141" s="65" customFormat="1"/>
    <row r="142" s="65" customFormat="1"/>
    <row r="143" s="65" customFormat="1"/>
    <row r="144" s="65" customFormat="1"/>
    <row r="145" s="65" customFormat="1"/>
    <row r="146" s="65" customFormat="1"/>
    <row r="147" s="65" customFormat="1"/>
    <row r="148" s="65" customFormat="1"/>
    <row r="149" s="65" customFormat="1"/>
    <row r="150" s="65" customFormat="1"/>
    <row r="151" s="65" customFormat="1"/>
    <row r="152" s="65" customFormat="1"/>
    <row r="153" s="65" customFormat="1"/>
    <row r="154" s="65" customFormat="1"/>
    <row r="155" s="65" customFormat="1"/>
    <row r="156" s="65" customFormat="1"/>
    <row r="157" s="65" customFormat="1"/>
    <row r="158" s="65" customFormat="1"/>
    <row r="159" s="65" customFormat="1"/>
    <row r="160" s="65" customFormat="1"/>
    <row r="161" s="65" customFormat="1"/>
    <row r="162" s="65" customFormat="1"/>
    <row r="163" s="65" customFormat="1"/>
    <row r="164" s="65" customFormat="1"/>
    <row r="165" s="65" customFormat="1"/>
    <row r="166" s="65" customFormat="1"/>
    <row r="167" s="65" customFormat="1"/>
    <row r="168" s="65" customFormat="1"/>
    <row r="169" s="65" customFormat="1"/>
    <row r="170" s="65" customFormat="1"/>
    <row r="171" s="65" customFormat="1"/>
    <row r="172" s="65" customFormat="1"/>
    <row r="173" s="65" customFormat="1"/>
    <row r="174" s="65" customFormat="1"/>
    <row r="175" s="65" customFormat="1"/>
    <row r="176" s="65" customFormat="1"/>
    <row r="177" s="65" customFormat="1"/>
    <row r="178" s="65" customFormat="1"/>
    <row r="179" s="65" customFormat="1"/>
    <row r="180" s="65" customFormat="1"/>
    <row r="181" s="65" customFormat="1"/>
    <row r="182" s="65" customFormat="1"/>
    <row r="183" s="65" customFormat="1"/>
    <row r="184" s="65" customFormat="1"/>
    <row r="185" s="65" customFormat="1"/>
    <row r="186" s="65" customFormat="1"/>
    <row r="187" s="65" customFormat="1"/>
    <row r="188" s="65" customFormat="1"/>
    <row r="189" s="65" customFormat="1"/>
    <row r="190" s="65" customFormat="1"/>
    <row r="191" s="65" customFormat="1"/>
    <row r="192" s="65" customFormat="1"/>
    <row r="193" s="65" customFormat="1"/>
    <row r="194" s="65" customFormat="1"/>
    <row r="195" s="65" customFormat="1"/>
    <row r="196" s="65" customFormat="1"/>
    <row r="197" s="65" customFormat="1"/>
    <row r="198" s="65" customFormat="1"/>
    <row r="199" s="65" customFormat="1"/>
    <row r="200" s="65" customFormat="1"/>
    <row r="201" s="65" customFormat="1"/>
    <row r="202" s="65" customFormat="1"/>
    <row r="203" s="65" customFormat="1"/>
    <row r="204" s="65" customFormat="1"/>
    <row r="205" s="65" customFormat="1"/>
    <row r="206" s="65" customFormat="1"/>
    <row r="207" s="65" customFormat="1"/>
    <row r="208" s="65" customFormat="1"/>
    <row r="209" s="65" customFormat="1"/>
    <row r="210" s="65" customFormat="1"/>
    <row r="211" s="65" customFormat="1"/>
    <row r="212" s="65" customFormat="1"/>
    <row r="213" s="65" customFormat="1"/>
    <row r="214" s="65" customFormat="1"/>
    <row r="215" s="65" customFormat="1"/>
    <row r="216" s="65" customFormat="1"/>
    <row r="217" s="65" customFormat="1"/>
    <row r="218" s="65" customFormat="1"/>
    <row r="219" s="65" customFormat="1"/>
    <row r="220" s="65" customFormat="1"/>
    <row r="221" s="65" customFormat="1"/>
    <row r="222" s="65" customFormat="1"/>
    <row r="223" s="65" customFormat="1"/>
    <row r="224" s="65" customFormat="1"/>
    <row r="225" s="65" customFormat="1"/>
    <row r="226" s="65" customFormat="1"/>
    <row r="227" s="65" customFormat="1"/>
    <row r="228" s="65" customFormat="1"/>
    <row r="229" s="65" customFormat="1"/>
    <row r="230" s="65" customFormat="1"/>
    <row r="231" s="65" customFormat="1"/>
    <row r="232" s="65" customFormat="1"/>
    <row r="233" s="65" customFormat="1"/>
    <row r="234" s="65" customFormat="1"/>
    <row r="235" s="65" customFormat="1"/>
    <row r="236" s="65" customFormat="1"/>
    <row r="237" s="65" customFormat="1"/>
    <row r="238" s="65" customFormat="1"/>
    <row r="239" s="65" customFormat="1"/>
    <row r="240" s="65" customFormat="1"/>
    <row r="241" s="65" customFormat="1"/>
    <row r="242" s="65" customFormat="1"/>
    <row r="243" s="65" customFormat="1"/>
    <row r="244" s="65" customFormat="1"/>
    <row r="245" s="65" customFormat="1"/>
    <row r="246" s="65" customFormat="1"/>
    <row r="247" s="65" customFormat="1"/>
    <row r="248" s="65" customFormat="1"/>
    <row r="249" s="65" customFormat="1"/>
    <row r="250" s="65" customFormat="1"/>
    <row r="251" s="65" customFormat="1"/>
    <row r="252" s="65" customFormat="1"/>
    <row r="253" s="65" customFormat="1"/>
    <row r="254" s="65" customFormat="1"/>
    <row r="255" s="65" customFormat="1"/>
    <row r="256" s="65" customFormat="1"/>
    <row r="257" s="65" customFormat="1"/>
    <row r="258" s="65" customFormat="1"/>
    <row r="259" s="65" customFormat="1"/>
    <row r="260" s="65" customFormat="1"/>
    <row r="261" s="65" customFormat="1"/>
    <row r="262" s="65" customFormat="1"/>
    <row r="263" s="65" customFormat="1"/>
    <row r="264" s="65" customFormat="1"/>
    <row r="265" s="65" customFormat="1"/>
    <row r="266" s="65" customFormat="1"/>
    <row r="267" s="65" customFormat="1"/>
    <row r="268" s="65" customFormat="1"/>
    <row r="269" s="65" customFormat="1"/>
    <row r="270" s="65" customFormat="1"/>
    <row r="271" s="65" customFormat="1"/>
    <row r="272" s="65" customFormat="1"/>
    <row r="273" s="65" customFormat="1"/>
    <row r="274" s="65" customFormat="1"/>
    <row r="275" s="65" customFormat="1"/>
    <row r="276" s="65" customFormat="1"/>
    <row r="277" s="65" customFormat="1"/>
    <row r="278" s="65" customFormat="1"/>
    <row r="279" s="65" customFormat="1"/>
    <row r="280" s="65" customFormat="1"/>
    <row r="281" s="65" customFormat="1"/>
    <row r="282" s="65" customFormat="1"/>
    <row r="283" s="65" customFormat="1"/>
    <row r="284" s="65" customFormat="1"/>
    <row r="285" s="65" customFormat="1"/>
    <row r="286" s="65" customFormat="1"/>
    <row r="287" s="65" customFormat="1"/>
    <row r="288" s="65" customFormat="1"/>
    <row r="289" spans="5:8" s="65" customFormat="1"/>
    <row r="290" spans="5:8" s="65" customFormat="1"/>
    <row r="291" spans="5:8" s="65" customFormat="1"/>
    <row r="292" spans="5:8" s="65" customFormat="1"/>
    <row r="293" spans="5:8" s="65" customFormat="1"/>
    <row r="294" spans="5:8" s="65" customFormat="1"/>
    <row r="295" spans="5:8" s="65" customFormat="1">
      <c r="E295"/>
      <c r="F295"/>
      <c r="G295"/>
      <c r="H295"/>
    </row>
    <row r="296" spans="5:8" s="65" customFormat="1">
      <c r="E296"/>
      <c r="F296"/>
      <c r="G296"/>
      <c r="H296"/>
    </row>
    <row r="297" spans="5:8" s="65" customFormat="1">
      <c r="E297"/>
      <c r="F297"/>
      <c r="G297"/>
      <c r="H297"/>
    </row>
    <row r="298" spans="5:8" s="65" customFormat="1">
      <c r="E298"/>
      <c r="F298"/>
      <c r="G298"/>
      <c r="H298"/>
    </row>
    <row r="299" spans="5:8" s="65" customFormat="1">
      <c r="E299"/>
      <c r="F299"/>
      <c r="G299"/>
      <c r="H299"/>
    </row>
    <row r="300" spans="5:8" s="65" customFormat="1">
      <c r="E300"/>
      <c r="F300"/>
      <c r="G300"/>
      <c r="H300"/>
    </row>
    <row r="301" spans="5:8" s="65" customFormat="1">
      <c r="E301"/>
      <c r="F301"/>
      <c r="G301"/>
      <c r="H301"/>
    </row>
    <row r="302" spans="5:8" s="65" customFormat="1">
      <c r="E302"/>
      <c r="F302"/>
      <c r="G302"/>
      <c r="H302"/>
    </row>
    <row r="303" spans="5:8" s="65" customFormat="1">
      <c r="E303"/>
      <c r="F303"/>
      <c r="G303"/>
      <c r="H303"/>
    </row>
    <row r="304" spans="5:8" s="65" customFormat="1">
      <c r="E304"/>
      <c r="F304"/>
      <c r="G304"/>
      <c r="H304"/>
    </row>
    <row r="305" spans="5:8" s="65" customFormat="1">
      <c r="E305"/>
      <c r="F305"/>
      <c r="G305"/>
      <c r="H305"/>
    </row>
  </sheetData>
  <mergeCells count="4">
    <mergeCell ref="A3:B3"/>
    <mergeCell ref="A5:B5"/>
    <mergeCell ref="A4:B4"/>
    <mergeCell ref="E3:H3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04499-5B98-475D-A8C2-A2102FBEED6C}">
  <sheetPr>
    <tabColor theme="6"/>
    <pageSetUpPr fitToPage="1"/>
  </sheetPr>
  <dimension ref="A1:AZ286"/>
  <sheetViews>
    <sheetView workbookViewId="0">
      <selection activeCell="H24" sqref="H24"/>
    </sheetView>
  </sheetViews>
  <sheetFormatPr defaultRowHeight="13.2"/>
  <cols>
    <col min="1" max="1" width="39.44140625" customWidth="1"/>
    <col min="2" max="2" width="13" customWidth="1"/>
    <col min="3" max="3" width="12.6640625" customWidth="1"/>
    <col min="4" max="4" width="13" customWidth="1"/>
    <col min="5" max="5" width="15.44140625" customWidth="1"/>
    <col min="6" max="6" width="14.33203125" customWidth="1"/>
    <col min="7" max="7" width="14.109375" customWidth="1"/>
    <col min="8" max="8" width="40.44140625" bestFit="1" customWidth="1"/>
    <col min="9" max="9" width="11.6640625" customWidth="1"/>
    <col min="10" max="10" width="14.88671875" bestFit="1" customWidth="1"/>
    <col min="11" max="11" width="16.6640625" bestFit="1" customWidth="1"/>
    <col min="12" max="12" width="12.6640625" customWidth="1"/>
    <col min="13" max="13" width="18" customWidth="1"/>
    <col min="14" max="14" width="22.33203125" customWidth="1"/>
  </cols>
  <sheetData>
    <row r="1" spans="1:52" ht="20.399999999999999">
      <c r="A1" s="217" t="s">
        <v>44</v>
      </c>
      <c r="B1" s="366" t="s">
        <v>179</v>
      </c>
      <c r="C1" s="366"/>
      <c r="D1" s="366"/>
      <c r="E1" s="366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</row>
    <row r="2" spans="1:52" ht="20.399999999999999">
      <c r="A2" s="217"/>
      <c r="B2" s="367" t="s">
        <v>50</v>
      </c>
      <c r="C2" s="367"/>
      <c r="D2" s="368">
        <f>D28</f>
        <v>-1480000</v>
      </c>
      <c r="E2" s="368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</row>
    <row r="3" spans="1:52" ht="20.399999999999999">
      <c r="A3" s="217"/>
      <c r="B3" s="367" t="s">
        <v>51</v>
      </c>
      <c r="C3" s="367"/>
      <c r="D3" s="368">
        <f>E28</f>
        <v>-463436.90407695202</v>
      </c>
      <c r="E3" s="368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</row>
    <row r="4" spans="1:52" ht="20.399999999999999">
      <c r="A4" s="217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</row>
    <row r="5" spans="1:52" ht="10.95" customHeight="1">
      <c r="A5" s="65"/>
      <c r="B5" s="65"/>
      <c r="C5" s="65"/>
      <c r="D5" s="65"/>
      <c r="E5" s="65"/>
      <c r="F5" s="117"/>
      <c r="G5" s="117"/>
      <c r="H5" s="117"/>
      <c r="I5" s="117"/>
      <c r="J5" s="117"/>
      <c r="K5" s="117"/>
      <c r="L5" s="118"/>
      <c r="M5" s="118"/>
      <c r="N5" s="118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</row>
    <row r="6" spans="1:52" ht="13.8">
      <c r="A6" s="369" t="s">
        <v>177</v>
      </c>
      <c r="B6" s="369"/>
      <c r="C6" s="369"/>
      <c r="D6" s="369"/>
      <c r="E6" s="369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</row>
    <row r="7" spans="1:52" ht="43.95" customHeight="1" thickBot="1">
      <c r="A7" s="6" t="s">
        <v>39</v>
      </c>
      <c r="B7" s="6" t="s">
        <v>45</v>
      </c>
      <c r="C7" s="6" t="s">
        <v>46</v>
      </c>
      <c r="D7" s="6" t="s">
        <v>47</v>
      </c>
      <c r="E7" s="270" t="s">
        <v>178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</row>
    <row r="8" spans="1:52" ht="14.4" thickTop="1">
      <c r="A8" s="194">
        <v>2029</v>
      </c>
      <c r="B8" s="127">
        <f>E35</f>
        <v>0</v>
      </c>
      <c r="C8" s="128">
        <f>B35</f>
        <v>150000</v>
      </c>
      <c r="D8" s="130">
        <f>((C8)-(B8))*-1</f>
        <v>-150000</v>
      </c>
      <c r="E8" s="130">
        <f>D8*INDEX(NPV!$C$3:$C$42,MATCH(Maintenance!A8,NPV!$B$3:$B$42,0))</f>
        <v>-81590.061387622205</v>
      </c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</row>
    <row r="9" spans="1:52" ht="13.8">
      <c r="A9" s="194">
        <f t="shared" ref="A9:A27" si="0">A8+1</f>
        <v>2030</v>
      </c>
      <c r="B9" s="127">
        <f t="shared" ref="B9:B12" si="1">E36</f>
        <v>0</v>
      </c>
      <c r="C9" s="128">
        <f t="shared" ref="C9:C27" si="2">B36</f>
        <v>85000</v>
      </c>
      <c r="D9" s="130">
        <f t="shared" ref="D9:D26" si="3">((C9)-(B9))*-1</f>
        <v>-85000</v>
      </c>
      <c r="E9" s="130">
        <f>D9*INDEX(NPV!$C$3:$C$42,MATCH(Maintenance!A9,NPV!$B$3:$B$42,0))</f>
        <v>-43209.689831451011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</row>
    <row r="10" spans="1:52" ht="13.8">
      <c r="A10" s="194">
        <f t="shared" si="0"/>
        <v>2031</v>
      </c>
      <c r="B10" s="127">
        <f t="shared" si="1"/>
        <v>0</v>
      </c>
      <c r="C10" s="128">
        <f t="shared" si="2"/>
        <v>0</v>
      </c>
      <c r="D10" s="130">
        <f t="shared" si="3"/>
        <v>0</v>
      </c>
      <c r="E10" s="130">
        <f>D10*INDEX(NPV!$C$3:$C$42,MATCH(Maintenance!A10,NPV!$B$3:$B$42,0))</f>
        <v>0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</row>
    <row r="11" spans="1:52" ht="13.8">
      <c r="A11" s="194">
        <f t="shared" si="0"/>
        <v>2032</v>
      </c>
      <c r="B11" s="127">
        <f t="shared" si="1"/>
        <v>0</v>
      </c>
      <c r="C11" s="128">
        <f t="shared" si="2"/>
        <v>85000</v>
      </c>
      <c r="D11" s="130">
        <f t="shared" si="3"/>
        <v>-85000</v>
      </c>
      <c r="E11" s="130">
        <f>D11*INDEX(NPV!$C$3:$C$42,MATCH(Maintenance!A11,NPV!$B$3:$B$42,0))</f>
        <v>-37741.016535462499</v>
      </c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</row>
    <row r="12" spans="1:52" ht="13.8">
      <c r="A12" s="194">
        <f t="shared" si="0"/>
        <v>2033</v>
      </c>
      <c r="B12" s="127">
        <f t="shared" si="1"/>
        <v>15000</v>
      </c>
      <c r="C12" s="128">
        <f t="shared" si="2"/>
        <v>135000</v>
      </c>
      <c r="D12" s="130">
        <f t="shared" si="3"/>
        <v>-120000</v>
      </c>
      <c r="E12" s="130">
        <f>D12*INDEX(NPV!$C$3:$C$42,MATCH(Maintenance!A12,NPV!$B$3:$B$42,0))</f>
        <v>-49795.733746624508</v>
      </c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</row>
    <row r="13" spans="1:52" ht="13.8">
      <c r="A13" s="194">
        <f t="shared" si="0"/>
        <v>2034</v>
      </c>
      <c r="B13" s="127">
        <f t="shared" ref="B13:B27" si="4">E40</f>
        <v>0</v>
      </c>
      <c r="C13" s="128">
        <f t="shared" si="2"/>
        <v>85000</v>
      </c>
      <c r="D13" s="130">
        <f t="shared" si="3"/>
        <v>-85000</v>
      </c>
      <c r="E13" s="130">
        <f>D13*INDEX(NPV!$C$3:$C$42,MATCH(Maintenance!A13,NPV!$B$3:$B$42,0))</f>
        <v>-32964.465486472618</v>
      </c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</row>
    <row r="14" spans="1:52" ht="13.8">
      <c r="A14" s="194">
        <f t="shared" si="0"/>
        <v>2035</v>
      </c>
      <c r="B14" s="127">
        <f t="shared" si="4"/>
        <v>0</v>
      </c>
      <c r="C14" s="128">
        <f t="shared" si="2"/>
        <v>0</v>
      </c>
      <c r="D14" s="130">
        <f t="shared" si="3"/>
        <v>0</v>
      </c>
      <c r="E14" s="130">
        <f>D14*INDEX(NPV!$C$3:$C$42,MATCH(Maintenance!A14,NPV!$B$3:$B$42,0))</f>
        <v>0</v>
      </c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</row>
    <row r="15" spans="1:52" ht="14.4" customHeight="1">
      <c r="A15" s="194">
        <f t="shared" si="0"/>
        <v>2036</v>
      </c>
      <c r="B15" s="127">
        <f t="shared" si="4"/>
        <v>0</v>
      </c>
      <c r="C15" s="128">
        <f t="shared" si="2"/>
        <v>85000</v>
      </c>
      <c r="D15" s="130">
        <f t="shared" si="3"/>
        <v>-85000</v>
      </c>
      <c r="E15" s="130">
        <f>D15*INDEX(NPV!$C$3:$C$42,MATCH(Maintenance!A15,NPV!$B$3:$B$42,0))</f>
        <v>-28792.440812710818</v>
      </c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</row>
    <row r="16" spans="1:52" ht="13.8">
      <c r="A16" s="194">
        <f t="shared" si="0"/>
        <v>2037</v>
      </c>
      <c r="B16" s="127">
        <f t="shared" si="4"/>
        <v>0</v>
      </c>
      <c r="C16" s="128">
        <f t="shared" si="2"/>
        <v>0</v>
      </c>
      <c r="D16" s="130">
        <f t="shared" si="3"/>
        <v>0</v>
      </c>
      <c r="E16" s="130">
        <f>D16*INDEX(NPV!$C$3:$C$42,MATCH(Maintenance!A16,NPV!$B$3:$B$42,0))</f>
        <v>0</v>
      </c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</row>
    <row r="17" spans="1:52" ht="13.8">
      <c r="A17" s="194">
        <f t="shared" si="0"/>
        <v>2038</v>
      </c>
      <c r="B17" s="127">
        <f t="shared" si="4"/>
        <v>15000</v>
      </c>
      <c r="C17" s="128">
        <f t="shared" si="2"/>
        <v>220000</v>
      </c>
      <c r="D17" s="130">
        <f t="shared" si="3"/>
        <v>-205000</v>
      </c>
      <c r="E17" s="130">
        <f>D17*INDEX(NPV!$C$3:$C$42,MATCH(Maintenance!A17,NPV!$B$3:$B$42,0))</f>
        <v>-60652.102845927642</v>
      </c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</row>
    <row r="18" spans="1:52" ht="14.4" customHeight="1">
      <c r="A18" s="194">
        <f t="shared" si="0"/>
        <v>2039</v>
      </c>
      <c r="B18" s="127">
        <f t="shared" si="4"/>
        <v>0</v>
      </c>
      <c r="C18" s="128">
        <f t="shared" si="2"/>
        <v>0</v>
      </c>
      <c r="D18" s="130">
        <f t="shared" si="3"/>
        <v>0</v>
      </c>
      <c r="E18" s="130">
        <f>D18*INDEX(NPV!$C$3:$C$42,MATCH(Maintenance!A18,NPV!$B$3:$B$42,0))</f>
        <v>0</v>
      </c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</row>
    <row r="19" spans="1:52" ht="13.8">
      <c r="A19" s="194">
        <f t="shared" si="0"/>
        <v>2040</v>
      </c>
      <c r="B19" s="127">
        <f t="shared" si="4"/>
        <v>0</v>
      </c>
      <c r="C19" s="128">
        <f t="shared" si="2"/>
        <v>85000</v>
      </c>
      <c r="D19" s="130">
        <f t="shared" si="3"/>
        <v>-85000</v>
      </c>
      <c r="E19" s="130">
        <f>D19*INDEX(NPV!$C$3:$C$42,MATCH(Maintenance!A19,NPV!$B$3:$B$42,0))</f>
        <v>-21965.615239178838</v>
      </c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</row>
    <row r="20" spans="1:52" ht="13.8">
      <c r="A20" s="194">
        <f t="shared" si="0"/>
        <v>2041</v>
      </c>
      <c r="B20" s="127">
        <f t="shared" si="4"/>
        <v>0</v>
      </c>
      <c r="C20" s="128">
        <f t="shared" si="2"/>
        <v>0</v>
      </c>
      <c r="D20" s="130">
        <f t="shared" si="3"/>
        <v>0</v>
      </c>
      <c r="E20" s="130">
        <f>D20*INDEX(NPV!$C$3:$C$42,MATCH(Maintenance!A20,NPV!$B$3:$B$42,0))</f>
        <v>0</v>
      </c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</row>
    <row r="21" spans="1:52" ht="13.8">
      <c r="A21" s="194">
        <f t="shared" si="0"/>
        <v>2042</v>
      </c>
      <c r="B21" s="127">
        <f t="shared" si="4"/>
        <v>0</v>
      </c>
      <c r="C21" s="128">
        <f t="shared" si="2"/>
        <v>85000</v>
      </c>
      <c r="D21" s="130">
        <f t="shared" si="3"/>
        <v>-85000</v>
      </c>
      <c r="E21" s="130">
        <f>D21*INDEX(NPV!$C$3:$C$42,MATCH(Maintenance!A21,NPV!$B$3:$B$42,0))</f>
        <v>-19185.619040247042</v>
      </c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</row>
    <row r="22" spans="1:52" ht="13.8">
      <c r="A22" s="194">
        <f t="shared" si="0"/>
        <v>2043</v>
      </c>
      <c r="B22" s="127">
        <f t="shared" si="4"/>
        <v>15000</v>
      </c>
      <c r="C22" s="128">
        <f t="shared" si="2"/>
        <v>135000</v>
      </c>
      <c r="D22" s="130">
        <f t="shared" si="3"/>
        <v>-120000</v>
      </c>
      <c r="E22" s="130">
        <f>D22*INDEX(NPV!$C$3:$C$42,MATCH(Maintenance!A22,NPV!$B$3:$B$42,0))</f>
        <v>-25313.626001425455</v>
      </c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</row>
    <row r="23" spans="1:52" ht="13.8">
      <c r="A23" s="194">
        <f t="shared" si="0"/>
        <v>2044</v>
      </c>
      <c r="B23" s="127">
        <f t="shared" si="4"/>
        <v>0</v>
      </c>
      <c r="C23" s="128">
        <f t="shared" si="2"/>
        <v>85000</v>
      </c>
      <c r="D23" s="130">
        <f t="shared" si="3"/>
        <v>-85000</v>
      </c>
      <c r="E23" s="130">
        <f>D23*INDEX(NPV!$C$3:$C$42,MATCH(Maintenance!A23,NPV!$B$3:$B$42,0))</f>
        <v>-16757.462695647693</v>
      </c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</row>
    <row r="24" spans="1:52" ht="14.4">
      <c r="A24" s="194">
        <f t="shared" si="0"/>
        <v>2045</v>
      </c>
      <c r="B24" s="127">
        <f t="shared" si="4"/>
        <v>0</v>
      </c>
      <c r="C24" s="128">
        <f t="shared" si="2"/>
        <v>0</v>
      </c>
      <c r="D24" s="130">
        <f t="shared" si="3"/>
        <v>0</v>
      </c>
      <c r="E24" s="130">
        <f>D24*INDEX(NPV!$C$3:$C$42,MATCH(Maintenance!A24,NPV!$B$3:$B$42,0))</f>
        <v>0</v>
      </c>
      <c r="F24" s="65"/>
      <c r="G24" s="65"/>
      <c r="H24" s="65"/>
      <c r="I24" s="65"/>
      <c r="J24" s="119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</row>
    <row r="25" spans="1:52" ht="14.4">
      <c r="A25" s="194">
        <f t="shared" si="0"/>
        <v>2046</v>
      </c>
      <c r="B25" s="127">
        <f t="shared" si="4"/>
        <v>0</v>
      </c>
      <c r="C25" s="128">
        <f t="shared" si="2"/>
        <v>85000</v>
      </c>
      <c r="D25" s="130">
        <f t="shared" si="3"/>
        <v>-85000</v>
      </c>
      <c r="E25" s="130">
        <f>D25*INDEX(NPV!$C$3:$C$42,MATCH(Maintenance!A25,NPV!$B$3:$B$42,0))</f>
        <v>-14636.616905972305</v>
      </c>
      <c r="F25" s="65"/>
      <c r="G25" s="65"/>
      <c r="H25" s="65"/>
      <c r="I25" s="65"/>
      <c r="J25" s="119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</row>
    <row r="26" spans="1:52" ht="14.4">
      <c r="A26" s="194">
        <f t="shared" si="0"/>
        <v>2047</v>
      </c>
      <c r="B26" s="127">
        <f t="shared" si="4"/>
        <v>0</v>
      </c>
      <c r="C26" s="128">
        <f t="shared" si="2"/>
        <v>0</v>
      </c>
      <c r="D26" s="130">
        <f t="shared" si="3"/>
        <v>0</v>
      </c>
      <c r="E26" s="130">
        <f>D26*INDEX(NPV!$C$3:$C$42,MATCH(Maintenance!A26,NPV!$B$3:$B$42,0))</f>
        <v>0</v>
      </c>
      <c r="F26" s="65"/>
      <c r="G26" s="65"/>
      <c r="H26" s="65"/>
      <c r="I26" s="65"/>
      <c r="J26" s="119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</row>
    <row r="27" spans="1:52" ht="15" thickBot="1">
      <c r="A27" s="195">
        <f t="shared" si="0"/>
        <v>2048</v>
      </c>
      <c r="B27" s="131">
        <f t="shared" si="4"/>
        <v>15000</v>
      </c>
      <c r="C27" s="132">
        <f t="shared" si="2"/>
        <v>220000</v>
      </c>
      <c r="D27" s="132">
        <f>((C27)-(B27))*-1</f>
        <v>-205000</v>
      </c>
      <c r="E27" s="132">
        <f>D27*INDEX(NPV!$C$3:$C$42,MATCH(Maintenance!A27,NPV!$B$3:$B$42,0))</f>
        <v>-30832.453548209422</v>
      </c>
      <c r="F27" s="65"/>
      <c r="G27" s="65"/>
      <c r="H27" s="65"/>
      <c r="I27" s="65"/>
      <c r="J27" s="119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</row>
    <row r="28" spans="1:52" ht="14.4" thickTop="1">
      <c r="A28" s="196" t="s">
        <v>16</v>
      </c>
      <c r="B28" s="134">
        <f>SUM(B8:B27)</f>
        <v>60000</v>
      </c>
      <c r="C28" s="134">
        <f>SUM(C8:C27)</f>
        <v>1540000</v>
      </c>
      <c r="D28" s="134">
        <f>SUM(D8:D27)</f>
        <v>-1480000</v>
      </c>
      <c r="E28" s="134">
        <f>SUM(E8:E27)</f>
        <v>-463436.90407695202</v>
      </c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</row>
    <row r="29" spans="1:5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</row>
    <row r="30" spans="1:52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</row>
    <row r="31" spans="1:52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</row>
    <row r="32" spans="1:52" ht="13.8">
      <c r="A32" s="373" t="s">
        <v>54</v>
      </c>
      <c r="B32" s="373"/>
      <c r="C32" s="65"/>
      <c r="D32" s="373" t="s">
        <v>53</v>
      </c>
      <c r="E32" s="373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</row>
    <row r="33" spans="1:52">
      <c r="A33" s="374" t="s">
        <v>39</v>
      </c>
      <c r="B33" s="370" t="s">
        <v>176</v>
      </c>
      <c r="C33" s="65"/>
      <c r="D33" s="374" t="s">
        <v>39</v>
      </c>
      <c r="E33" s="370" t="s">
        <v>176</v>
      </c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</row>
    <row r="34" spans="1:52">
      <c r="A34" s="375"/>
      <c r="B34" s="371"/>
      <c r="C34" s="65"/>
      <c r="D34" s="375"/>
      <c r="E34" s="371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</row>
    <row r="35" spans="1:52" ht="13.8">
      <c r="A35" s="274">
        <v>2029</v>
      </c>
      <c r="B35" s="275">
        <v>150000</v>
      </c>
      <c r="C35" s="65"/>
      <c r="D35" s="274">
        <v>2029</v>
      </c>
      <c r="E35" s="27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</row>
    <row r="36" spans="1:52" ht="13.8">
      <c r="A36" s="274">
        <f>A35+1</f>
        <v>2030</v>
      </c>
      <c r="B36" s="275">
        <v>85000</v>
      </c>
      <c r="C36" s="65"/>
      <c r="D36" s="274">
        <f>D35+1</f>
        <v>2030</v>
      </c>
      <c r="E36" s="27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</row>
    <row r="37" spans="1:52" ht="13.8">
      <c r="A37" s="274">
        <f t="shared" ref="A37:A54" si="5">A36+1</f>
        <v>2031</v>
      </c>
      <c r="B37" s="275"/>
      <c r="C37" s="65"/>
      <c r="D37" s="274">
        <f t="shared" ref="D37:D54" si="6">D36+1</f>
        <v>2031</v>
      </c>
      <c r="E37" s="27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</row>
    <row r="38" spans="1:52" ht="13.8">
      <c r="A38" s="274">
        <f t="shared" si="5"/>
        <v>2032</v>
      </c>
      <c r="B38" s="275">
        <v>85000</v>
      </c>
      <c r="C38" s="65"/>
      <c r="D38" s="274">
        <f t="shared" si="6"/>
        <v>2032</v>
      </c>
      <c r="E38" s="27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</row>
    <row r="39" spans="1:52" ht="13.8">
      <c r="A39" s="274">
        <f t="shared" si="5"/>
        <v>2033</v>
      </c>
      <c r="B39" s="275">
        <v>135000</v>
      </c>
      <c r="C39" s="65"/>
      <c r="D39" s="274">
        <f t="shared" si="6"/>
        <v>2033</v>
      </c>
      <c r="E39" s="275">
        <v>15000</v>
      </c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</row>
    <row r="40" spans="1:52" ht="13.8">
      <c r="A40" s="274">
        <f t="shared" si="5"/>
        <v>2034</v>
      </c>
      <c r="B40" s="275">
        <v>85000</v>
      </c>
      <c r="C40" s="65"/>
      <c r="D40" s="274">
        <f t="shared" si="6"/>
        <v>2034</v>
      </c>
      <c r="E40" s="27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</row>
    <row r="41" spans="1:52" ht="13.8">
      <c r="A41" s="274">
        <f t="shared" si="5"/>
        <v>2035</v>
      </c>
      <c r="B41" s="275"/>
      <c r="C41" s="65"/>
      <c r="D41" s="274">
        <f t="shared" si="6"/>
        <v>2035</v>
      </c>
      <c r="E41" s="27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</row>
    <row r="42" spans="1:52" ht="13.8">
      <c r="A42" s="274">
        <f t="shared" si="5"/>
        <v>2036</v>
      </c>
      <c r="B42" s="275">
        <v>85000</v>
      </c>
      <c r="C42" s="65"/>
      <c r="D42" s="274">
        <f t="shared" si="6"/>
        <v>2036</v>
      </c>
      <c r="E42" s="27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</row>
    <row r="43" spans="1:52" ht="13.8">
      <c r="A43" s="274">
        <f t="shared" si="5"/>
        <v>2037</v>
      </c>
      <c r="B43" s="275"/>
      <c r="C43" s="65"/>
      <c r="D43" s="274">
        <f t="shared" si="6"/>
        <v>2037</v>
      </c>
      <c r="E43" s="27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</row>
    <row r="44" spans="1:52" ht="13.8">
      <c r="A44" s="274">
        <f t="shared" si="5"/>
        <v>2038</v>
      </c>
      <c r="B44" s="275">
        <v>220000</v>
      </c>
      <c r="C44" s="65"/>
      <c r="D44" s="274">
        <f t="shared" si="6"/>
        <v>2038</v>
      </c>
      <c r="E44" s="275">
        <v>15000</v>
      </c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</row>
    <row r="45" spans="1:52" ht="13.8">
      <c r="A45" s="274">
        <f t="shared" si="5"/>
        <v>2039</v>
      </c>
      <c r="B45" s="275"/>
      <c r="C45" s="65"/>
      <c r="D45" s="274">
        <f t="shared" si="6"/>
        <v>2039</v>
      </c>
      <c r="E45" s="27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</row>
    <row r="46" spans="1:52" ht="13.8">
      <c r="A46" s="274">
        <f t="shared" si="5"/>
        <v>2040</v>
      </c>
      <c r="B46" s="275">
        <v>85000</v>
      </c>
      <c r="C46" s="65"/>
      <c r="D46" s="274">
        <f t="shared" si="6"/>
        <v>2040</v>
      </c>
      <c r="E46" s="27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</row>
    <row r="47" spans="1:52" ht="13.8">
      <c r="A47" s="274">
        <f t="shared" si="5"/>
        <v>2041</v>
      </c>
      <c r="B47" s="275"/>
      <c r="C47" s="65"/>
      <c r="D47" s="274">
        <f t="shared" si="6"/>
        <v>2041</v>
      </c>
      <c r="E47" s="27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</row>
    <row r="48" spans="1:52" ht="13.8">
      <c r="A48" s="274">
        <f t="shared" si="5"/>
        <v>2042</v>
      </c>
      <c r="B48" s="275">
        <v>85000</v>
      </c>
      <c r="C48" s="65"/>
      <c r="D48" s="274">
        <f t="shared" si="6"/>
        <v>2042</v>
      </c>
      <c r="E48" s="27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</row>
    <row r="49" spans="1:52" ht="13.8">
      <c r="A49" s="274">
        <f t="shared" si="5"/>
        <v>2043</v>
      </c>
      <c r="B49" s="275">
        <v>135000</v>
      </c>
      <c r="C49" s="65"/>
      <c r="D49" s="274">
        <f t="shared" si="6"/>
        <v>2043</v>
      </c>
      <c r="E49" s="275">
        <v>15000</v>
      </c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</row>
    <row r="50" spans="1:52" ht="13.8">
      <c r="A50" s="274">
        <f t="shared" si="5"/>
        <v>2044</v>
      </c>
      <c r="B50" s="275">
        <v>85000</v>
      </c>
      <c r="C50" s="65"/>
      <c r="D50" s="274">
        <f t="shared" si="6"/>
        <v>2044</v>
      </c>
      <c r="E50" s="27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</row>
    <row r="51" spans="1:52" ht="13.8">
      <c r="A51" s="274">
        <f t="shared" si="5"/>
        <v>2045</v>
      </c>
      <c r="B51" s="275"/>
      <c r="C51" s="65"/>
      <c r="D51" s="274">
        <f t="shared" si="6"/>
        <v>2045</v>
      </c>
      <c r="E51" s="27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</row>
    <row r="52" spans="1:52" ht="13.8">
      <c r="A52" s="274">
        <f t="shared" si="5"/>
        <v>2046</v>
      </c>
      <c r="B52" s="275">
        <v>85000</v>
      </c>
      <c r="C52" s="65"/>
      <c r="D52" s="274">
        <f t="shared" si="6"/>
        <v>2046</v>
      </c>
      <c r="E52" s="27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</row>
    <row r="53" spans="1:52" ht="13.8">
      <c r="A53" s="274">
        <f t="shared" si="5"/>
        <v>2047</v>
      </c>
      <c r="B53" s="275"/>
      <c r="C53" s="65"/>
      <c r="D53" s="274">
        <f t="shared" si="6"/>
        <v>2047</v>
      </c>
      <c r="E53" s="27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</row>
    <row r="54" spans="1:52" ht="14.4" thickBot="1">
      <c r="A54" s="276">
        <f t="shared" si="5"/>
        <v>2048</v>
      </c>
      <c r="B54" s="277">
        <v>220000</v>
      </c>
      <c r="C54" s="65"/>
      <c r="D54" s="276">
        <f t="shared" si="6"/>
        <v>2048</v>
      </c>
      <c r="E54" s="277">
        <v>15000</v>
      </c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</row>
    <row r="55" spans="1:52" ht="14.4" thickTop="1">
      <c r="A55" s="278" t="s">
        <v>16</v>
      </c>
      <c r="B55" s="279">
        <f>SUM(B35:B54)</f>
        <v>1540000</v>
      </c>
      <c r="C55" s="65"/>
      <c r="D55" s="278" t="s">
        <v>16</v>
      </c>
      <c r="E55" s="279">
        <f>SUM(E35:E54)</f>
        <v>60000</v>
      </c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</row>
    <row r="56" spans="1:52">
      <c r="A56" s="372" t="s">
        <v>48</v>
      </c>
      <c r="B56" s="372"/>
      <c r="C56" s="65"/>
      <c r="D56" s="372" t="s">
        <v>48</v>
      </c>
      <c r="E56" s="372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</row>
    <row r="57" spans="1:52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</row>
    <row r="58" spans="1:52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</row>
    <row r="59" spans="1:52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</row>
    <row r="60" spans="1:52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</row>
    <row r="61" spans="1:52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</row>
    <row r="62" spans="1:52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</row>
    <row r="63" spans="1:52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</row>
    <row r="64" spans="1:52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</row>
    <row r="65" spans="1:52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</row>
    <row r="66" spans="1:52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</row>
    <row r="67" spans="1:52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</row>
    <row r="68" spans="1:52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</row>
    <row r="69" spans="1:52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</row>
    <row r="70" spans="1:52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</row>
    <row r="71" spans="1:52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</row>
    <row r="72" spans="1:52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</row>
    <row r="73" spans="1:52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</row>
    <row r="74" spans="1:52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</row>
    <row r="75" spans="1:52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</row>
    <row r="76" spans="1:52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</row>
    <row r="77" spans="1:52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</row>
    <row r="78" spans="1:52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</row>
    <row r="79" spans="1:52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</row>
    <row r="80" spans="1:52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</row>
    <row r="81" spans="1:52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</row>
    <row r="82" spans="1:52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</row>
    <row r="83" spans="1:52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</row>
    <row r="84" spans="1:52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</row>
    <row r="85" spans="1:52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</row>
    <row r="86" spans="1:52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</row>
    <row r="87" spans="1:52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</row>
    <row r="88" spans="1:52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</row>
    <row r="89" spans="1:52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</row>
    <row r="90" spans="1:52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</row>
    <row r="91" spans="1:52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</row>
    <row r="92" spans="1:52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</row>
    <row r="93" spans="1:52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</row>
    <row r="94" spans="1:52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</row>
    <row r="95" spans="1:52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</row>
    <row r="96" spans="1:52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</row>
    <row r="97" spans="1:52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</row>
    <row r="98" spans="1:52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</row>
    <row r="99" spans="1:52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</row>
    <row r="100" spans="1:52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</row>
    <row r="101" spans="1:52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</row>
    <row r="102" spans="1:52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</row>
    <row r="103" spans="1:52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</row>
    <row r="104" spans="1:52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</row>
    <row r="105" spans="1:52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</row>
    <row r="106" spans="1:52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</row>
    <row r="107" spans="1:52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</row>
    <row r="108" spans="1:52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</row>
    <row r="109" spans="1:52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</row>
    <row r="110" spans="1:52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</row>
    <row r="111" spans="1:52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</row>
    <row r="112" spans="1:52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</row>
    <row r="113" spans="1:52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</row>
    <row r="114" spans="1:52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</row>
    <row r="115" spans="1:52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</row>
    <row r="116" spans="1:52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</row>
    <row r="117" spans="1:52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</row>
    <row r="118" spans="1:52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</row>
    <row r="119" spans="1:52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</row>
    <row r="120" spans="1:52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</row>
    <row r="121" spans="1:52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</row>
    <row r="122" spans="1:52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</row>
    <row r="123" spans="1:52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</row>
    <row r="124" spans="1:52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</row>
    <row r="125" spans="1:52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</row>
    <row r="126" spans="1:52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</row>
    <row r="127" spans="1:52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</row>
    <row r="128" spans="1:52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</row>
    <row r="129" spans="1:52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</row>
    <row r="130" spans="1:52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</row>
    <row r="131" spans="1:52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</row>
    <row r="132" spans="1:52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</row>
    <row r="133" spans="1:52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</row>
    <row r="134" spans="1:52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</row>
    <row r="135" spans="1:52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</row>
    <row r="136" spans="1:52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</row>
    <row r="137" spans="1:52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</row>
    <row r="138" spans="1:52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</row>
    <row r="139" spans="1:52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</row>
    <row r="140" spans="1:52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</row>
    <row r="141" spans="1:52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5"/>
    </row>
    <row r="142" spans="1:52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</row>
    <row r="143" spans="1:52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</row>
    <row r="144" spans="1:52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</row>
    <row r="145" spans="1:52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</row>
    <row r="146" spans="1:52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  <c r="AZ146" s="65"/>
    </row>
    <row r="147" spans="1:52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</row>
    <row r="148" spans="1:52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</row>
    <row r="149" spans="1:52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</row>
    <row r="150" spans="1:52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</row>
    <row r="151" spans="1:52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</row>
    <row r="152" spans="1:52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</row>
    <row r="153" spans="1:52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</row>
    <row r="154" spans="1:52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</row>
    <row r="155" spans="1:52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</row>
    <row r="156" spans="1:52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</row>
    <row r="157" spans="1:52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65"/>
    </row>
    <row r="158" spans="1:52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</row>
    <row r="159" spans="1:52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</row>
    <row r="160" spans="1:52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</row>
    <row r="161" spans="1:52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</row>
    <row r="162" spans="1:52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</row>
    <row r="163" spans="1:52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</row>
    <row r="164" spans="1:52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</row>
    <row r="165" spans="1:52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</row>
    <row r="166" spans="1:52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AQ166" s="65"/>
      <c r="AR166" s="65"/>
      <c r="AS166" s="65"/>
      <c r="AT166" s="65"/>
      <c r="AU166" s="65"/>
      <c r="AV166" s="65"/>
      <c r="AW166" s="65"/>
      <c r="AX166" s="65"/>
      <c r="AY166" s="65"/>
      <c r="AZ166" s="65"/>
    </row>
    <row r="167" spans="1:52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  <c r="AL167" s="65"/>
      <c r="AM167" s="65"/>
      <c r="AN167" s="65"/>
      <c r="AO167" s="65"/>
      <c r="AP167" s="65"/>
      <c r="AQ167" s="65"/>
      <c r="AR167" s="65"/>
      <c r="AS167" s="65"/>
      <c r="AT167" s="65"/>
      <c r="AU167" s="65"/>
      <c r="AV167" s="65"/>
      <c r="AW167" s="65"/>
      <c r="AX167" s="65"/>
      <c r="AY167" s="65"/>
      <c r="AZ167" s="65"/>
    </row>
    <row r="168" spans="1:52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</row>
    <row r="169" spans="1:52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</row>
    <row r="170" spans="1:52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</row>
    <row r="171" spans="1:52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</row>
    <row r="172" spans="1:52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O172" s="65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</row>
    <row r="173" spans="1:52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</row>
    <row r="174" spans="1:52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</row>
    <row r="175" spans="1:52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65"/>
      <c r="AT175" s="65"/>
      <c r="AU175" s="65"/>
      <c r="AV175" s="65"/>
      <c r="AW175" s="65"/>
      <c r="AX175" s="65"/>
      <c r="AY175" s="65"/>
      <c r="AZ175" s="65"/>
    </row>
    <row r="176" spans="1:52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5"/>
    </row>
    <row r="177" spans="1:52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5"/>
    </row>
    <row r="178" spans="1:52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</row>
    <row r="179" spans="1:52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</row>
    <row r="180" spans="1:52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  <c r="AI180" s="65"/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</row>
    <row r="181" spans="1:52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</row>
    <row r="182" spans="1:52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</row>
    <row r="183" spans="1:52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</row>
    <row r="184" spans="1:52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65"/>
      <c r="AM184" s="65"/>
      <c r="AN184" s="65"/>
      <c r="AO184" s="65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</row>
    <row r="185" spans="1:52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65"/>
      <c r="AM185" s="65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</row>
    <row r="186" spans="1:52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</row>
    <row r="187" spans="1:52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</row>
    <row r="188" spans="1:52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</row>
    <row r="189" spans="1:52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</row>
    <row r="190" spans="1:52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</row>
    <row r="191" spans="1:52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</row>
    <row r="192" spans="1:52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65"/>
      <c r="AM192" s="65"/>
      <c r="AN192" s="65"/>
      <c r="AO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</row>
    <row r="193" spans="1:52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</row>
    <row r="194" spans="1:52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</row>
    <row r="195" spans="1:52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  <c r="AL195" s="65"/>
      <c r="AM195" s="65"/>
      <c r="AN195" s="65"/>
      <c r="AO195" s="65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</row>
    <row r="196" spans="1:52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</row>
    <row r="197" spans="1:52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</row>
    <row r="198" spans="1:52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  <c r="AH198" s="65"/>
      <c r="AI198" s="65"/>
      <c r="AJ198" s="65"/>
      <c r="AK198" s="65"/>
      <c r="AL198" s="65"/>
      <c r="AM198" s="65"/>
      <c r="AN198" s="65"/>
      <c r="AO198" s="65"/>
      <c r="AP198" s="65"/>
      <c r="AQ198" s="65"/>
      <c r="AR198" s="65"/>
      <c r="AS198" s="65"/>
      <c r="AT198" s="65"/>
      <c r="AU198" s="65"/>
      <c r="AV198" s="65"/>
      <c r="AW198" s="65"/>
      <c r="AX198" s="65"/>
      <c r="AY198" s="65"/>
      <c r="AZ198" s="65"/>
    </row>
    <row r="199" spans="1:52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  <c r="AL199" s="65"/>
      <c r="AM199" s="65"/>
      <c r="AN199" s="65"/>
      <c r="AO199" s="65"/>
      <c r="AP199" s="65"/>
      <c r="AQ199" s="65"/>
      <c r="AR199" s="65"/>
      <c r="AS199" s="65"/>
      <c r="AT199" s="65"/>
      <c r="AU199" s="65"/>
      <c r="AV199" s="65"/>
      <c r="AW199" s="65"/>
      <c r="AX199" s="65"/>
      <c r="AY199" s="65"/>
      <c r="AZ199" s="65"/>
    </row>
    <row r="200" spans="1:52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</row>
    <row r="201" spans="1:52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</row>
    <row r="202" spans="1:52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</row>
    <row r="203" spans="1:52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5"/>
    </row>
    <row r="204" spans="1:52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65"/>
      <c r="AT204" s="65"/>
      <c r="AU204" s="65"/>
      <c r="AV204" s="65"/>
      <c r="AW204" s="65"/>
      <c r="AX204" s="65"/>
      <c r="AY204" s="65"/>
      <c r="AZ204" s="65"/>
    </row>
    <row r="205" spans="1:52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</row>
    <row r="206" spans="1:52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</row>
    <row r="207" spans="1:52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  <c r="AU207" s="65"/>
      <c r="AV207" s="65"/>
      <c r="AW207" s="65"/>
      <c r="AX207" s="65"/>
      <c r="AY207" s="65"/>
      <c r="AZ207" s="65"/>
    </row>
    <row r="208" spans="1:52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  <c r="AH208" s="65"/>
      <c r="AI208" s="65"/>
      <c r="AJ208" s="65"/>
      <c r="AK208" s="65"/>
      <c r="AL208" s="65"/>
      <c r="AM208" s="65"/>
      <c r="AN208" s="65"/>
      <c r="AO208" s="65"/>
      <c r="AP208" s="65"/>
      <c r="AQ208" s="65"/>
      <c r="AR208" s="65"/>
      <c r="AS208" s="65"/>
      <c r="AT208" s="65"/>
      <c r="AU208" s="65"/>
      <c r="AV208" s="65"/>
      <c r="AW208" s="65"/>
      <c r="AX208" s="65"/>
      <c r="AY208" s="65"/>
      <c r="AZ208" s="65"/>
    </row>
    <row r="209" spans="1:52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5"/>
      <c r="AN209" s="65"/>
      <c r="AO209" s="65"/>
      <c r="AP209" s="65"/>
      <c r="AQ209" s="65"/>
      <c r="AR209" s="65"/>
      <c r="AS209" s="65"/>
      <c r="AT209" s="65"/>
      <c r="AU209" s="65"/>
      <c r="AV209" s="65"/>
      <c r="AW209" s="65"/>
      <c r="AX209" s="65"/>
      <c r="AY209" s="65"/>
      <c r="AZ209" s="65"/>
    </row>
    <row r="210" spans="1:52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</row>
    <row r="211" spans="1:52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  <c r="AQ211" s="65"/>
      <c r="AR211" s="65"/>
      <c r="AS211" s="65"/>
      <c r="AT211" s="65"/>
      <c r="AU211" s="65"/>
      <c r="AV211" s="65"/>
      <c r="AW211" s="65"/>
      <c r="AX211" s="65"/>
      <c r="AY211" s="65"/>
      <c r="AZ211" s="65"/>
    </row>
    <row r="212" spans="1:52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</row>
    <row r="213" spans="1:52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</row>
    <row r="214" spans="1:52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65"/>
      <c r="AV214" s="65"/>
      <c r="AW214" s="65"/>
      <c r="AX214" s="65"/>
      <c r="AY214" s="65"/>
      <c r="AZ214" s="65"/>
    </row>
    <row r="215" spans="1:52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</row>
    <row r="216" spans="1:52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  <c r="AL216" s="65"/>
      <c r="AM216" s="65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</row>
    <row r="217" spans="1:52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</row>
    <row r="218" spans="1:52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65"/>
      <c r="AM218" s="65"/>
      <c r="AN218" s="65"/>
      <c r="AO218" s="65"/>
      <c r="AP218" s="65"/>
      <c r="AQ218" s="65"/>
      <c r="AR218" s="65"/>
      <c r="AS218" s="65"/>
      <c r="AT218" s="65"/>
      <c r="AU218" s="65"/>
      <c r="AV218" s="65"/>
      <c r="AW218" s="65"/>
      <c r="AX218" s="65"/>
      <c r="AY218" s="65"/>
      <c r="AZ218" s="65"/>
    </row>
    <row r="219" spans="1:52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  <c r="AG219" s="65"/>
      <c r="AH219" s="65"/>
      <c r="AI219" s="65"/>
      <c r="AJ219" s="65"/>
      <c r="AK219" s="65"/>
      <c r="AL219" s="65"/>
      <c r="AM219" s="65"/>
      <c r="AN219" s="65"/>
      <c r="AO219" s="65"/>
      <c r="AP219" s="65"/>
      <c r="AQ219" s="65"/>
      <c r="AR219" s="65"/>
      <c r="AS219" s="65"/>
      <c r="AT219" s="65"/>
      <c r="AU219" s="65"/>
      <c r="AV219" s="65"/>
      <c r="AW219" s="65"/>
      <c r="AX219" s="65"/>
      <c r="AY219" s="65"/>
      <c r="AZ219" s="65"/>
    </row>
    <row r="220" spans="1:52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  <c r="AH220" s="65"/>
      <c r="AI220" s="65"/>
      <c r="AJ220" s="65"/>
      <c r="AK220" s="65"/>
      <c r="AL220" s="65"/>
      <c r="AM220" s="65"/>
      <c r="AN220" s="65"/>
      <c r="AO220" s="65"/>
      <c r="AP220" s="65"/>
      <c r="AQ220" s="65"/>
      <c r="AR220" s="65"/>
      <c r="AS220" s="65"/>
      <c r="AT220" s="65"/>
      <c r="AU220" s="65"/>
      <c r="AV220" s="65"/>
      <c r="AW220" s="65"/>
      <c r="AX220" s="65"/>
      <c r="AY220" s="65"/>
      <c r="AZ220" s="65"/>
    </row>
    <row r="221" spans="1:52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  <c r="AI221" s="65"/>
      <c r="AJ221" s="65"/>
      <c r="AK221" s="65"/>
      <c r="AL221" s="65"/>
      <c r="AM221" s="65"/>
      <c r="AN221" s="65"/>
      <c r="AO221" s="65"/>
      <c r="AP221" s="65"/>
      <c r="AQ221" s="65"/>
      <c r="AR221" s="65"/>
      <c r="AS221" s="65"/>
      <c r="AT221" s="65"/>
      <c r="AU221" s="65"/>
      <c r="AV221" s="65"/>
      <c r="AW221" s="65"/>
      <c r="AX221" s="65"/>
      <c r="AY221" s="65"/>
      <c r="AZ221" s="65"/>
    </row>
    <row r="222" spans="1:52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</row>
    <row r="223" spans="1:52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</row>
    <row r="224" spans="1:52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</row>
    <row r="225" spans="1:52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</row>
    <row r="226" spans="1:52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</row>
    <row r="227" spans="1:52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</row>
    <row r="228" spans="1:52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  <c r="AM228" s="65"/>
      <c r="AN228" s="65"/>
      <c r="AO228" s="65"/>
      <c r="AP228" s="65"/>
      <c r="AQ228" s="65"/>
      <c r="AR228" s="65"/>
      <c r="AS228" s="65"/>
      <c r="AT228" s="65"/>
      <c r="AU228" s="65"/>
      <c r="AV228" s="65"/>
      <c r="AW228" s="65"/>
      <c r="AX228" s="65"/>
      <c r="AY228" s="65"/>
      <c r="AZ228" s="65"/>
    </row>
    <row r="229" spans="1:52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  <c r="AH229" s="65"/>
      <c r="AI229" s="65"/>
      <c r="AJ229" s="65"/>
      <c r="AK229" s="65"/>
      <c r="AL229" s="65"/>
      <c r="AM229" s="65"/>
      <c r="AN229" s="65"/>
      <c r="AO229" s="65"/>
      <c r="AP229" s="65"/>
      <c r="AQ229" s="65"/>
      <c r="AR229" s="65"/>
      <c r="AS229" s="65"/>
      <c r="AT229" s="65"/>
      <c r="AU229" s="65"/>
      <c r="AV229" s="65"/>
      <c r="AW229" s="65"/>
      <c r="AX229" s="65"/>
      <c r="AY229" s="65"/>
      <c r="AZ229" s="65"/>
    </row>
    <row r="230" spans="1:52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  <c r="AM230" s="65"/>
      <c r="AN230" s="65"/>
      <c r="AO230" s="65"/>
      <c r="AP230" s="65"/>
      <c r="AQ230" s="65"/>
      <c r="AR230" s="65"/>
      <c r="AS230" s="65"/>
      <c r="AT230" s="65"/>
      <c r="AU230" s="65"/>
      <c r="AV230" s="65"/>
      <c r="AW230" s="65"/>
      <c r="AX230" s="65"/>
      <c r="AY230" s="65"/>
      <c r="AZ230" s="65"/>
    </row>
    <row r="231" spans="1:52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</row>
    <row r="232" spans="1:52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AO232" s="65"/>
      <c r="AP232" s="65"/>
      <c r="AQ232" s="65"/>
      <c r="AR232" s="65"/>
      <c r="AS232" s="65"/>
      <c r="AT232" s="65"/>
      <c r="AU232" s="65"/>
      <c r="AV232" s="65"/>
      <c r="AW232" s="65"/>
      <c r="AX232" s="65"/>
      <c r="AY232" s="65"/>
      <c r="AZ232" s="65"/>
    </row>
    <row r="233" spans="1:52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</row>
    <row r="234" spans="1:52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  <c r="AI234" s="65"/>
      <c r="AJ234" s="65"/>
      <c r="AK234" s="65"/>
      <c r="AL234" s="65"/>
      <c r="AM234" s="65"/>
      <c r="AN234" s="65"/>
      <c r="AO234" s="65"/>
      <c r="AP234" s="65"/>
      <c r="AQ234" s="65"/>
      <c r="AR234" s="65"/>
      <c r="AS234" s="65"/>
      <c r="AT234" s="65"/>
      <c r="AU234" s="65"/>
      <c r="AV234" s="65"/>
      <c r="AW234" s="65"/>
      <c r="AX234" s="65"/>
      <c r="AY234" s="65"/>
      <c r="AZ234" s="65"/>
    </row>
    <row r="235" spans="1:52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  <c r="AF235" s="65"/>
      <c r="AG235" s="65"/>
      <c r="AH235" s="65"/>
      <c r="AI235" s="65"/>
      <c r="AJ235" s="65"/>
      <c r="AK235" s="65"/>
      <c r="AL235" s="65"/>
      <c r="AM235" s="65"/>
      <c r="AN235" s="65"/>
      <c r="AO235" s="65"/>
      <c r="AP235" s="65"/>
      <c r="AQ235" s="65"/>
      <c r="AR235" s="65"/>
      <c r="AS235" s="65"/>
      <c r="AT235" s="65"/>
      <c r="AU235" s="65"/>
      <c r="AV235" s="65"/>
      <c r="AW235" s="65"/>
      <c r="AX235" s="65"/>
      <c r="AY235" s="65"/>
      <c r="AZ235" s="65"/>
    </row>
    <row r="236" spans="1:52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  <c r="AH236" s="65"/>
      <c r="AI236" s="65"/>
      <c r="AJ236" s="65"/>
      <c r="AK236" s="65"/>
      <c r="AL236" s="65"/>
      <c r="AM236" s="65"/>
      <c r="AN236" s="65"/>
      <c r="AO236" s="65"/>
      <c r="AP236" s="65"/>
      <c r="AQ236" s="65"/>
      <c r="AR236" s="65"/>
      <c r="AS236" s="65"/>
      <c r="AT236" s="65"/>
      <c r="AU236" s="65"/>
      <c r="AV236" s="65"/>
      <c r="AW236" s="65"/>
      <c r="AX236" s="65"/>
      <c r="AY236" s="65"/>
      <c r="AZ236" s="65"/>
    </row>
    <row r="237" spans="1:52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  <c r="AF237" s="65"/>
      <c r="AG237" s="65"/>
      <c r="AH237" s="65"/>
      <c r="AI237" s="65"/>
      <c r="AJ237" s="65"/>
      <c r="AK237" s="65"/>
      <c r="AL237" s="65"/>
      <c r="AM237" s="65"/>
      <c r="AN237" s="65"/>
      <c r="AO237" s="65"/>
      <c r="AP237" s="65"/>
      <c r="AQ237" s="65"/>
      <c r="AR237" s="65"/>
      <c r="AS237" s="65"/>
      <c r="AT237" s="65"/>
      <c r="AU237" s="65"/>
      <c r="AV237" s="65"/>
      <c r="AW237" s="65"/>
      <c r="AX237" s="65"/>
      <c r="AY237" s="65"/>
      <c r="AZ237" s="65"/>
    </row>
    <row r="238" spans="1:52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  <c r="AH238" s="65"/>
      <c r="AI238" s="65"/>
      <c r="AJ238" s="65"/>
      <c r="AK238" s="65"/>
      <c r="AL238" s="65"/>
      <c r="AM238" s="65"/>
      <c r="AN238" s="65"/>
      <c r="AO238" s="65"/>
      <c r="AP238" s="65"/>
      <c r="AQ238" s="65"/>
      <c r="AR238" s="65"/>
      <c r="AS238" s="65"/>
      <c r="AT238" s="65"/>
      <c r="AU238" s="65"/>
      <c r="AV238" s="65"/>
      <c r="AW238" s="65"/>
      <c r="AX238" s="65"/>
      <c r="AY238" s="65"/>
      <c r="AZ238" s="65"/>
    </row>
    <row r="239" spans="1:52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65"/>
      <c r="AM239" s="65"/>
      <c r="AN239" s="65"/>
      <c r="AO239" s="65"/>
      <c r="AP239" s="65"/>
      <c r="AQ239" s="65"/>
      <c r="AR239" s="65"/>
      <c r="AS239" s="65"/>
      <c r="AT239" s="65"/>
      <c r="AU239" s="65"/>
      <c r="AV239" s="65"/>
      <c r="AW239" s="65"/>
      <c r="AX239" s="65"/>
      <c r="AY239" s="65"/>
      <c r="AZ239" s="65"/>
    </row>
    <row r="240" spans="1:52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  <c r="AH240" s="65"/>
      <c r="AI240" s="65"/>
      <c r="AJ240" s="65"/>
      <c r="AK240" s="65"/>
      <c r="AL240" s="65"/>
      <c r="AM240" s="65"/>
      <c r="AN240" s="65"/>
      <c r="AO240" s="65"/>
      <c r="AP240" s="65"/>
      <c r="AQ240" s="65"/>
      <c r="AR240" s="65"/>
      <c r="AS240" s="65"/>
      <c r="AT240" s="65"/>
      <c r="AU240" s="65"/>
      <c r="AV240" s="65"/>
      <c r="AW240" s="65"/>
      <c r="AX240" s="65"/>
      <c r="AY240" s="65"/>
      <c r="AZ240" s="65"/>
    </row>
    <row r="241" spans="1:52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  <c r="AH241" s="65"/>
      <c r="AI241" s="65"/>
      <c r="AJ241" s="65"/>
      <c r="AK241" s="65"/>
      <c r="AL241" s="65"/>
      <c r="AM241" s="65"/>
      <c r="AN241" s="65"/>
      <c r="AO241" s="65"/>
      <c r="AP241" s="65"/>
      <c r="AQ241" s="65"/>
      <c r="AR241" s="65"/>
      <c r="AS241" s="65"/>
      <c r="AT241" s="65"/>
      <c r="AU241" s="65"/>
      <c r="AV241" s="65"/>
      <c r="AW241" s="65"/>
      <c r="AX241" s="65"/>
      <c r="AY241" s="65"/>
      <c r="AZ241" s="65"/>
    </row>
    <row r="242" spans="1:52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  <c r="AM242" s="65"/>
      <c r="AN242" s="65"/>
      <c r="AO242" s="65"/>
      <c r="AP242" s="65"/>
      <c r="AQ242" s="65"/>
      <c r="AR242" s="65"/>
      <c r="AS242" s="65"/>
      <c r="AT242" s="65"/>
      <c r="AU242" s="65"/>
      <c r="AV242" s="65"/>
      <c r="AW242" s="65"/>
      <c r="AX242" s="65"/>
      <c r="AY242" s="65"/>
      <c r="AZ242" s="65"/>
    </row>
    <row r="243" spans="1:52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5"/>
      <c r="AW243" s="65"/>
      <c r="AX243" s="65"/>
      <c r="AY243" s="65"/>
      <c r="AZ243" s="65"/>
    </row>
    <row r="244" spans="1:52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</row>
    <row r="245" spans="1:52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</row>
    <row r="246" spans="1:52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  <c r="AL246" s="65"/>
      <c r="AM246" s="65"/>
      <c r="AN246" s="65"/>
      <c r="AO246" s="65"/>
      <c r="AP246" s="65"/>
      <c r="AQ246" s="65"/>
      <c r="AR246" s="65"/>
      <c r="AS246" s="65"/>
      <c r="AT246" s="65"/>
      <c r="AU246" s="65"/>
      <c r="AV246" s="65"/>
      <c r="AW246" s="65"/>
      <c r="AX246" s="65"/>
      <c r="AY246" s="65"/>
      <c r="AZ246" s="65"/>
    </row>
    <row r="247" spans="1:52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5"/>
      <c r="AW247" s="65"/>
      <c r="AX247" s="65"/>
      <c r="AY247" s="65"/>
      <c r="AZ247" s="65"/>
    </row>
    <row r="248" spans="1:52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  <c r="AX248" s="65"/>
      <c r="AY248" s="65"/>
      <c r="AZ248" s="65"/>
    </row>
    <row r="249" spans="1:52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65"/>
    </row>
    <row r="250" spans="1:52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</row>
    <row r="251" spans="1:52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</row>
    <row r="252" spans="1:52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  <c r="AX252" s="65"/>
      <c r="AY252" s="65"/>
      <c r="AZ252" s="65"/>
    </row>
    <row r="253" spans="1:52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  <c r="AL253" s="65"/>
      <c r="AM253" s="65"/>
      <c r="AN253" s="65"/>
      <c r="AO253" s="65"/>
      <c r="AP253" s="65"/>
      <c r="AQ253" s="65"/>
      <c r="AR253" s="65"/>
      <c r="AS253" s="65"/>
      <c r="AT253" s="65"/>
      <c r="AU253" s="65"/>
      <c r="AV253" s="65"/>
      <c r="AW253" s="65"/>
      <c r="AX253" s="65"/>
      <c r="AY253" s="65"/>
      <c r="AZ253" s="65"/>
    </row>
    <row r="254" spans="1:52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  <c r="AM254" s="65"/>
      <c r="AN254" s="65"/>
      <c r="AO254" s="65"/>
      <c r="AP254" s="65"/>
      <c r="AQ254" s="65"/>
      <c r="AR254" s="65"/>
      <c r="AS254" s="65"/>
      <c r="AT254" s="65"/>
      <c r="AU254" s="65"/>
      <c r="AV254" s="65"/>
      <c r="AW254" s="65"/>
      <c r="AX254" s="65"/>
      <c r="AY254" s="65"/>
      <c r="AZ254" s="65"/>
    </row>
    <row r="255" spans="1:52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/>
      <c r="AS255" s="65"/>
      <c r="AT255" s="65"/>
      <c r="AU255" s="65"/>
      <c r="AV255" s="65"/>
      <c r="AW255" s="65"/>
      <c r="AX255" s="65"/>
      <c r="AY255" s="65"/>
      <c r="AZ255" s="65"/>
    </row>
    <row r="256" spans="1:52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5"/>
      <c r="AU256" s="65"/>
      <c r="AV256" s="65"/>
      <c r="AW256" s="65"/>
      <c r="AX256" s="65"/>
      <c r="AY256" s="65"/>
      <c r="AZ256" s="65"/>
    </row>
    <row r="257" spans="1:52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  <c r="AH257" s="65"/>
      <c r="AI257" s="65"/>
      <c r="AJ257" s="65"/>
      <c r="AK257" s="65"/>
      <c r="AL257" s="65"/>
      <c r="AM257" s="65"/>
      <c r="AN257" s="65"/>
      <c r="AO257" s="65"/>
      <c r="AP257" s="65"/>
      <c r="AQ257" s="65"/>
      <c r="AR257" s="65"/>
      <c r="AS257" s="65"/>
      <c r="AT257" s="65"/>
      <c r="AU257" s="65"/>
      <c r="AV257" s="65"/>
      <c r="AW257" s="65"/>
      <c r="AX257" s="65"/>
      <c r="AY257" s="65"/>
      <c r="AZ257" s="65"/>
    </row>
    <row r="258" spans="1:52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  <c r="AH258" s="65"/>
      <c r="AI258" s="65"/>
      <c r="AJ258" s="65"/>
      <c r="AK258" s="65"/>
      <c r="AL258" s="65"/>
      <c r="AM258" s="65"/>
      <c r="AN258" s="65"/>
      <c r="AO258" s="65"/>
      <c r="AP258" s="65"/>
      <c r="AQ258" s="65"/>
      <c r="AR258" s="65"/>
      <c r="AS258" s="65"/>
      <c r="AT258" s="65"/>
      <c r="AU258" s="65"/>
      <c r="AV258" s="65"/>
      <c r="AW258" s="65"/>
      <c r="AX258" s="65"/>
      <c r="AY258" s="65"/>
      <c r="AZ258" s="65"/>
    </row>
    <row r="259" spans="1:52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  <c r="AH259" s="65"/>
      <c r="AI259" s="65"/>
      <c r="AJ259" s="65"/>
      <c r="AK259" s="65"/>
      <c r="AL259" s="65"/>
      <c r="AM259" s="65"/>
      <c r="AN259" s="65"/>
      <c r="AO259" s="65"/>
      <c r="AP259" s="65"/>
      <c r="AQ259" s="65"/>
      <c r="AR259" s="65"/>
      <c r="AS259" s="65"/>
      <c r="AT259" s="65"/>
      <c r="AU259" s="65"/>
      <c r="AV259" s="65"/>
      <c r="AW259" s="65"/>
      <c r="AX259" s="65"/>
      <c r="AY259" s="65"/>
      <c r="AZ259" s="65"/>
    </row>
    <row r="260" spans="1:52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  <c r="AH260" s="65"/>
      <c r="AI260" s="65"/>
      <c r="AJ260" s="65"/>
      <c r="AK260" s="65"/>
      <c r="AL260" s="65"/>
      <c r="AM260" s="65"/>
      <c r="AN260" s="65"/>
      <c r="AO260" s="65"/>
      <c r="AP260" s="65"/>
      <c r="AQ260" s="65"/>
      <c r="AR260" s="65"/>
      <c r="AS260" s="65"/>
      <c r="AT260" s="65"/>
      <c r="AU260" s="65"/>
      <c r="AV260" s="65"/>
      <c r="AW260" s="65"/>
      <c r="AX260" s="65"/>
      <c r="AY260" s="65"/>
      <c r="AZ260" s="65"/>
    </row>
    <row r="261" spans="1:52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  <c r="AH261" s="65"/>
      <c r="AI261" s="65"/>
      <c r="AJ261" s="65"/>
      <c r="AK261" s="65"/>
      <c r="AL261" s="65"/>
      <c r="AM261" s="65"/>
      <c r="AN261" s="65"/>
      <c r="AO261" s="65"/>
      <c r="AP261" s="65"/>
      <c r="AQ261" s="65"/>
      <c r="AR261" s="65"/>
      <c r="AS261" s="65"/>
      <c r="AT261" s="65"/>
      <c r="AU261" s="65"/>
      <c r="AV261" s="65"/>
      <c r="AW261" s="65"/>
      <c r="AX261" s="65"/>
      <c r="AY261" s="65"/>
      <c r="AZ261" s="65"/>
    </row>
    <row r="262" spans="1:52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  <c r="AH262" s="65"/>
      <c r="AI262" s="65"/>
      <c r="AJ262" s="65"/>
      <c r="AK262" s="65"/>
      <c r="AL262" s="65"/>
      <c r="AM262" s="65"/>
      <c r="AN262" s="65"/>
      <c r="AO262" s="65"/>
      <c r="AP262" s="65"/>
      <c r="AQ262" s="65"/>
      <c r="AR262" s="65"/>
      <c r="AS262" s="65"/>
      <c r="AT262" s="65"/>
      <c r="AU262" s="65"/>
      <c r="AV262" s="65"/>
      <c r="AW262" s="65"/>
      <c r="AX262" s="65"/>
      <c r="AY262" s="65"/>
      <c r="AZ262" s="65"/>
    </row>
    <row r="263" spans="1:52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  <c r="AH263" s="65"/>
      <c r="AI263" s="65"/>
      <c r="AJ263" s="65"/>
      <c r="AK263" s="65"/>
      <c r="AL263" s="65"/>
      <c r="AM263" s="65"/>
      <c r="AN263" s="65"/>
      <c r="AO263" s="65"/>
      <c r="AP263" s="65"/>
      <c r="AQ263" s="65"/>
      <c r="AR263" s="65"/>
      <c r="AS263" s="65"/>
      <c r="AT263" s="65"/>
      <c r="AU263" s="65"/>
      <c r="AV263" s="65"/>
      <c r="AW263" s="65"/>
      <c r="AX263" s="65"/>
      <c r="AY263" s="65"/>
      <c r="AZ263" s="65"/>
    </row>
    <row r="264" spans="1:52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  <c r="AJ264" s="65"/>
      <c r="AK264" s="65"/>
      <c r="AL264" s="65"/>
      <c r="AM264" s="65"/>
      <c r="AN264" s="65"/>
      <c r="AO264" s="65"/>
      <c r="AP264" s="65"/>
      <c r="AQ264" s="65"/>
      <c r="AR264" s="65"/>
      <c r="AS264" s="65"/>
      <c r="AT264" s="65"/>
      <c r="AU264" s="65"/>
      <c r="AV264" s="65"/>
      <c r="AW264" s="65"/>
      <c r="AX264" s="65"/>
      <c r="AY264" s="65"/>
      <c r="AZ264" s="65"/>
    </row>
    <row r="265" spans="1:52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  <c r="AH265" s="65"/>
      <c r="AI265" s="65"/>
      <c r="AJ265" s="65"/>
      <c r="AK265" s="65"/>
      <c r="AL265" s="65"/>
      <c r="AM265" s="65"/>
      <c r="AN265" s="65"/>
      <c r="AO265" s="65"/>
      <c r="AP265" s="65"/>
      <c r="AQ265" s="65"/>
      <c r="AR265" s="65"/>
      <c r="AS265" s="65"/>
      <c r="AT265" s="65"/>
      <c r="AU265" s="65"/>
      <c r="AV265" s="65"/>
      <c r="AW265" s="65"/>
      <c r="AX265" s="65"/>
      <c r="AY265" s="65"/>
      <c r="AZ265" s="65"/>
    </row>
    <row r="266" spans="1:52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  <c r="AF266" s="65"/>
      <c r="AG266" s="65"/>
      <c r="AH266" s="65"/>
      <c r="AI266" s="65"/>
      <c r="AJ266" s="65"/>
      <c r="AK266" s="65"/>
      <c r="AL266" s="65"/>
      <c r="AM266" s="65"/>
      <c r="AN266" s="65"/>
      <c r="AO266" s="65"/>
      <c r="AP266" s="65"/>
      <c r="AQ266" s="65"/>
      <c r="AR266" s="65"/>
      <c r="AS266" s="65"/>
      <c r="AT266" s="65"/>
      <c r="AU266" s="65"/>
      <c r="AV266" s="65"/>
      <c r="AW266" s="65"/>
      <c r="AX266" s="65"/>
      <c r="AY266" s="65"/>
      <c r="AZ266" s="65"/>
    </row>
    <row r="267" spans="1:52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  <c r="AF267" s="65"/>
      <c r="AG267" s="65"/>
      <c r="AH267" s="65"/>
      <c r="AI267" s="65"/>
      <c r="AJ267" s="65"/>
      <c r="AK267" s="65"/>
      <c r="AL267" s="65"/>
      <c r="AM267" s="65"/>
      <c r="AN267" s="65"/>
      <c r="AO267" s="65"/>
      <c r="AP267" s="65"/>
      <c r="AQ267" s="65"/>
      <c r="AR267" s="65"/>
      <c r="AS267" s="65"/>
      <c r="AT267" s="65"/>
      <c r="AU267" s="65"/>
      <c r="AV267" s="65"/>
      <c r="AW267" s="65"/>
      <c r="AX267" s="65"/>
      <c r="AY267" s="65"/>
      <c r="AZ267" s="65"/>
    </row>
    <row r="268" spans="1:52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  <c r="AA268" s="65"/>
      <c r="AB268" s="65"/>
      <c r="AC268" s="65"/>
      <c r="AD268" s="65"/>
      <c r="AE268" s="65"/>
      <c r="AF268" s="65"/>
      <c r="AG268" s="65"/>
      <c r="AH268" s="65"/>
      <c r="AI268" s="65"/>
      <c r="AJ268" s="65"/>
      <c r="AK268" s="65"/>
      <c r="AL268" s="65"/>
      <c r="AM268" s="65"/>
      <c r="AN268" s="65"/>
      <c r="AO268" s="65"/>
      <c r="AP268" s="65"/>
      <c r="AQ268" s="65"/>
      <c r="AR268" s="65"/>
      <c r="AS268" s="65"/>
      <c r="AT268" s="65"/>
      <c r="AU268" s="65"/>
      <c r="AV268" s="65"/>
      <c r="AW268" s="65"/>
      <c r="AX268" s="65"/>
      <c r="AY268" s="65"/>
      <c r="AZ268" s="65"/>
    </row>
    <row r="269" spans="1:52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  <c r="AF269" s="65"/>
      <c r="AG269" s="65"/>
      <c r="AH269" s="65"/>
      <c r="AI269" s="65"/>
      <c r="AJ269" s="65"/>
      <c r="AK269" s="65"/>
      <c r="AL269" s="65"/>
      <c r="AM269" s="65"/>
      <c r="AN269" s="65"/>
      <c r="AO269" s="65"/>
      <c r="AP269" s="65"/>
      <c r="AQ269" s="65"/>
      <c r="AR269" s="65"/>
      <c r="AS269" s="65"/>
      <c r="AT269" s="65"/>
      <c r="AU269" s="65"/>
      <c r="AV269" s="65"/>
      <c r="AW269" s="65"/>
      <c r="AX269" s="65"/>
      <c r="AY269" s="65"/>
      <c r="AZ269" s="65"/>
    </row>
    <row r="270" spans="1:52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  <c r="AN270" s="65"/>
      <c r="AO270" s="65"/>
      <c r="AP270" s="65"/>
      <c r="AQ270" s="65"/>
      <c r="AR270" s="65"/>
      <c r="AS270" s="65"/>
      <c r="AT270" s="65"/>
      <c r="AU270" s="65"/>
      <c r="AV270" s="65"/>
      <c r="AW270" s="65"/>
      <c r="AX270" s="65"/>
      <c r="AY270" s="65"/>
      <c r="AZ270" s="65"/>
    </row>
    <row r="271" spans="1:52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  <c r="AH271" s="65"/>
      <c r="AI271" s="65"/>
      <c r="AJ271" s="65"/>
      <c r="AK271" s="65"/>
      <c r="AL271" s="65"/>
      <c r="AM271" s="65"/>
      <c r="AN271" s="65"/>
      <c r="AO271" s="65"/>
      <c r="AP271" s="65"/>
      <c r="AQ271" s="65"/>
      <c r="AR271" s="65"/>
      <c r="AS271" s="65"/>
      <c r="AT271" s="65"/>
      <c r="AU271" s="65"/>
      <c r="AV271" s="65"/>
      <c r="AW271" s="65"/>
      <c r="AX271" s="65"/>
      <c r="AY271" s="65"/>
      <c r="AZ271" s="65"/>
    </row>
    <row r="272" spans="1:52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AO272" s="65"/>
      <c r="AP272" s="65"/>
      <c r="AQ272" s="65"/>
      <c r="AR272" s="65"/>
      <c r="AS272" s="65"/>
      <c r="AT272" s="65"/>
      <c r="AU272" s="65"/>
      <c r="AV272" s="65"/>
      <c r="AW272" s="65"/>
      <c r="AX272" s="65"/>
      <c r="AY272" s="65"/>
      <c r="AZ272" s="65"/>
    </row>
    <row r="273" spans="1:52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  <c r="AL273" s="65"/>
      <c r="AM273" s="65"/>
      <c r="AN273" s="65"/>
      <c r="AO273" s="65"/>
      <c r="AP273" s="65"/>
      <c r="AQ273" s="65"/>
      <c r="AR273" s="65"/>
      <c r="AS273" s="65"/>
      <c r="AT273" s="65"/>
      <c r="AU273" s="65"/>
      <c r="AV273" s="65"/>
      <c r="AW273" s="65"/>
      <c r="AX273" s="65"/>
      <c r="AY273" s="65"/>
      <c r="AZ273" s="65"/>
    </row>
    <row r="274" spans="1:52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  <c r="AH274" s="65"/>
      <c r="AI274" s="65"/>
      <c r="AJ274" s="65"/>
      <c r="AK274" s="65"/>
      <c r="AL274" s="65"/>
      <c r="AM274" s="65"/>
      <c r="AN274" s="65"/>
      <c r="AO274" s="65"/>
      <c r="AP274" s="65"/>
      <c r="AQ274" s="65"/>
      <c r="AR274" s="65"/>
      <c r="AS274" s="65"/>
      <c r="AT274" s="65"/>
      <c r="AU274" s="65"/>
      <c r="AV274" s="65"/>
      <c r="AW274" s="65"/>
      <c r="AX274" s="65"/>
      <c r="AY274" s="65"/>
      <c r="AZ274" s="65"/>
    </row>
    <row r="275" spans="1:52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  <c r="AF275" s="65"/>
      <c r="AG275" s="65"/>
      <c r="AH275" s="65"/>
      <c r="AI275" s="65"/>
      <c r="AJ275" s="65"/>
      <c r="AK275" s="65"/>
      <c r="AL275" s="65"/>
      <c r="AM275" s="65"/>
      <c r="AN275" s="65"/>
      <c r="AO275" s="65"/>
      <c r="AP275" s="65"/>
      <c r="AQ275" s="65"/>
      <c r="AR275" s="65"/>
      <c r="AS275" s="65"/>
      <c r="AT275" s="65"/>
      <c r="AU275" s="65"/>
      <c r="AV275" s="65"/>
      <c r="AW275" s="65"/>
      <c r="AX275" s="65"/>
      <c r="AY275" s="65"/>
      <c r="AZ275" s="65"/>
    </row>
    <row r="276" spans="1:52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  <c r="AF276" s="65"/>
      <c r="AG276" s="65"/>
      <c r="AH276" s="65"/>
      <c r="AI276" s="65"/>
      <c r="AJ276" s="65"/>
      <c r="AK276" s="65"/>
      <c r="AL276" s="65"/>
      <c r="AM276" s="65"/>
      <c r="AN276" s="65"/>
      <c r="AO276" s="65"/>
      <c r="AP276" s="65"/>
      <c r="AQ276" s="65"/>
      <c r="AR276" s="65"/>
      <c r="AS276" s="65"/>
      <c r="AT276" s="65"/>
      <c r="AU276" s="65"/>
      <c r="AV276" s="65"/>
      <c r="AW276" s="65"/>
      <c r="AX276" s="65"/>
      <c r="AY276" s="65"/>
      <c r="AZ276" s="65"/>
    </row>
    <row r="277" spans="1:52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  <c r="AF277" s="65"/>
      <c r="AG277" s="65"/>
      <c r="AH277" s="65"/>
      <c r="AI277" s="65"/>
      <c r="AJ277" s="65"/>
      <c r="AK277" s="65"/>
      <c r="AL277" s="65"/>
      <c r="AM277" s="65"/>
      <c r="AN277" s="65"/>
      <c r="AO277" s="65"/>
      <c r="AP277" s="65"/>
      <c r="AQ277" s="65"/>
      <c r="AR277" s="65"/>
      <c r="AS277" s="65"/>
      <c r="AT277" s="65"/>
      <c r="AU277" s="65"/>
      <c r="AV277" s="65"/>
      <c r="AW277" s="65"/>
      <c r="AX277" s="65"/>
      <c r="AY277" s="65"/>
      <c r="AZ277" s="65"/>
    </row>
    <row r="278" spans="1:52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  <c r="AF278" s="65"/>
      <c r="AG278" s="65"/>
      <c r="AH278" s="65"/>
      <c r="AI278" s="65"/>
      <c r="AJ278" s="65"/>
      <c r="AK278" s="65"/>
      <c r="AL278" s="65"/>
      <c r="AM278" s="65"/>
      <c r="AN278" s="65"/>
      <c r="AO278" s="65"/>
      <c r="AP278" s="65"/>
      <c r="AQ278" s="65"/>
      <c r="AR278" s="65"/>
      <c r="AS278" s="65"/>
      <c r="AT278" s="65"/>
      <c r="AU278" s="65"/>
      <c r="AV278" s="65"/>
      <c r="AW278" s="65"/>
      <c r="AX278" s="65"/>
      <c r="AY278" s="65"/>
      <c r="AZ278" s="65"/>
    </row>
    <row r="279" spans="1:52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  <c r="AA279" s="65"/>
      <c r="AB279" s="65"/>
      <c r="AC279" s="65"/>
      <c r="AD279" s="65"/>
      <c r="AE279" s="65"/>
      <c r="AF279" s="65"/>
      <c r="AG279" s="65"/>
      <c r="AH279" s="65"/>
      <c r="AI279" s="65"/>
      <c r="AJ279" s="65"/>
      <c r="AK279" s="65"/>
      <c r="AL279" s="65"/>
      <c r="AM279" s="65"/>
      <c r="AN279" s="65"/>
      <c r="AO279" s="65"/>
      <c r="AP279" s="65"/>
      <c r="AQ279" s="65"/>
      <c r="AR279" s="65"/>
      <c r="AS279" s="65"/>
      <c r="AT279" s="65"/>
      <c r="AU279" s="65"/>
      <c r="AV279" s="65"/>
      <c r="AW279" s="65"/>
      <c r="AX279" s="65"/>
      <c r="AY279" s="65"/>
      <c r="AZ279" s="65"/>
    </row>
    <row r="280" spans="1:52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  <c r="AF280" s="65"/>
      <c r="AG280" s="65"/>
      <c r="AH280" s="65"/>
      <c r="AI280" s="65"/>
      <c r="AJ280" s="65"/>
      <c r="AK280" s="65"/>
      <c r="AL280" s="65"/>
      <c r="AM280" s="65"/>
      <c r="AN280" s="65"/>
      <c r="AO280" s="65"/>
      <c r="AP280" s="65"/>
      <c r="AQ280" s="65"/>
      <c r="AR280" s="65"/>
      <c r="AS280" s="65"/>
      <c r="AT280" s="65"/>
      <c r="AU280" s="65"/>
      <c r="AV280" s="65"/>
      <c r="AW280" s="65"/>
      <c r="AX280" s="65"/>
      <c r="AY280" s="65"/>
      <c r="AZ280" s="65"/>
    </row>
    <row r="281" spans="1:52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  <c r="AA281" s="65"/>
      <c r="AB281" s="65"/>
      <c r="AC281" s="65"/>
      <c r="AD281" s="65"/>
      <c r="AE281" s="65"/>
      <c r="AF281" s="65"/>
      <c r="AG281" s="65"/>
      <c r="AH281" s="65"/>
      <c r="AI281" s="65"/>
      <c r="AJ281" s="65"/>
      <c r="AK281" s="65"/>
      <c r="AL281" s="65"/>
      <c r="AM281" s="65"/>
      <c r="AN281" s="65"/>
      <c r="AO281" s="65"/>
      <c r="AP281" s="65"/>
      <c r="AQ281" s="65"/>
      <c r="AR281" s="65"/>
      <c r="AS281" s="65"/>
      <c r="AT281" s="65"/>
      <c r="AU281" s="65"/>
      <c r="AV281" s="65"/>
      <c r="AW281" s="65"/>
      <c r="AX281" s="65"/>
      <c r="AY281" s="65"/>
      <c r="AZ281" s="65"/>
    </row>
    <row r="282" spans="1:52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  <c r="AA282" s="65"/>
      <c r="AB282" s="65"/>
      <c r="AC282" s="65"/>
      <c r="AD282" s="65"/>
      <c r="AE282" s="65"/>
      <c r="AF282" s="65"/>
      <c r="AG282" s="65"/>
      <c r="AH282" s="65"/>
      <c r="AI282" s="65"/>
      <c r="AJ282" s="65"/>
      <c r="AK282" s="65"/>
      <c r="AL282" s="65"/>
      <c r="AM282" s="65"/>
      <c r="AN282" s="65"/>
      <c r="AO282" s="65"/>
      <c r="AP282" s="65"/>
      <c r="AQ282" s="65"/>
      <c r="AR282" s="65"/>
      <c r="AS282" s="65"/>
      <c r="AT282" s="65"/>
      <c r="AU282" s="65"/>
      <c r="AV282" s="65"/>
      <c r="AW282" s="65"/>
      <c r="AX282" s="65"/>
      <c r="AY282" s="65"/>
      <c r="AZ282" s="65"/>
    </row>
    <row r="283" spans="1:52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  <c r="AF283" s="65"/>
      <c r="AG283" s="65"/>
      <c r="AH283" s="65"/>
      <c r="AI283" s="65"/>
      <c r="AJ283" s="65"/>
      <c r="AK283" s="65"/>
      <c r="AL283" s="65"/>
      <c r="AM283" s="65"/>
      <c r="AN283" s="65"/>
      <c r="AO283" s="65"/>
      <c r="AP283" s="65"/>
      <c r="AQ283" s="65"/>
      <c r="AR283" s="65"/>
      <c r="AS283" s="65"/>
      <c r="AT283" s="65"/>
      <c r="AU283" s="65"/>
      <c r="AV283" s="65"/>
      <c r="AW283" s="65"/>
      <c r="AX283" s="65"/>
      <c r="AY283" s="65"/>
      <c r="AZ283" s="65"/>
    </row>
    <row r="284" spans="1:52"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  <c r="AA284" s="65"/>
      <c r="AB284" s="65"/>
      <c r="AC284" s="65"/>
      <c r="AD284" s="65"/>
      <c r="AE284" s="65"/>
      <c r="AF284" s="65"/>
      <c r="AG284" s="65"/>
      <c r="AH284" s="65"/>
      <c r="AI284" s="65"/>
      <c r="AJ284" s="65"/>
      <c r="AK284" s="65"/>
      <c r="AL284" s="65"/>
      <c r="AM284" s="65"/>
      <c r="AN284" s="65"/>
      <c r="AO284" s="65"/>
      <c r="AP284" s="65"/>
      <c r="AQ284" s="65"/>
      <c r="AR284" s="65"/>
      <c r="AS284" s="65"/>
      <c r="AT284" s="65"/>
      <c r="AU284" s="65"/>
      <c r="AV284" s="65"/>
      <c r="AW284" s="65"/>
      <c r="AX284" s="65"/>
      <c r="AY284" s="65"/>
      <c r="AZ284" s="65"/>
    </row>
    <row r="285" spans="1:52"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  <c r="AA285" s="65"/>
      <c r="AB285" s="65"/>
      <c r="AC285" s="65"/>
      <c r="AD285" s="65"/>
      <c r="AE285" s="65"/>
      <c r="AF285" s="65"/>
      <c r="AG285" s="65"/>
      <c r="AH285" s="65"/>
      <c r="AI285" s="65"/>
      <c r="AJ285" s="65"/>
      <c r="AK285" s="65"/>
      <c r="AL285" s="65"/>
      <c r="AM285" s="65"/>
      <c r="AN285" s="65"/>
      <c r="AO285" s="65"/>
      <c r="AP285" s="65"/>
      <c r="AQ285" s="65"/>
      <c r="AR285" s="65"/>
      <c r="AS285" s="65"/>
      <c r="AT285" s="65"/>
      <c r="AU285" s="65"/>
      <c r="AV285" s="65"/>
      <c r="AW285" s="65"/>
      <c r="AX285" s="65"/>
      <c r="AY285" s="65"/>
      <c r="AZ285" s="65"/>
    </row>
    <row r="286" spans="1:52"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  <c r="AA286" s="65"/>
      <c r="AB286" s="65"/>
      <c r="AC286" s="65"/>
      <c r="AD286" s="65"/>
      <c r="AE286" s="65"/>
      <c r="AF286" s="65"/>
      <c r="AG286" s="65"/>
      <c r="AH286" s="65"/>
      <c r="AI286" s="65"/>
      <c r="AJ286" s="65"/>
      <c r="AK286" s="65"/>
      <c r="AL286" s="65"/>
      <c r="AM286" s="65"/>
      <c r="AN286" s="65"/>
      <c r="AO286" s="65"/>
      <c r="AP286" s="65"/>
      <c r="AQ286" s="65"/>
      <c r="AR286" s="65"/>
      <c r="AS286" s="65"/>
      <c r="AT286" s="65"/>
      <c r="AU286" s="65"/>
      <c r="AV286" s="65"/>
      <c r="AW286" s="65"/>
      <c r="AX286" s="65"/>
      <c r="AY286" s="65"/>
      <c r="AZ286" s="65"/>
    </row>
  </sheetData>
  <mergeCells count="14">
    <mergeCell ref="A6:E6"/>
    <mergeCell ref="B33:B34"/>
    <mergeCell ref="A56:B56"/>
    <mergeCell ref="A32:B32"/>
    <mergeCell ref="D32:E32"/>
    <mergeCell ref="D33:D34"/>
    <mergeCell ref="E33:E34"/>
    <mergeCell ref="D56:E56"/>
    <mergeCell ref="A33:A34"/>
    <mergeCell ref="B1:E1"/>
    <mergeCell ref="B2:C2"/>
    <mergeCell ref="D2:E2"/>
    <mergeCell ref="B3:C3"/>
    <mergeCell ref="D3:E3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  <pageSetUpPr fitToPage="1"/>
  </sheetPr>
  <dimension ref="A1:IZ684"/>
  <sheetViews>
    <sheetView topLeftCell="C1" workbookViewId="0">
      <selection activeCell="C10" sqref="C10"/>
    </sheetView>
  </sheetViews>
  <sheetFormatPr defaultColWidth="8.88671875" defaultRowHeight="13.8"/>
  <cols>
    <col min="1" max="1" width="19.44140625" style="1" customWidth="1"/>
    <col min="2" max="2" width="16.5546875" style="1" customWidth="1"/>
    <col min="3" max="3" width="18.109375" style="1" customWidth="1"/>
    <col min="4" max="4" width="20" style="1" customWidth="1"/>
    <col min="5" max="5" width="15.44140625" style="1" customWidth="1"/>
    <col min="6" max="6" width="11.109375" style="1" customWidth="1"/>
    <col min="7" max="7" width="11" style="1" customWidth="1"/>
    <col min="8" max="8" width="14.44140625" style="1" customWidth="1"/>
    <col min="9" max="9" width="9.109375" style="1" bestFit="1" customWidth="1"/>
    <col min="10" max="10" width="9.6640625" style="1" customWidth="1"/>
    <col min="11" max="11" width="18" style="1" customWidth="1"/>
    <col min="12" max="12" width="16.88671875" style="1" customWidth="1"/>
    <col min="13" max="13" width="11.6640625" style="1" customWidth="1"/>
    <col min="14" max="14" width="13.6640625" style="1" customWidth="1"/>
    <col min="15" max="15" width="14.88671875" style="1" bestFit="1" customWidth="1"/>
    <col min="16" max="16" width="15.44140625" style="1" bestFit="1" customWidth="1"/>
    <col min="17" max="17" width="12.109375" style="1" customWidth="1"/>
    <col min="18" max="18" width="10.88671875" style="1" customWidth="1"/>
    <col min="19" max="19" width="9.88671875" style="1" customWidth="1"/>
    <col min="20" max="20" width="12" style="1" customWidth="1"/>
    <col min="21" max="21" width="15.5546875" style="1" customWidth="1"/>
    <col min="22" max="22" width="9" style="1" customWidth="1"/>
    <col min="23" max="23" width="10.5546875" style="1" bestFit="1" customWidth="1"/>
    <col min="24" max="24" width="15.6640625" style="1" bestFit="1" customWidth="1"/>
    <col min="25" max="25" width="9.6640625" style="1" customWidth="1"/>
    <col min="26" max="26" width="18.33203125" style="1" customWidth="1"/>
    <col min="27" max="27" width="13" style="1" customWidth="1"/>
    <col min="28" max="28" width="12.5546875" style="77" customWidth="1"/>
    <col min="29" max="29" width="12.33203125" style="77" customWidth="1"/>
    <col min="30" max="30" width="12" style="77" customWidth="1"/>
    <col min="31" max="36" width="8.88671875" style="77"/>
    <col min="37" max="37" width="10.5546875" style="77" bestFit="1" customWidth="1"/>
    <col min="38" max="260" width="8.88671875" style="77"/>
    <col min="261" max="16384" width="8.88671875" style="1"/>
  </cols>
  <sheetData>
    <row r="1" spans="1:27" ht="18" customHeight="1">
      <c r="A1" s="366" t="s">
        <v>49</v>
      </c>
      <c r="B1" s="366"/>
      <c r="C1" s="366"/>
      <c r="D1" s="366"/>
      <c r="E1" s="77"/>
      <c r="F1" s="77"/>
      <c r="G1" s="77"/>
      <c r="H1" s="77"/>
      <c r="I1" s="77"/>
      <c r="J1" s="77"/>
      <c r="K1" s="77"/>
      <c r="L1" s="89"/>
      <c r="M1" s="89"/>
      <c r="N1" s="89"/>
      <c r="O1" s="89"/>
      <c r="P1" s="89"/>
      <c r="Q1" s="89"/>
      <c r="R1" s="89"/>
      <c r="S1" s="89"/>
      <c r="T1" s="89"/>
      <c r="U1" s="65"/>
      <c r="V1" s="77"/>
      <c r="W1" s="77"/>
      <c r="X1" s="77"/>
      <c r="Y1" s="77"/>
      <c r="Z1" s="77"/>
      <c r="AA1" s="77"/>
    </row>
    <row r="2" spans="1:27" ht="18" customHeight="1">
      <c r="A2" s="367" t="s">
        <v>50</v>
      </c>
      <c r="B2" s="367"/>
      <c r="C2" s="368">
        <f>D32</f>
        <v>436813635</v>
      </c>
      <c r="D2" s="368"/>
      <c r="E2" s="77"/>
      <c r="F2" s="77"/>
      <c r="G2" s="77"/>
      <c r="H2" s="77"/>
      <c r="I2" s="77"/>
      <c r="J2" s="77"/>
      <c r="K2" s="89"/>
      <c r="L2" s="89"/>
      <c r="M2" s="89"/>
      <c r="N2" s="89"/>
      <c r="O2" s="89"/>
      <c r="P2" s="89"/>
      <c r="Q2" s="89"/>
      <c r="R2" s="89"/>
      <c r="S2" s="89"/>
      <c r="T2" s="65"/>
      <c r="U2" s="77"/>
      <c r="V2" s="77"/>
      <c r="W2" s="77"/>
      <c r="X2" s="77"/>
      <c r="Y2" s="77"/>
      <c r="Z2" s="77"/>
      <c r="AA2" s="77"/>
    </row>
    <row r="3" spans="1:27" ht="18" customHeight="1">
      <c r="A3" s="367" t="s">
        <v>51</v>
      </c>
      <c r="B3" s="367"/>
      <c r="C3" s="368">
        <f>E32</f>
        <v>138555235.17970648</v>
      </c>
      <c r="D3" s="368"/>
      <c r="E3" s="77"/>
      <c r="F3" s="106"/>
      <c r="G3" s="106"/>
      <c r="H3" s="77"/>
      <c r="I3" s="77"/>
      <c r="J3" s="77"/>
      <c r="K3" s="89"/>
      <c r="L3" s="89"/>
      <c r="M3" s="89"/>
      <c r="N3" s="89"/>
      <c r="O3" s="89"/>
      <c r="P3" s="89"/>
      <c r="Q3" s="89"/>
      <c r="R3" s="89"/>
      <c r="S3" s="89"/>
      <c r="T3" s="65"/>
      <c r="U3" s="77"/>
      <c r="V3" s="77"/>
      <c r="W3" s="77"/>
      <c r="X3" s="77"/>
      <c r="Y3" s="77"/>
      <c r="Z3" s="77"/>
      <c r="AA3" s="77"/>
    </row>
    <row r="4" spans="1:27" ht="18" customHeight="1">
      <c r="A4" s="106"/>
      <c r="B4" s="106"/>
      <c r="C4" s="77"/>
      <c r="D4" s="77"/>
      <c r="E4" s="77"/>
      <c r="F4" s="106"/>
      <c r="G4" s="106"/>
      <c r="H4" s="77"/>
      <c r="I4" s="77"/>
      <c r="J4" s="77"/>
      <c r="K4" s="89"/>
      <c r="L4" s="89"/>
      <c r="M4" s="89"/>
      <c r="N4" s="89"/>
      <c r="O4" s="89"/>
      <c r="P4" s="89"/>
      <c r="Q4" s="89"/>
      <c r="R4" s="89"/>
      <c r="S4" s="89"/>
      <c r="T4" s="65"/>
      <c r="U4" s="77"/>
      <c r="V4" s="77"/>
      <c r="W4" s="77"/>
      <c r="X4" s="77"/>
      <c r="Y4" s="77"/>
      <c r="Z4" s="77"/>
      <c r="AA4" s="77"/>
    </row>
    <row r="5" spans="1:27" ht="18" customHeight="1">
      <c r="A5" s="106"/>
      <c r="B5" s="106"/>
      <c r="C5" s="77"/>
      <c r="D5" s="77"/>
      <c r="E5" s="77"/>
      <c r="F5" s="106"/>
      <c r="G5" s="106"/>
      <c r="H5" s="77"/>
      <c r="I5" s="77"/>
      <c r="J5" s="77"/>
      <c r="K5" s="89"/>
      <c r="L5" s="89"/>
      <c r="M5" s="89"/>
      <c r="N5" s="89"/>
      <c r="O5" s="89"/>
      <c r="P5" s="89"/>
      <c r="Q5" s="89"/>
      <c r="R5" s="89"/>
      <c r="S5" s="89"/>
      <c r="T5" s="65"/>
      <c r="U5" s="77"/>
      <c r="V5" s="77"/>
      <c r="W5" s="77"/>
      <c r="X5" s="77"/>
      <c r="Y5" s="77"/>
      <c r="Z5" s="77"/>
      <c r="AA5" s="77"/>
    </row>
    <row r="6" spans="1:27" ht="18" customHeight="1">
      <c r="A6" s="366" t="s">
        <v>52</v>
      </c>
      <c r="B6" s="366"/>
      <c r="C6" s="366"/>
      <c r="D6" s="366"/>
      <c r="E6" s="366"/>
      <c r="F6" s="106"/>
      <c r="G6" s="106"/>
      <c r="H6" s="77"/>
      <c r="I6" s="77"/>
      <c r="J6" s="77"/>
      <c r="K6" s="89"/>
      <c r="L6" s="89"/>
      <c r="M6" s="89"/>
      <c r="N6" s="89"/>
      <c r="O6" s="89"/>
      <c r="P6" s="89"/>
      <c r="Q6" s="89"/>
      <c r="R6" s="89"/>
      <c r="S6" s="89"/>
      <c r="T6" s="65"/>
      <c r="U6" s="77"/>
      <c r="V6" s="77"/>
      <c r="W6" s="77"/>
      <c r="X6" s="77"/>
      <c r="Y6" s="77"/>
      <c r="Z6" s="77"/>
      <c r="AA6" s="77"/>
    </row>
    <row r="7" spans="1:27" ht="13.95" customHeight="1">
      <c r="A7" s="354" t="s">
        <v>39</v>
      </c>
      <c r="B7" s="354" t="s">
        <v>30</v>
      </c>
      <c r="C7" s="354"/>
      <c r="D7" s="404" t="s">
        <v>50</v>
      </c>
      <c r="E7" s="404" t="s">
        <v>51</v>
      </c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</row>
    <row r="8" spans="1:27" ht="13.2" customHeight="1">
      <c r="A8" s="354"/>
      <c r="B8" s="404" t="s">
        <v>53</v>
      </c>
      <c r="C8" s="404" t="s">
        <v>54</v>
      </c>
      <c r="D8" s="404"/>
      <c r="E8" s="404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</row>
    <row r="9" spans="1:27" ht="14.4" thickBot="1">
      <c r="A9" s="406"/>
      <c r="B9" s="405"/>
      <c r="C9" s="405"/>
      <c r="D9" s="405"/>
      <c r="E9" s="405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</row>
    <row r="10" spans="1:27" ht="14.4" thickTop="1">
      <c r="A10" s="66">
        <v>2027</v>
      </c>
      <c r="B10" s="29">
        <f>K38</f>
        <v>32683700</v>
      </c>
      <c r="C10" s="4">
        <f t="shared" ref="C10:C31" si="0">AK38</f>
        <v>17440022</v>
      </c>
      <c r="D10" s="208">
        <f>ROUND(B10-C10,0)</f>
        <v>15243678</v>
      </c>
      <c r="E10" s="209">
        <f>D10*INDEX(NPV!$C$3:$C$42,MATCH(Safety!$A10,NPV!$B$3:$B$42,0))</f>
        <v>9492996.5398718193</v>
      </c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</row>
    <row r="11" spans="1:27">
      <c r="A11" s="66">
        <f t="shared" ref="A11:A31" si="1">A10+1</f>
        <v>2028</v>
      </c>
      <c r="B11" s="29">
        <f t="shared" ref="B11:B31" si="2">K39</f>
        <v>32692200</v>
      </c>
      <c r="C11" s="4">
        <f t="shared" si="0"/>
        <v>17444558</v>
      </c>
      <c r="D11" s="208">
        <f t="shared" ref="D11:D30" si="3">ROUND(B11-C11,0)</f>
        <v>15247642</v>
      </c>
      <c r="E11" s="209">
        <f>D11*INDEX(NPV!$C$3:$C$42,MATCH(Safety!$A11,NPV!$B$3:$B$42,0))</f>
        <v>8874266.4671482705</v>
      </c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</row>
    <row r="12" spans="1:27">
      <c r="A12" s="66">
        <f t="shared" si="1"/>
        <v>2029</v>
      </c>
      <c r="B12" s="29">
        <f t="shared" si="2"/>
        <v>32856400</v>
      </c>
      <c r="C12" s="4">
        <f t="shared" si="0"/>
        <v>17532175</v>
      </c>
      <c r="D12" s="208">
        <f t="shared" si="3"/>
        <v>15324225</v>
      </c>
      <c r="E12" s="209">
        <f>D12*INDEX(NPV!$C$3:$C$42,MATCH(Safety!$A12,NPV!$B$3:$B$42,0))</f>
        <v>8335363.0564515665</v>
      </c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</row>
    <row r="13" spans="1:27">
      <c r="A13" s="66">
        <f t="shared" si="1"/>
        <v>2030</v>
      </c>
      <c r="B13" s="29">
        <f t="shared" si="2"/>
        <v>32938200</v>
      </c>
      <c r="C13" s="4">
        <f t="shared" si="0"/>
        <v>17575824</v>
      </c>
      <c r="D13" s="208">
        <f t="shared" si="3"/>
        <v>15362376</v>
      </c>
      <c r="E13" s="209">
        <f>D13*INDEX(NPV!$C$3:$C$42,MATCH(Safety!$A13,NPV!$B$3:$B$42,0))</f>
        <v>7809452.9651073776</v>
      </c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</row>
    <row r="14" spans="1:27">
      <c r="A14" s="66">
        <f t="shared" si="1"/>
        <v>2031</v>
      </c>
      <c r="B14" s="29">
        <f t="shared" si="2"/>
        <v>32951300</v>
      </c>
      <c r="C14" s="4">
        <f t="shared" si="0"/>
        <v>17582814</v>
      </c>
      <c r="D14" s="208">
        <f t="shared" si="3"/>
        <v>15368486</v>
      </c>
      <c r="E14" s="209">
        <f>D14*INDEX(NPV!$C$3:$C$42,MATCH(Safety!$A14,NPV!$B$3:$B$42,0))</f>
        <v>7301456.9899834767</v>
      </c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</row>
    <row r="15" spans="1:27">
      <c r="A15" s="66">
        <f t="shared" si="1"/>
        <v>2032</v>
      </c>
      <c r="B15" s="29">
        <f t="shared" si="2"/>
        <v>33110900</v>
      </c>
      <c r="C15" s="4">
        <f t="shared" si="0"/>
        <v>17667976</v>
      </c>
      <c r="D15" s="208">
        <f t="shared" si="3"/>
        <v>15442924</v>
      </c>
      <c r="E15" s="209">
        <f>D15*INDEX(NPV!$C$3:$C$42,MATCH(Safety!$A15,NPV!$B$3:$B$42,0))</f>
        <v>6856842.9416457722</v>
      </c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</row>
    <row r="16" spans="1:27">
      <c r="A16" s="66">
        <f t="shared" si="1"/>
        <v>2033</v>
      </c>
      <c r="B16" s="29">
        <f t="shared" si="2"/>
        <v>44719400</v>
      </c>
      <c r="C16" s="4">
        <f t="shared" si="0"/>
        <v>23862272</v>
      </c>
      <c r="D16" s="208">
        <f t="shared" si="3"/>
        <v>20857128</v>
      </c>
      <c r="E16" s="209">
        <f>D16*INDEX(NPV!$C$3:$C$42,MATCH(Safety!$A16,NPV!$B$3:$B$42,0))</f>
        <v>8654966.6050605588</v>
      </c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</row>
    <row r="17" spans="1:27">
      <c r="A17" s="66">
        <f t="shared" si="1"/>
        <v>2034</v>
      </c>
      <c r="B17" s="29">
        <f t="shared" si="2"/>
        <v>44809700</v>
      </c>
      <c r="C17" s="4">
        <f t="shared" si="0"/>
        <v>23910456</v>
      </c>
      <c r="D17" s="208">
        <f t="shared" si="3"/>
        <v>20899244</v>
      </c>
      <c r="E17" s="209">
        <f>D17*INDEX(NPV!$C$3:$C$42,MATCH(Safety!$A17,NPV!$B$3:$B$42,0))</f>
        <v>8105087.1474278811</v>
      </c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</row>
    <row r="18" spans="1:27">
      <c r="A18" s="66">
        <f t="shared" si="1"/>
        <v>2035</v>
      </c>
      <c r="B18" s="29">
        <f>K46</f>
        <v>45524100</v>
      </c>
      <c r="C18" s="4">
        <f t="shared" si="0"/>
        <v>24291660</v>
      </c>
      <c r="D18" s="208">
        <f t="shared" si="3"/>
        <v>21232440</v>
      </c>
      <c r="E18" s="209">
        <f>D18*INDEX(NPV!$C$3:$C$42,MATCH(Safety!$A18,NPV!$B$3:$B$42,0))</f>
        <v>7695613.365295223</v>
      </c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</row>
    <row r="19" spans="1:27">
      <c r="A19" s="66">
        <f t="shared" si="1"/>
        <v>2036</v>
      </c>
      <c r="B19" s="29">
        <f t="shared" si="2"/>
        <v>45528700</v>
      </c>
      <c r="C19" s="4">
        <f t="shared" si="0"/>
        <v>24294114</v>
      </c>
      <c r="D19" s="208">
        <f>ROUND(B19-C19,0)</f>
        <v>21234586</v>
      </c>
      <c r="E19" s="209">
        <f>D19*INDEX(NPV!$C$3:$C$42,MATCH(Safety!$A19,NPV!$B$3:$B$42,0))</f>
        <v>7192888.9480872676</v>
      </c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</row>
    <row r="20" spans="1:27">
      <c r="A20" s="66">
        <f t="shared" si="1"/>
        <v>2037</v>
      </c>
      <c r="B20" s="29">
        <f t="shared" si="2"/>
        <v>45619000</v>
      </c>
      <c r="C20" s="4">
        <f t="shared" si="0"/>
        <v>24342298</v>
      </c>
      <c r="D20" s="208">
        <f t="shared" si="3"/>
        <v>21276702</v>
      </c>
      <c r="E20" s="209">
        <f>D20*INDEX(NPV!$C$3:$C$42,MATCH(Safety!$A20,NPV!$B$3:$B$42,0))</f>
        <v>6735658.9667365141</v>
      </c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</row>
    <row r="21" spans="1:27">
      <c r="A21" s="66">
        <f t="shared" si="1"/>
        <v>2038</v>
      </c>
      <c r="B21" s="29">
        <f t="shared" si="2"/>
        <v>45783200</v>
      </c>
      <c r="C21" s="4">
        <f t="shared" si="0"/>
        <v>24429916</v>
      </c>
      <c r="D21" s="208">
        <f t="shared" si="3"/>
        <v>21353284</v>
      </c>
      <c r="E21" s="209">
        <f>D21*INDEX(NPV!$C$3:$C$42,MATCH(Safety!$A21,NPV!$B$3:$B$42,0))</f>
        <v>6317666.230567323</v>
      </c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</row>
    <row r="22" spans="1:27">
      <c r="A22" s="66">
        <f t="shared" si="1"/>
        <v>2039</v>
      </c>
      <c r="B22" s="29">
        <f t="shared" si="2"/>
        <v>45791700</v>
      </c>
      <c r="C22" s="4">
        <f t="shared" si="0"/>
        <v>24434451</v>
      </c>
      <c r="D22" s="208">
        <f t="shared" si="3"/>
        <v>21357249</v>
      </c>
      <c r="E22" s="209">
        <f>D22*INDEX(NPV!$C$3:$C$42,MATCH(Safety!$A22,NPV!$B$3:$B$42,0))</f>
        <v>5905457.3186874185</v>
      </c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</row>
    <row r="23" spans="1:27">
      <c r="A23" s="66">
        <f t="shared" si="1"/>
        <v>2040</v>
      </c>
      <c r="B23" s="29">
        <f t="shared" si="2"/>
        <v>45951300</v>
      </c>
      <c r="C23" s="4">
        <f t="shared" si="0"/>
        <v>24519614</v>
      </c>
      <c r="D23" s="208">
        <f t="shared" si="3"/>
        <v>21431686</v>
      </c>
      <c r="E23" s="209">
        <f>D23*INDEX(NPV!$C$3:$C$42,MATCH(Safety!$A23,NPV!$B$3:$B$42,0))</f>
        <v>5538354.9247399503</v>
      </c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</row>
    <row r="24" spans="1:27">
      <c r="A24" s="66">
        <f t="shared" si="1"/>
        <v>2041</v>
      </c>
      <c r="B24" s="29">
        <f t="shared" si="2"/>
        <v>46041600</v>
      </c>
      <c r="C24" s="4">
        <f t="shared" si="0"/>
        <v>24567798</v>
      </c>
      <c r="D24" s="208">
        <f>ROUND(B24-C24,0)</f>
        <v>21473802</v>
      </c>
      <c r="E24" s="209">
        <f>D24*INDEX(NPV!$C$3:$C$42,MATCH(Safety!$A24,NPV!$B$3:$B$42,0))</f>
        <v>5186204.2051051017</v>
      </c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</row>
    <row r="25" spans="1:27">
      <c r="A25" s="66">
        <f t="shared" si="1"/>
        <v>2042</v>
      </c>
      <c r="B25" s="29">
        <f t="shared" si="2"/>
        <v>46609500</v>
      </c>
      <c r="C25" s="4">
        <f t="shared" si="0"/>
        <v>24870829</v>
      </c>
      <c r="D25" s="208">
        <f t="shared" si="3"/>
        <v>21738671</v>
      </c>
      <c r="E25" s="209">
        <f>D25*INDEX(NPV!$C$3:$C$42,MATCH(Safety!$A25,NPV!$B$3:$B$42,0))</f>
        <v>4906704.2382031325</v>
      </c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</row>
    <row r="26" spans="1:27">
      <c r="A26" s="66">
        <f t="shared" si="1"/>
        <v>2043</v>
      </c>
      <c r="B26" s="29">
        <f t="shared" si="2"/>
        <v>46846300</v>
      </c>
      <c r="C26" s="4">
        <f t="shared" si="0"/>
        <v>24997186</v>
      </c>
      <c r="D26" s="208">
        <f t="shared" si="3"/>
        <v>21849114</v>
      </c>
      <c r="E26" s="209">
        <f>D26*INDEX(NPV!$C$3:$C$42,MATCH(Safety!$A26,NPV!$B$3:$B$42,0))</f>
        <v>4609002.5021542404</v>
      </c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</row>
    <row r="27" spans="1:27">
      <c r="A27" s="66">
        <f t="shared" si="1"/>
        <v>2044</v>
      </c>
      <c r="B27" s="29">
        <f t="shared" si="2"/>
        <v>46859400</v>
      </c>
      <c r="C27" s="4">
        <f t="shared" si="0"/>
        <v>25004176</v>
      </c>
      <c r="D27" s="208">
        <f t="shared" si="3"/>
        <v>21855224</v>
      </c>
      <c r="E27" s="209">
        <f>D27*INDEX(NPV!$C$3:$C$42,MATCH(Safety!$A27,NPV!$B$3:$B$42,0))</f>
        <v>4308683.5398238134</v>
      </c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</row>
    <row r="28" spans="1:27">
      <c r="A28" s="66">
        <f t="shared" si="1"/>
        <v>2045</v>
      </c>
      <c r="B28" s="29">
        <f t="shared" si="2"/>
        <v>47023600</v>
      </c>
      <c r="C28" s="4">
        <f t="shared" si="0"/>
        <v>25091793</v>
      </c>
      <c r="D28" s="208">
        <f t="shared" si="3"/>
        <v>21931807</v>
      </c>
      <c r="E28" s="209">
        <f>D28*INDEX(NPV!$C$3:$C$42,MATCH(Safety!$A28,NPV!$B$3:$B$42,0))</f>
        <v>4040917.4013264966</v>
      </c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</row>
    <row r="29" spans="1:27">
      <c r="A29" s="66">
        <f t="shared" si="1"/>
        <v>2046</v>
      </c>
      <c r="B29" s="29">
        <f t="shared" si="2"/>
        <v>47109300</v>
      </c>
      <c r="C29" s="4">
        <f t="shared" si="0"/>
        <v>25137522</v>
      </c>
      <c r="D29" s="208">
        <f t="shared" si="3"/>
        <v>21971778</v>
      </c>
      <c r="E29" s="209">
        <f>D29*INDEX(NPV!$C$3:$C$42,MATCH(Safety!$A29,NPV!$B$3:$B$42,0))</f>
        <v>3783441.1450478868</v>
      </c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</row>
    <row r="30" spans="1:27">
      <c r="A30" s="66">
        <f t="shared" si="1"/>
        <v>2047</v>
      </c>
      <c r="B30" s="300">
        <f t="shared" si="2"/>
        <v>47273500</v>
      </c>
      <c r="C30" s="301">
        <f t="shared" si="0"/>
        <v>25225140</v>
      </c>
      <c r="D30" s="302">
        <f t="shared" si="3"/>
        <v>22048360</v>
      </c>
      <c r="E30" s="303">
        <f>D30*INDEX(NPV!$C$3:$C$42,MATCH(Safety!$A30,NPV!$B$3:$B$42,0))</f>
        <v>3548250.6731716706</v>
      </c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</row>
    <row r="31" spans="1:27" ht="14.4" thickBot="1">
      <c r="A31" s="299">
        <f t="shared" si="1"/>
        <v>2048</v>
      </c>
      <c r="B31" s="47">
        <f t="shared" si="2"/>
        <v>47841400</v>
      </c>
      <c r="C31" s="48">
        <f t="shared" si="0"/>
        <v>25528171</v>
      </c>
      <c r="D31" s="210">
        <f>ROUND(B31-C31,0)</f>
        <v>22313229</v>
      </c>
      <c r="E31" s="211">
        <f>D31*INDEX(NPV!$C$3:$C$42,MATCH(Safety!$A31,NPV!$B$3:$B$42,0))</f>
        <v>3355959.0080637042</v>
      </c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</row>
    <row r="32" spans="1:27" ht="14.4" thickTop="1">
      <c r="A32" s="61" t="s">
        <v>16</v>
      </c>
      <c r="B32" s="40">
        <f>SUM(B10:B31)</f>
        <v>936564400</v>
      </c>
      <c r="C32" s="45">
        <f>SUM(C10:C31)</f>
        <v>499750765</v>
      </c>
      <c r="D32" s="212">
        <f>SUM(D10:D31)</f>
        <v>436813635</v>
      </c>
      <c r="E32" s="213">
        <f>SUM(E10:E31)</f>
        <v>138555235.17970648</v>
      </c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</row>
    <row r="33" spans="1:260" ht="18" customHeight="1">
      <c r="A33" s="106"/>
      <c r="B33" s="106"/>
      <c r="C33" s="77"/>
      <c r="D33" s="77"/>
      <c r="E33" s="77"/>
      <c r="F33" s="106"/>
      <c r="G33" s="106"/>
      <c r="H33" s="77"/>
      <c r="I33" s="77"/>
      <c r="J33" s="77"/>
      <c r="K33" s="89"/>
      <c r="L33" s="89"/>
      <c r="M33" s="89"/>
      <c r="N33" s="89"/>
      <c r="O33" s="89"/>
      <c r="P33" s="89"/>
      <c r="Q33" s="89"/>
      <c r="R33" s="89"/>
      <c r="S33" s="89"/>
      <c r="T33" s="65"/>
      <c r="U33" s="77"/>
      <c r="V33" s="77"/>
      <c r="W33" s="77"/>
      <c r="X33" s="77"/>
      <c r="Y33" s="77"/>
      <c r="Z33" s="77"/>
      <c r="AA33" s="77"/>
    </row>
    <row r="34" spans="1:260" ht="14.4">
      <c r="A34" s="10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89"/>
      <c r="M34" s="89"/>
      <c r="N34" s="89"/>
      <c r="O34" s="89"/>
      <c r="P34" s="89"/>
      <c r="Q34" s="89"/>
      <c r="R34" s="89"/>
      <c r="S34" s="89"/>
      <c r="T34" s="89"/>
      <c r="U34" s="65"/>
      <c r="V34" s="77"/>
      <c r="W34" s="77"/>
      <c r="X34" s="379" t="s">
        <v>216</v>
      </c>
      <c r="Y34" s="379"/>
      <c r="Z34" s="379"/>
      <c r="AA34" s="379"/>
      <c r="AB34" s="379"/>
      <c r="AC34" s="379"/>
      <c r="AD34" s="379"/>
      <c r="AE34" s="379" t="s">
        <v>217</v>
      </c>
      <c r="AF34" s="379"/>
      <c r="AG34" s="379"/>
      <c r="AH34" s="379"/>
      <c r="AI34" s="379"/>
      <c r="AJ34" s="379"/>
      <c r="AK34" s="379"/>
    </row>
    <row r="35" spans="1:260" ht="13.95" customHeight="1">
      <c r="A35" s="392" t="s">
        <v>39</v>
      </c>
      <c r="B35" s="392" t="s">
        <v>55</v>
      </c>
      <c r="C35" s="357" t="s">
        <v>56</v>
      </c>
      <c r="D35" s="378"/>
      <c r="E35" s="378"/>
      <c r="F35" s="378"/>
      <c r="G35" s="378"/>
      <c r="H35" s="378"/>
      <c r="I35" s="378"/>
      <c r="J35" s="378"/>
      <c r="K35" s="358"/>
      <c r="L35" s="84"/>
      <c r="M35" s="392" t="s">
        <v>39</v>
      </c>
      <c r="N35" s="392" t="s">
        <v>191</v>
      </c>
      <c r="O35" s="357" t="s">
        <v>57</v>
      </c>
      <c r="P35" s="378"/>
      <c r="Q35" s="378"/>
      <c r="R35" s="378"/>
      <c r="S35" s="378"/>
      <c r="T35" s="378"/>
      <c r="U35" s="378"/>
      <c r="V35" s="378"/>
      <c r="W35" s="358"/>
      <c r="X35" s="357" t="s">
        <v>214</v>
      </c>
      <c r="Y35" s="378"/>
      <c r="Z35" s="378"/>
      <c r="AA35" s="378"/>
      <c r="AB35" s="378"/>
      <c r="AC35" s="378"/>
      <c r="AD35" s="378"/>
      <c r="AE35" s="357" t="s">
        <v>214</v>
      </c>
      <c r="AF35" s="378"/>
      <c r="AG35" s="378"/>
      <c r="AH35" s="378"/>
      <c r="AI35" s="378"/>
      <c r="AJ35" s="378"/>
      <c r="AK35" s="378"/>
      <c r="IZ35" s="1"/>
    </row>
    <row r="36" spans="1:260" ht="13.2" customHeight="1">
      <c r="A36" s="393"/>
      <c r="B36" s="393"/>
      <c r="C36" s="376" t="s">
        <v>58</v>
      </c>
      <c r="D36" s="376" t="s">
        <v>59</v>
      </c>
      <c r="E36" s="376" t="s">
        <v>60</v>
      </c>
      <c r="F36" s="381" t="s">
        <v>61</v>
      </c>
      <c r="G36" s="382"/>
      <c r="H36" s="382"/>
      <c r="I36" s="382"/>
      <c r="J36" s="383"/>
      <c r="K36" s="376" t="s">
        <v>30</v>
      </c>
      <c r="L36" s="84"/>
      <c r="M36" s="393"/>
      <c r="N36" s="393"/>
      <c r="O36" s="376" t="s">
        <v>58</v>
      </c>
      <c r="P36" s="376" t="s">
        <v>59</v>
      </c>
      <c r="Q36" s="376" t="s">
        <v>60</v>
      </c>
      <c r="R36" s="381" t="s">
        <v>61</v>
      </c>
      <c r="S36" s="382"/>
      <c r="T36" s="382"/>
      <c r="U36" s="382"/>
      <c r="V36" s="383"/>
      <c r="W36" s="376" t="s">
        <v>30</v>
      </c>
      <c r="X36" s="376" t="s">
        <v>60</v>
      </c>
      <c r="Y36" s="381" t="s">
        <v>61</v>
      </c>
      <c r="Z36" s="382"/>
      <c r="AA36" s="382"/>
      <c r="AB36" s="382"/>
      <c r="AC36" s="383"/>
      <c r="AD36" s="376" t="s">
        <v>30</v>
      </c>
      <c r="AE36" s="376" t="s">
        <v>60</v>
      </c>
      <c r="AF36" s="381" t="s">
        <v>61</v>
      </c>
      <c r="AG36" s="382"/>
      <c r="AH36" s="382"/>
      <c r="AI36" s="382"/>
      <c r="AJ36" s="383"/>
      <c r="AK36" s="376" t="s">
        <v>30</v>
      </c>
      <c r="IZ36" s="1"/>
    </row>
    <row r="37" spans="1:260" ht="42" thickBot="1">
      <c r="A37" s="394"/>
      <c r="B37" s="394"/>
      <c r="C37" s="380"/>
      <c r="D37" s="380"/>
      <c r="E37" s="380"/>
      <c r="F37" s="228" t="s">
        <v>62</v>
      </c>
      <c r="G37" s="228" t="s">
        <v>63</v>
      </c>
      <c r="H37" s="228" t="s">
        <v>64</v>
      </c>
      <c r="I37" s="228" t="s">
        <v>65</v>
      </c>
      <c r="J37" s="227" t="s">
        <v>66</v>
      </c>
      <c r="K37" s="380"/>
      <c r="L37" s="87"/>
      <c r="M37" s="394"/>
      <c r="N37" s="394"/>
      <c r="O37" s="380"/>
      <c r="P37" s="380"/>
      <c r="Q37" s="380"/>
      <c r="R37" s="228" t="s">
        <v>62</v>
      </c>
      <c r="S37" s="6" t="s">
        <v>63</v>
      </c>
      <c r="T37" s="6" t="s">
        <v>64</v>
      </c>
      <c r="U37" s="6" t="s">
        <v>65</v>
      </c>
      <c r="V37" s="5" t="s">
        <v>66</v>
      </c>
      <c r="W37" s="377"/>
      <c r="X37" s="380"/>
      <c r="Y37" s="269" t="s">
        <v>62</v>
      </c>
      <c r="Z37" s="270" t="s">
        <v>63</v>
      </c>
      <c r="AA37" s="270" t="s">
        <v>64</v>
      </c>
      <c r="AB37" s="270" t="s">
        <v>65</v>
      </c>
      <c r="AC37" s="271" t="s">
        <v>66</v>
      </c>
      <c r="AD37" s="377"/>
      <c r="AE37" s="380"/>
      <c r="AF37" s="269" t="s">
        <v>62</v>
      </c>
      <c r="AG37" s="270" t="s">
        <v>63</v>
      </c>
      <c r="AH37" s="270" t="s">
        <v>64</v>
      </c>
      <c r="AI37" s="270" t="s">
        <v>65</v>
      </c>
      <c r="AJ37" s="271" t="s">
        <v>66</v>
      </c>
      <c r="AK37" s="377"/>
      <c r="IZ37" s="1"/>
    </row>
    <row r="38" spans="1:260" ht="14.4" thickTop="1">
      <c r="A38" s="66">
        <v>2027</v>
      </c>
      <c r="B38" s="11">
        <f>'Travel Time'!B71</f>
        <v>21126</v>
      </c>
      <c r="C38" s="12">
        <f t="shared" ref="C38:C59" si="4">ROUND(B38*$B$108,0)</f>
        <v>96</v>
      </c>
      <c r="D38" s="27">
        <f t="shared" ref="D38:D59" si="5">ROUND(C38*$B$104,0)</f>
        <v>162</v>
      </c>
      <c r="E38" s="2">
        <f t="shared" ref="E38:E59" si="6">ROUND(C38*$I$73*$B$104,0)</f>
        <v>81</v>
      </c>
      <c r="F38" s="12">
        <f t="shared" ref="F38:F59" si="7">ROUND(C38*$I$73,0)</f>
        <v>48</v>
      </c>
      <c r="G38" s="2">
        <f t="shared" ref="G38:G59" si="8">ROUND(C38*$I$71,0)</f>
        <v>17</v>
      </c>
      <c r="H38" s="28">
        <f t="shared" ref="H38:H59" si="9">ROUND(C38*$I$69,0)</f>
        <v>21</v>
      </c>
      <c r="I38" s="3">
        <f t="shared" ref="I38:I59" si="10">ROUND(C38*$I$67,0)</f>
        <v>8</v>
      </c>
      <c r="J38" s="30">
        <f t="shared" ref="J38:J59" si="11">ROUND(C38*$I$65,0)</f>
        <v>2</v>
      </c>
      <c r="K38" s="137">
        <f t="shared" ref="K38:K59" si="12">ROUND((E38*$B$81)+(F38*$B$86)+(G38*$B$87)+(H38*$B$88)+(I38*$B$89)+(J38*$B$90),0)</f>
        <v>32683700</v>
      </c>
      <c r="L38" s="77"/>
      <c r="M38" s="66">
        <f>A38</f>
        <v>2027</v>
      </c>
      <c r="N38" s="67">
        <f>'Travel Time'!E71</f>
        <v>21126</v>
      </c>
      <c r="O38" s="12">
        <f t="shared" ref="O38:O59" si="13">ROUND(N38*$B$108,0)</f>
        <v>96</v>
      </c>
      <c r="P38" s="27">
        <f t="shared" ref="P38:P59" si="14">ROUND(O38*$B$104,0)</f>
        <v>162</v>
      </c>
      <c r="Q38" s="2">
        <f t="shared" ref="Q38:Q59" si="15">ROUND(O38*$I$73*$B$104,0)</f>
        <v>81</v>
      </c>
      <c r="R38" s="12">
        <f t="shared" ref="R38:R59" si="16">ROUND(O38*$I$73,0)</f>
        <v>48</v>
      </c>
      <c r="S38" s="2">
        <f t="shared" ref="S38:S59" si="17">ROUND(O38*$I$71,0)</f>
        <v>17</v>
      </c>
      <c r="T38" s="28">
        <f t="shared" ref="T38:T59" si="18">ROUND(O38*$I$69,0)</f>
        <v>21</v>
      </c>
      <c r="U38" s="3">
        <f t="shared" ref="U38:U59" si="19">ROUND(O38*$I$67,0)</f>
        <v>8</v>
      </c>
      <c r="V38" s="30">
        <f t="shared" ref="V38:V59" si="20">ROUND(O38*$I$65,0)</f>
        <v>2</v>
      </c>
      <c r="W38" s="137">
        <f t="shared" ref="W38:W59" si="21">ROUND((Q38*$B$81)+(R38*$B$86)+(S38*$B$87)+(T38*$B$88)+(U38*$B$89)+(V38*$B$90),0)</f>
        <v>32683700</v>
      </c>
      <c r="X38" s="2">
        <f t="shared" ref="X38:X59" si="22">Q38+Q38*$D$125</f>
        <v>56.942971747471226</v>
      </c>
      <c r="Y38" s="12">
        <f t="shared" ref="Y38:Y59" si="23">R38+R38*$D$125</f>
        <v>33.743983257760725</v>
      </c>
      <c r="Z38" s="2">
        <f>S38+S38*$C$125</f>
        <v>7.829875518672198</v>
      </c>
      <c r="AA38" s="12">
        <f>T38+T38*$C$125</f>
        <v>9.6721991701244789</v>
      </c>
      <c r="AB38" s="2">
        <f>U38+U38*$C$125</f>
        <v>3.6846473029045637</v>
      </c>
      <c r="AC38" s="12">
        <f t="shared" ref="AC38:AC59" si="24">V38+V38*$B$125</f>
        <v>1.142857142857143</v>
      </c>
      <c r="AD38" s="137">
        <f t="shared" ref="AD38:AD59" si="25">ROUND((X38*$B$81)+(Y38*$B$86)+(Z38*$B$87)+(AA38*$B$88)+(AB38*$B$89)+(AC38*$B$90),0)</f>
        <v>17760860</v>
      </c>
      <c r="AE38" s="2">
        <f t="shared" ref="AE38:AE59" si="26">Q38*$F$87</f>
        <v>43.221599999999995</v>
      </c>
      <c r="AF38" s="12">
        <f t="shared" ref="AF38:AF59" si="27">R38*$F$87</f>
        <v>25.6128</v>
      </c>
      <c r="AG38" s="2">
        <f t="shared" ref="AG38:AG59" si="28">S38*$F$87</f>
        <v>9.0711999999999993</v>
      </c>
      <c r="AH38" s="12">
        <f t="shared" ref="AH38:AH59" si="29">T38*$F$87</f>
        <v>11.205599999999999</v>
      </c>
      <c r="AI38" s="2">
        <f t="shared" ref="AI38:AI59" si="30">U38*$F$87</f>
        <v>4.2687999999999997</v>
      </c>
      <c r="AJ38" s="12">
        <f t="shared" ref="AJ38:AJ59" si="31">V38*$F$87</f>
        <v>1.0671999999999999</v>
      </c>
      <c r="AK38" s="137">
        <f t="shared" ref="AK38:AK59" si="32">ROUND((AE38*$B$81)+(AF38*$B$86)+(AG38*$B$87)+(AH38*$B$88)+(AI38*$B$89)+(AJ38*$B$90),0)</f>
        <v>17440022</v>
      </c>
      <c r="IZ38" s="1"/>
    </row>
    <row r="39" spans="1:260">
      <c r="A39" s="66">
        <f t="shared" ref="A39:A59" si="33">A38+1</f>
        <v>2028</v>
      </c>
      <c r="B39" s="11">
        <f>'Travel Time'!B72</f>
        <v>21455</v>
      </c>
      <c r="C39" s="12">
        <f t="shared" si="4"/>
        <v>97</v>
      </c>
      <c r="D39" s="27">
        <f t="shared" si="5"/>
        <v>163</v>
      </c>
      <c r="E39" s="2">
        <f t="shared" si="6"/>
        <v>82</v>
      </c>
      <c r="F39" s="12">
        <f t="shared" si="7"/>
        <v>49</v>
      </c>
      <c r="G39" s="2">
        <f t="shared" si="8"/>
        <v>17</v>
      </c>
      <c r="H39" s="28">
        <f t="shared" si="9"/>
        <v>21</v>
      </c>
      <c r="I39" s="3">
        <f t="shared" si="10"/>
        <v>8</v>
      </c>
      <c r="J39" s="30">
        <f t="shared" si="11"/>
        <v>2</v>
      </c>
      <c r="K39" s="137">
        <f t="shared" si="12"/>
        <v>32692200</v>
      </c>
      <c r="L39" s="77"/>
      <c r="M39" s="66">
        <f t="shared" ref="M39:M59" si="34">A39</f>
        <v>2028</v>
      </c>
      <c r="N39" s="67">
        <f>'Travel Time'!E72</f>
        <v>21455</v>
      </c>
      <c r="O39" s="12">
        <f t="shared" si="13"/>
        <v>97</v>
      </c>
      <c r="P39" s="27">
        <f t="shared" si="14"/>
        <v>163</v>
      </c>
      <c r="Q39" s="2">
        <f t="shared" si="15"/>
        <v>82</v>
      </c>
      <c r="R39" s="12">
        <f t="shared" si="16"/>
        <v>49</v>
      </c>
      <c r="S39" s="2">
        <f t="shared" si="17"/>
        <v>17</v>
      </c>
      <c r="T39" s="28">
        <f t="shared" si="18"/>
        <v>21</v>
      </c>
      <c r="U39" s="3">
        <f t="shared" si="19"/>
        <v>8</v>
      </c>
      <c r="V39" s="30">
        <f t="shared" si="20"/>
        <v>2</v>
      </c>
      <c r="W39" s="137">
        <f t="shared" si="21"/>
        <v>32692200</v>
      </c>
      <c r="X39" s="2">
        <f t="shared" si="22"/>
        <v>57.645971398674575</v>
      </c>
      <c r="Y39" s="12">
        <f t="shared" si="23"/>
        <v>34.446982908964074</v>
      </c>
      <c r="Z39" s="2">
        <f t="shared" ref="Z39:Z59" si="35">S39+S39*$C$125</f>
        <v>7.829875518672198</v>
      </c>
      <c r="AA39" s="12">
        <f t="shared" ref="AA39:AA59" si="36">T39+T39*$C$125</f>
        <v>9.6721991701244789</v>
      </c>
      <c r="AB39" s="2">
        <f t="shared" ref="AB39:AB59" si="37">U39+U39*$C$125</f>
        <v>3.6846473029045637</v>
      </c>
      <c r="AC39" s="12">
        <f t="shared" si="24"/>
        <v>1.142857142857143</v>
      </c>
      <c r="AD39" s="137">
        <f t="shared" si="25"/>
        <v>17766836</v>
      </c>
      <c r="AE39" s="2">
        <f t="shared" si="26"/>
        <v>43.755199999999995</v>
      </c>
      <c r="AF39" s="12">
        <f t="shared" si="27"/>
        <v>26.1464</v>
      </c>
      <c r="AG39" s="2">
        <f t="shared" si="28"/>
        <v>9.0711999999999993</v>
      </c>
      <c r="AH39" s="12">
        <f t="shared" si="29"/>
        <v>11.205599999999999</v>
      </c>
      <c r="AI39" s="2">
        <f t="shared" si="30"/>
        <v>4.2687999999999997</v>
      </c>
      <c r="AJ39" s="12">
        <f t="shared" si="31"/>
        <v>1.0671999999999999</v>
      </c>
      <c r="AK39" s="137">
        <f t="shared" si="32"/>
        <v>17444558</v>
      </c>
      <c r="IZ39" s="1"/>
    </row>
    <row r="40" spans="1:260">
      <c r="A40" s="66">
        <f t="shared" si="33"/>
        <v>2029</v>
      </c>
      <c r="B40" s="11">
        <f>'Travel Time'!B73</f>
        <v>21790</v>
      </c>
      <c r="C40" s="12">
        <f t="shared" si="4"/>
        <v>99</v>
      </c>
      <c r="D40" s="27">
        <f t="shared" si="5"/>
        <v>167</v>
      </c>
      <c r="E40" s="2">
        <f t="shared" si="6"/>
        <v>84</v>
      </c>
      <c r="F40" s="12">
        <f t="shared" si="7"/>
        <v>50</v>
      </c>
      <c r="G40" s="2">
        <f t="shared" si="8"/>
        <v>17</v>
      </c>
      <c r="H40" s="28">
        <f t="shared" si="9"/>
        <v>22</v>
      </c>
      <c r="I40" s="3">
        <f t="shared" si="10"/>
        <v>8</v>
      </c>
      <c r="J40" s="30">
        <f t="shared" si="11"/>
        <v>2</v>
      </c>
      <c r="K40" s="137">
        <f t="shared" si="12"/>
        <v>32856400</v>
      </c>
      <c r="L40" s="77"/>
      <c r="M40" s="66">
        <f t="shared" si="34"/>
        <v>2029</v>
      </c>
      <c r="N40" s="67">
        <f>'Travel Time'!E73</f>
        <v>21790</v>
      </c>
      <c r="O40" s="12">
        <f t="shared" si="13"/>
        <v>99</v>
      </c>
      <c r="P40" s="27">
        <f t="shared" si="14"/>
        <v>167</v>
      </c>
      <c r="Q40" s="2">
        <f t="shared" si="15"/>
        <v>84</v>
      </c>
      <c r="R40" s="12">
        <f t="shared" si="16"/>
        <v>50</v>
      </c>
      <c r="S40" s="2">
        <f t="shared" si="17"/>
        <v>17</v>
      </c>
      <c r="T40" s="28">
        <f t="shared" si="18"/>
        <v>22</v>
      </c>
      <c r="U40" s="3">
        <f t="shared" si="19"/>
        <v>8</v>
      </c>
      <c r="V40" s="30">
        <f t="shared" si="20"/>
        <v>2</v>
      </c>
      <c r="W40" s="137">
        <f t="shared" si="21"/>
        <v>32856400</v>
      </c>
      <c r="X40" s="2">
        <f t="shared" si="22"/>
        <v>59.051970701081274</v>
      </c>
      <c r="Y40" s="12">
        <f t="shared" si="23"/>
        <v>35.149982560167423</v>
      </c>
      <c r="Z40" s="2">
        <f t="shared" si="35"/>
        <v>7.829875518672198</v>
      </c>
      <c r="AA40" s="12">
        <f t="shared" si="36"/>
        <v>10.13278008298755</v>
      </c>
      <c r="AB40" s="2">
        <f t="shared" si="37"/>
        <v>3.6846473029045637</v>
      </c>
      <c r="AC40" s="12">
        <f t="shared" si="24"/>
        <v>1.142857142857143</v>
      </c>
      <c r="AD40" s="137">
        <f t="shared" si="25"/>
        <v>17845639</v>
      </c>
      <c r="AE40" s="2">
        <f t="shared" si="26"/>
        <v>44.822399999999995</v>
      </c>
      <c r="AF40" s="12">
        <f t="shared" si="27"/>
        <v>26.68</v>
      </c>
      <c r="AG40" s="2">
        <f t="shared" si="28"/>
        <v>9.0711999999999993</v>
      </c>
      <c r="AH40" s="12">
        <f t="shared" si="29"/>
        <v>11.739199999999999</v>
      </c>
      <c r="AI40" s="2">
        <f t="shared" si="30"/>
        <v>4.2687999999999997</v>
      </c>
      <c r="AJ40" s="12">
        <f t="shared" si="31"/>
        <v>1.0671999999999999</v>
      </c>
      <c r="AK40" s="137">
        <f t="shared" si="32"/>
        <v>17532175</v>
      </c>
      <c r="IZ40" s="1"/>
    </row>
    <row r="41" spans="1:260">
      <c r="A41" s="66">
        <f t="shared" si="33"/>
        <v>2030</v>
      </c>
      <c r="B41" s="11">
        <f>'Travel Time'!B74</f>
        <v>22130</v>
      </c>
      <c r="C41" s="12">
        <f t="shared" si="4"/>
        <v>100</v>
      </c>
      <c r="D41" s="27">
        <f t="shared" si="5"/>
        <v>168</v>
      </c>
      <c r="E41" s="2">
        <f t="shared" si="6"/>
        <v>85</v>
      </c>
      <c r="F41" s="12">
        <f t="shared" si="7"/>
        <v>50</v>
      </c>
      <c r="G41" s="2">
        <f t="shared" si="8"/>
        <v>18</v>
      </c>
      <c r="H41" s="28">
        <f t="shared" si="9"/>
        <v>22</v>
      </c>
      <c r="I41" s="3">
        <f t="shared" si="10"/>
        <v>8</v>
      </c>
      <c r="J41" s="30">
        <f t="shared" si="11"/>
        <v>2</v>
      </c>
      <c r="K41" s="137">
        <f t="shared" si="12"/>
        <v>32938200</v>
      </c>
      <c r="L41" s="77"/>
      <c r="M41" s="66">
        <f t="shared" si="34"/>
        <v>2030</v>
      </c>
      <c r="N41" s="67">
        <f>'Travel Time'!E74</f>
        <v>22130</v>
      </c>
      <c r="O41" s="12">
        <f t="shared" si="13"/>
        <v>100</v>
      </c>
      <c r="P41" s="27">
        <f t="shared" si="14"/>
        <v>168</v>
      </c>
      <c r="Q41" s="2">
        <f t="shared" si="15"/>
        <v>85</v>
      </c>
      <c r="R41" s="12">
        <f t="shared" si="16"/>
        <v>50</v>
      </c>
      <c r="S41" s="2">
        <f t="shared" si="17"/>
        <v>18</v>
      </c>
      <c r="T41" s="28">
        <f t="shared" si="18"/>
        <v>22</v>
      </c>
      <c r="U41" s="3">
        <f t="shared" si="19"/>
        <v>8</v>
      </c>
      <c r="V41" s="30">
        <f t="shared" si="20"/>
        <v>2</v>
      </c>
      <c r="W41" s="137">
        <f t="shared" si="21"/>
        <v>32938200</v>
      </c>
      <c r="X41" s="2">
        <f t="shared" si="22"/>
        <v>59.754970352284616</v>
      </c>
      <c r="Y41" s="12">
        <f t="shared" si="23"/>
        <v>35.149982560167423</v>
      </c>
      <c r="Z41" s="2">
        <f t="shared" si="35"/>
        <v>8.2904564315352687</v>
      </c>
      <c r="AA41" s="12">
        <f t="shared" si="36"/>
        <v>10.13278008298755</v>
      </c>
      <c r="AB41" s="2">
        <f t="shared" si="37"/>
        <v>3.6846473029045637</v>
      </c>
      <c r="AC41" s="12">
        <f t="shared" si="24"/>
        <v>1.142857142857143</v>
      </c>
      <c r="AD41" s="137">
        <f t="shared" si="25"/>
        <v>17884429</v>
      </c>
      <c r="AE41" s="2">
        <f t="shared" si="26"/>
        <v>45.355999999999995</v>
      </c>
      <c r="AF41" s="12">
        <f t="shared" si="27"/>
        <v>26.68</v>
      </c>
      <c r="AG41" s="2">
        <f t="shared" si="28"/>
        <v>9.6047999999999991</v>
      </c>
      <c r="AH41" s="12">
        <f t="shared" si="29"/>
        <v>11.739199999999999</v>
      </c>
      <c r="AI41" s="2">
        <f t="shared" si="30"/>
        <v>4.2687999999999997</v>
      </c>
      <c r="AJ41" s="12">
        <f t="shared" si="31"/>
        <v>1.0671999999999999</v>
      </c>
      <c r="AK41" s="137">
        <f t="shared" si="32"/>
        <v>17575824</v>
      </c>
      <c r="IZ41" s="1"/>
    </row>
    <row r="42" spans="1:260">
      <c r="A42" s="66">
        <f t="shared" si="33"/>
        <v>2031</v>
      </c>
      <c r="B42" s="11">
        <f>'Travel Time'!B75</f>
        <v>22475</v>
      </c>
      <c r="C42" s="12">
        <f t="shared" si="4"/>
        <v>102</v>
      </c>
      <c r="D42" s="27">
        <f t="shared" si="5"/>
        <v>172</v>
      </c>
      <c r="E42" s="2">
        <f t="shared" si="6"/>
        <v>87</v>
      </c>
      <c r="F42" s="12">
        <f t="shared" si="7"/>
        <v>51</v>
      </c>
      <c r="G42" s="2">
        <f t="shared" si="8"/>
        <v>18</v>
      </c>
      <c r="H42" s="28">
        <f t="shared" si="9"/>
        <v>22</v>
      </c>
      <c r="I42" s="3">
        <f t="shared" si="10"/>
        <v>8</v>
      </c>
      <c r="J42" s="30">
        <f t="shared" si="11"/>
        <v>2</v>
      </c>
      <c r="K42" s="137">
        <f t="shared" si="12"/>
        <v>32951300</v>
      </c>
      <c r="L42" s="77"/>
      <c r="M42" s="66">
        <f t="shared" si="34"/>
        <v>2031</v>
      </c>
      <c r="N42" s="67">
        <f>'Travel Time'!E75</f>
        <v>22475</v>
      </c>
      <c r="O42" s="12">
        <f t="shared" si="13"/>
        <v>102</v>
      </c>
      <c r="P42" s="27">
        <f t="shared" si="14"/>
        <v>172</v>
      </c>
      <c r="Q42" s="2">
        <f t="shared" si="15"/>
        <v>87</v>
      </c>
      <c r="R42" s="12">
        <f t="shared" si="16"/>
        <v>51</v>
      </c>
      <c r="S42" s="2">
        <f t="shared" si="17"/>
        <v>18</v>
      </c>
      <c r="T42" s="28">
        <f t="shared" si="18"/>
        <v>22</v>
      </c>
      <c r="U42" s="3">
        <f t="shared" si="19"/>
        <v>8</v>
      </c>
      <c r="V42" s="30">
        <f t="shared" si="20"/>
        <v>2</v>
      </c>
      <c r="W42" s="137">
        <f t="shared" si="21"/>
        <v>32951300</v>
      </c>
      <c r="X42" s="2">
        <f t="shared" si="22"/>
        <v>61.160969654691314</v>
      </c>
      <c r="Y42" s="12">
        <f t="shared" si="23"/>
        <v>35.852982211370772</v>
      </c>
      <c r="Z42" s="2">
        <f t="shared" si="35"/>
        <v>8.2904564315352687</v>
      </c>
      <c r="AA42" s="12">
        <f t="shared" si="36"/>
        <v>10.13278008298755</v>
      </c>
      <c r="AB42" s="2">
        <f t="shared" si="37"/>
        <v>3.6846473029045637</v>
      </c>
      <c r="AC42" s="12">
        <f t="shared" si="24"/>
        <v>1.142857142857143</v>
      </c>
      <c r="AD42" s="137">
        <f t="shared" si="25"/>
        <v>17893639</v>
      </c>
      <c r="AE42" s="2">
        <f t="shared" si="26"/>
        <v>46.423199999999994</v>
      </c>
      <c r="AF42" s="12">
        <f t="shared" si="27"/>
        <v>27.2136</v>
      </c>
      <c r="AG42" s="2">
        <f t="shared" si="28"/>
        <v>9.6047999999999991</v>
      </c>
      <c r="AH42" s="12">
        <f t="shared" si="29"/>
        <v>11.739199999999999</v>
      </c>
      <c r="AI42" s="2">
        <f t="shared" si="30"/>
        <v>4.2687999999999997</v>
      </c>
      <c r="AJ42" s="12">
        <f t="shared" si="31"/>
        <v>1.0671999999999999</v>
      </c>
      <c r="AK42" s="137">
        <f t="shared" si="32"/>
        <v>17582814</v>
      </c>
      <c r="IZ42" s="1"/>
    </row>
    <row r="43" spans="1:260">
      <c r="A43" s="66">
        <f t="shared" si="33"/>
        <v>2032</v>
      </c>
      <c r="B43" s="11">
        <f>'Travel Time'!B76</f>
        <v>22825</v>
      </c>
      <c r="C43" s="12">
        <f t="shared" si="4"/>
        <v>104</v>
      </c>
      <c r="D43" s="27">
        <f t="shared" si="5"/>
        <v>175</v>
      </c>
      <c r="E43" s="2">
        <f t="shared" si="6"/>
        <v>88</v>
      </c>
      <c r="F43" s="12">
        <f t="shared" si="7"/>
        <v>52</v>
      </c>
      <c r="G43" s="2">
        <f t="shared" si="8"/>
        <v>18</v>
      </c>
      <c r="H43" s="28">
        <f t="shared" si="9"/>
        <v>23</v>
      </c>
      <c r="I43" s="3">
        <f t="shared" si="10"/>
        <v>8</v>
      </c>
      <c r="J43" s="30">
        <f t="shared" si="11"/>
        <v>2</v>
      </c>
      <c r="K43" s="137">
        <f t="shared" si="12"/>
        <v>33110900</v>
      </c>
      <c r="L43" s="77"/>
      <c r="M43" s="66">
        <f t="shared" si="34"/>
        <v>2032</v>
      </c>
      <c r="N43" s="67">
        <f>'Travel Time'!E76</f>
        <v>22825</v>
      </c>
      <c r="O43" s="12">
        <f t="shared" si="13"/>
        <v>104</v>
      </c>
      <c r="P43" s="27">
        <f t="shared" si="14"/>
        <v>175</v>
      </c>
      <c r="Q43" s="2">
        <f t="shared" si="15"/>
        <v>88</v>
      </c>
      <c r="R43" s="12">
        <f t="shared" si="16"/>
        <v>52</v>
      </c>
      <c r="S43" s="2">
        <f t="shared" si="17"/>
        <v>18</v>
      </c>
      <c r="T43" s="28">
        <f t="shared" si="18"/>
        <v>23</v>
      </c>
      <c r="U43" s="3">
        <f t="shared" si="19"/>
        <v>8</v>
      </c>
      <c r="V43" s="30">
        <f t="shared" si="20"/>
        <v>2</v>
      </c>
      <c r="W43" s="137">
        <f t="shared" si="21"/>
        <v>33110900</v>
      </c>
      <c r="X43" s="2">
        <f t="shared" si="22"/>
        <v>61.863969305894663</v>
      </c>
      <c r="Y43" s="12">
        <f t="shared" si="23"/>
        <v>36.555981862574122</v>
      </c>
      <c r="Z43" s="2">
        <f t="shared" si="35"/>
        <v>8.2904564315352687</v>
      </c>
      <c r="AA43" s="12">
        <f t="shared" si="36"/>
        <v>10.59336099585062</v>
      </c>
      <c r="AB43" s="2">
        <f t="shared" si="37"/>
        <v>3.6846473029045637</v>
      </c>
      <c r="AC43" s="12">
        <f t="shared" si="24"/>
        <v>1.142857142857143</v>
      </c>
      <c r="AD43" s="137">
        <f t="shared" si="25"/>
        <v>17969208</v>
      </c>
      <c r="AE43" s="2">
        <f t="shared" si="26"/>
        <v>46.956799999999994</v>
      </c>
      <c r="AF43" s="12">
        <f t="shared" si="27"/>
        <v>27.747199999999999</v>
      </c>
      <c r="AG43" s="2">
        <f t="shared" si="28"/>
        <v>9.6047999999999991</v>
      </c>
      <c r="AH43" s="12">
        <f t="shared" si="29"/>
        <v>12.272799999999998</v>
      </c>
      <c r="AI43" s="2">
        <f t="shared" si="30"/>
        <v>4.2687999999999997</v>
      </c>
      <c r="AJ43" s="12">
        <f t="shared" si="31"/>
        <v>1.0671999999999999</v>
      </c>
      <c r="AK43" s="137">
        <f t="shared" si="32"/>
        <v>17667976</v>
      </c>
      <c r="IZ43" s="1"/>
    </row>
    <row r="44" spans="1:260">
      <c r="A44" s="66">
        <f t="shared" si="33"/>
        <v>2033</v>
      </c>
      <c r="B44" s="11">
        <f>'Travel Time'!B77</f>
        <v>23181</v>
      </c>
      <c r="C44" s="12">
        <f t="shared" si="4"/>
        <v>105</v>
      </c>
      <c r="D44" s="27">
        <f t="shared" si="5"/>
        <v>177</v>
      </c>
      <c r="E44" s="2">
        <f t="shared" si="6"/>
        <v>89</v>
      </c>
      <c r="F44" s="12">
        <f t="shared" si="7"/>
        <v>53</v>
      </c>
      <c r="G44" s="2">
        <f t="shared" si="8"/>
        <v>18</v>
      </c>
      <c r="H44" s="28">
        <f t="shared" si="9"/>
        <v>23</v>
      </c>
      <c r="I44" s="3">
        <f t="shared" si="10"/>
        <v>8</v>
      </c>
      <c r="J44" s="30">
        <f t="shared" si="11"/>
        <v>3</v>
      </c>
      <c r="K44" s="137">
        <f t="shared" si="12"/>
        <v>44719400</v>
      </c>
      <c r="L44" s="77"/>
      <c r="M44" s="66">
        <f t="shared" si="34"/>
        <v>2033</v>
      </c>
      <c r="N44" s="67">
        <f>'Travel Time'!E77</f>
        <v>23181</v>
      </c>
      <c r="O44" s="12">
        <f t="shared" si="13"/>
        <v>105</v>
      </c>
      <c r="P44" s="27">
        <f t="shared" si="14"/>
        <v>177</v>
      </c>
      <c r="Q44" s="2">
        <f t="shared" si="15"/>
        <v>89</v>
      </c>
      <c r="R44" s="12">
        <f t="shared" si="16"/>
        <v>53</v>
      </c>
      <c r="S44" s="2">
        <f t="shared" si="17"/>
        <v>18</v>
      </c>
      <c r="T44" s="28">
        <f t="shared" si="18"/>
        <v>23</v>
      </c>
      <c r="U44" s="3">
        <f t="shared" si="19"/>
        <v>8</v>
      </c>
      <c r="V44" s="30">
        <f t="shared" si="20"/>
        <v>3</v>
      </c>
      <c r="W44" s="137">
        <f t="shared" si="21"/>
        <v>44719400</v>
      </c>
      <c r="X44" s="2">
        <f t="shared" si="22"/>
        <v>62.566968957098013</v>
      </c>
      <c r="Y44" s="12">
        <f t="shared" si="23"/>
        <v>37.258981513777471</v>
      </c>
      <c r="Z44" s="2">
        <f t="shared" si="35"/>
        <v>8.2904564315352687</v>
      </c>
      <c r="AA44" s="12">
        <f t="shared" si="36"/>
        <v>10.59336099585062</v>
      </c>
      <c r="AB44" s="2">
        <f t="shared" si="37"/>
        <v>3.6846473029045637</v>
      </c>
      <c r="AC44" s="12">
        <f t="shared" si="24"/>
        <v>1.7142857142857144</v>
      </c>
      <c r="AD44" s="137">
        <f t="shared" si="25"/>
        <v>24603755</v>
      </c>
      <c r="AE44" s="2">
        <f t="shared" si="26"/>
        <v>47.490399999999994</v>
      </c>
      <c r="AF44" s="12">
        <f t="shared" si="27"/>
        <v>28.280799999999999</v>
      </c>
      <c r="AG44" s="2">
        <f t="shared" si="28"/>
        <v>9.6047999999999991</v>
      </c>
      <c r="AH44" s="12">
        <f t="shared" si="29"/>
        <v>12.272799999999998</v>
      </c>
      <c r="AI44" s="2">
        <f t="shared" si="30"/>
        <v>4.2687999999999997</v>
      </c>
      <c r="AJ44" s="12">
        <f t="shared" si="31"/>
        <v>1.6008</v>
      </c>
      <c r="AK44" s="137">
        <f t="shared" si="32"/>
        <v>23862272</v>
      </c>
      <c r="IZ44" s="1"/>
    </row>
    <row r="45" spans="1:260">
      <c r="A45" s="66">
        <f t="shared" si="33"/>
        <v>2034</v>
      </c>
      <c r="B45" s="11">
        <f>'Travel Time'!B78</f>
        <v>23543</v>
      </c>
      <c r="C45" s="12">
        <f t="shared" si="4"/>
        <v>107</v>
      </c>
      <c r="D45" s="27">
        <f t="shared" si="5"/>
        <v>180</v>
      </c>
      <c r="E45" s="2">
        <f t="shared" si="6"/>
        <v>91</v>
      </c>
      <c r="F45" s="12">
        <f t="shared" si="7"/>
        <v>54</v>
      </c>
      <c r="G45" s="2">
        <f t="shared" si="8"/>
        <v>19</v>
      </c>
      <c r="H45" s="28">
        <f t="shared" si="9"/>
        <v>23</v>
      </c>
      <c r="I45" s="3">
        <f t="shared" si="10"/>
        <v>8</v>
      </c>
      <c r="J45" s="30">
        <f t="shared" si="11"/>
        <v>3</v>
      </c>
      <c r="K45" s="137">
        <f t="shared" si="12"/>
        <v>44809700</v>
      </c>
      <c r="L45" s="77"/>
      <c r="M45" s="66">
        <f t="shared" si="34"/>
        <v>2034</v>
      </c>
      <c r="N45" s="67">
        <f>'Travel Time'!E78</f>
        <v>23543</v>
      </c>
      <c r="O45" s="12">
        <f t="shared" si="13"/>
        <v>107</v>
      </c>
      <c r="P45" s="27">
        <f t="shared" si="14"/>
        <v>180</v>
      </c>
      <c r="Q45" s="2">
        <f t="shared" si="15"/>
        <v>91</v>
      </c>
      <c r="R45" s="12">
        <f t="shared" si="16"/>
        <v>54</v>
      </c>
      <c r="S45" s="2">
        <f t="shared" si="17"/>
        <v>19</v>
      </c>
      <c r="T45" s="28">
        <f t="shared" si="18"/>
        <v>23</v>
      </c>
      <c r="U45" s="3">
        <f t="shared" si="19"/>
        <v>8</v>
      </c>
      <c r="V45" s="30">
        <f t="shared" si="20"/>
        <v>3</v>
      </c>
      <c r="W45" s="137">
        <f t="shared" si="21"/>
        <v>44809700</v>
      </c>
      <c r="X45" s="2">
        <f t="shared" si="22"/>
        <v>63.972968259504711</v>
      </c>
      <c r="Y45" s="12">
        <f t="shared" si="23"/>
        <v>37.961981164980813</v>
      </c>
      <c r="Z45" s="2">
        <f t="shared" si="35"/>
        <v>8.7510373443983394</v>
      </c>
      <c r="AA45" s="12">
        <f t="shared" si="36"/>
        <v>10.59336099585062</v>
      </c>
      <c r="AB45" s="2">
        <f t="shared" si="37"/>
        <v>3.6846473029045637</v>
      </c>
      <c r="AC45" s="12">
        <f t="shared" si="24"/>
        <v>1.7142857142857144</v>
      </c>
      <c r="AD45" s="137">
        <f t="shared" si="25"/>
        <v>24648521</v>
      </c>
      <c r="AE45" s="2">
        <f t="shared" si="26"/>
        <v>48.557599999999994</v>
      </c>
      <c r="AF45" s="12">
        <f t="shared" si="27"/>
        <v>28.814399999999999</v>
      </c>
      <c r="AG45" s="2">
        <f t="shared" si="28"/>
        <v>10.138399999999999</v>
      </c>
      <c r="AH45" s="12">
        <f t="shared" si="29"/>
        <v>12.272799999999998</v>
      </c>
      <c r="AI45" s="2">
        <f t="shared" si="30"/>
        <v>4.2687999999999997</v>
      </c>
      <c r="AJ45" s="12">
        <f t="shared" si="31"/>
        <v>1.6008</v>
      </c>
      <c r="AK45" s="137">
        <f t="shared" si="32"/>
        <v>23910456</v>
      </c>
      <c r="IZ45" s="1"/>
    </row>
    <row r="46" spans="1:260">
      <c r="A46" s="66">
        <f t="shared" si="33"/>
        <v>2035</v>
      </c>
      <c r="B46" s="11">
        <f>'Travel Time'!B79</f>
        <v>23910</v>
      </c>
      <c r="C46" s="12">
        <f t="shared" si="4"/>
        <v>109</v>
      </c>
      <c r="D46" s="27">
        <f t="shared" si="5"/>
        <v>184</v>
      </c>
      <c r="E46" s="2">
        <f t="shared" si="6"/>
        <v>92</v>
      </c>
      <c r="F46" s="12">
        <f t="shared" si="7"/>
        <v>55</v>
      </c>
      <c r="G46" s="2">
        <f t="shared" si="8"/>
        <v>19</v>
      </c>
      <c r="H46" s="28">
        <f t="shared" si="9"/>
        <v>24</v>
      </c>
      <c r="I46" s="3">
        <f t="shared" si="10"/>
        <v>9</v>
      </c>
      <c r="J46" s="30">
        <f t="shared" si="11"/>
        <v>3</v>
      </c>
      <c r="K46" s="137">
        <f t="shared" si="12"/>
        <v>45524100</v>
      </c>
      <c r="L46" s="77"/>
      <c r="M46" s="66">
        <f t="shared" si="34"/>
        <v>2035</v>
      </c>
      <c r="N46" s="67">
        <f>'Travel Time'!E79</f>
        <v>23910</v>
      </c>
      <c r="O46" s="12">
        <f t="shared" si="13"/>
        <v>109</v>
      </c>
      <c r="P46" s="27">
        <f t="shared" si="14"/>
        <v>184</v>
      </c>
      <c r="Q46" s="2">
        <f t="shared" si="15"/>
        <v>92</v>
      </c>
      <c r="R46" s="12">
        <f t="shared" si="16"/>
        <v>55</v>
      </c>
      <c r="S46" s="2">
        <f t="shared" si="17"/>
        <v>19</v>
      </c>
      <c r="T46" s="28">
        <f t="shared" si="18"/>
        <v>24</v>
      </c>
      <c r="U46" s="3">
        <f t="shared" si="19"/>
        <v>9</v>
      </c>
      <c r="V46" s="30">
        <f t="shared" si="20"/>
        <v>3</v>
      </c>
      <c r="W46" s="137">
        <f t="shared" si="21"/>
        <v>45524100</v>
      </c>
      <c r="X46" s="2">
        <f t="shared" si="22"/>
        <v>64.675967910708053</v>
      </c>
      <c r="Y46" s="12">
        <f t="shared" si="23"/>
        <v>38.664980816184169</v>
      </c>
      <c r="Z46" s="2">
        <f t="shared" si="35"/>
        <v>8.7510373443983394</v>
      </c>
      <c r="AA46" s="12">
        <f t="shared" si="36"/>
        <v>11.053941908713691</v>
      </c>
      <c r="AB46" s="2">
        <f t="shared" si="37"/>
        <v>4.1452282157676343</v>
      </c>
      <c r="AC46" s="12">
        <f t="shared" si="24"/>
        <v>1.7142857142857144</v>
      </c>
      <c r="AD46" s="137">
        <f t="shared" si="25"/>
        <v>24979620</v>
      </c>
      <c r="AE46" s="2">
        <f t="shared" si="26"/>
        <v>49.091199999999994</v>
      </c>
      <c r="AF46" s="12">
        <f t="shared" si="27"/>
        <v>29.347999999999999</v>
      </c>
      <c r="AG46" s="2">
        <f t="shared" si="28"/>
        <v>10.138399999999999</v>
      </c>
      <c r="AH46" s="12">
        <f t="shared" si="29"/>
        <v>12.8064</v>
      </c>
      <c r="AI46" s="2">
        <f t="shared" si="30"/>
        <v>4.8023999999999996</v>
      </c>
      <c r="AJ46" s="12">
        <f t="shared" si="31"/>
        <v>1.6008</v>
      </c>
      <c r="AK46" s="137">
        <f t="shared" si="32"/>
        <v>24291660</v>
      </c>
      <c r="IZ46" s="1"/>
    </row>
    <row r="47" spans="1:260">
      <c r="A47" s="66">
        <f t="shared" si="33"/>
        <v>2036</v>
      </c>
      <c r="B47" s="11">
        <f>'Travel Time'!B80</f>
        <v>24283</v>
      </c>
      <c r="C47" s="12">
        <f t="shared" si="4"/>
        <v>110</v>
      </c>
      <c r="D47" s="27">
        <f t="shared" si="5"/>
        <v>185</v>
      </c>
      <c r="E47" s="2">
        <f t="shared" si="6"/>
        <v>93</v>
      </c>
      <c r="F47" s="12">
        <f t="shared" si="7"/>
        <v>55</v>
      </c>
      <c r="G47" s="2">
        <f t="shared" si="8"/>
        <v>19</v>
      </c>
      <c r="H47" s="28">
        <f t="shared" si="9"/>
        <v>24</v>
      </c>
      <c r="I47" s="3">
        <f t="shared" si="10"/>
        <v>9</v>
      </c>
      <c r="J47" s="30">
        <f t="shared" si="11"/>
        <v>3</v>
      </c>
      <c r="K47" s="137">
        <f t="shared" si="12"/>
        <v>45528700</v>
      </c>
      <c r="L47" s="77"/>
      <c r="M47" s="66">
        <f t="shared" si="34"/>
        <v>2036</v>
      </c>
      <c r="N47" s="67">
        <f>'Travel Time'!E80</f>
        <v>24283</v>
      </c>
      <c r="O47" s="12">
        <f t="shared" si="13"/>
        <v>110</v>
      </c>
      <c r="P47" s="27">
        <f t="shared" si="14"/>
        <v>185</v>
      </c>
      <c r="Q47" s="2">
        <f t="shared" si="15"/>
        <v>93</v>
      </c>
      <c r="R47" s="12">
        <f t="shared" si="16"/>
        <v>55</v>
      </c>
      <c r="S47" s="2">
        <f t="shared" si="17"/>
        <v>19</v>
      </c>
      <c r="T47" s="28">
        <f t="shared" si="18"/>
        <v>24</v>
      </c>
      <c r="U47" s="3">
        <f t="shared" si="19"/>
        <v>9</v>
      </c>
      <c r="V47" s="30">
        <f t="shared" si="20"/>
        <v>3</v>
      </c>
      <c r="W47" s="137">
        <f t="shared" si="21"/>
        <v>45528700</v>
      </c>
      <c r="X47" s="2">
        <f t="shared" si="22"/>
        <v>65.378967561911409</v>
      </c>
      <c r="Y47" s="12">
        <f t="shared" si="23"/>
        <v>38.664980816184169</v>
      </c>
      <c r="Z47" s="2">
        <f t="shared" si="35"/>
        <v>8.7510373443983394</v>
      </c>
      <c r="AA47" s="12">
        <f t="shared" si="36"/>
        <v>11.053941908713691</v>
      </c>
      <c r="AB47" s="2">
        <f t="shared" si="37"/>
        <v>4.1452282157676343</v>
      </c>
      <c r="AC47" s="12">
        <f t="shared" si="24"/>
        <v>1.7142857142857144</v>
      </c>
      <c r="AD47" s="137">
        <f t="shared" si="25"/>
        <v>24982854</v>
      </c>
      <c r="AE47" s="2">
        <f t="shared" si="26"/>
        <v>49.624799999999993</v>
      </c>
      <c r="AF47" s="12">
        <f t="shared" si="27"/>
        <v>29.347999999999999</v>
      </c>
      <c r="AG47" s="2">
        <f t="shared" si="28"/>
        <v>10.138399999999999</v>
      </c>
      <c r="AH47" s="12">
        <f t="shared" si="29"/>
        <v>12.8064</v>
      </c>
      <c r="AI47" s="2">
        <f t="shared" si="30"/>
        <v>4.8023999999999996</v>
      </c>
      <c r="AJ47" s="12">
        <f t="shared" si="31"/>
        <v>1.6008</v>
      </c>
      <c r="AK47" s="137">
        <f t="shared" si="32"/>
        <v>24294114</v>
      </c>
      <c r="IZ47" s="1"/>
    </row>
    <row r="48" spans="1:260">
      <c r="A48" s="66">
        <f t="shared" si="33"/>
        <v>2037</v>
      </c>
      <c r="B48" s="11">
        <f>'Travel Time'!B81</f>
        <v>24661</v>
      </c>
      <c r="C48" s="12">
        <f t="shared" si="4"/>
        <v>112</v>
      </c>
      <c r="D48" s="27">
        <f t="shared" si="5"/>
        <v>189</v>
      </c>
      <c r="E48" s="2">
        <f t="shared" si="6"/>
        <v>95</v>
      </c>
      <c r="F48" s="12">
        <f t="shared" si="7"/>
        <v>56</v>
      </c>
      <c r="G48" s="2">
        <f t="shared" si="8"/>
        <v>20</v>
      </c>
      <c r="H48" s="28">
        <f t="shared" si="9"/>
        <v>24</v>
      </c>
      <c r="I48" s="3">
        <f t="shared" si="10"/>
        <v>9</v>
      </c>
      <c r="J48" s="30">
        <f t="shared" si="11"/>
        <v>3</v>
      </c>
      <c r="K48" s="137">
        <f t="shared" si="12"/>
        <v>45619000</v>
      </c>
      <c r="L48" s="77"/>
      <c r="M48" s="66">
        <f t="shared" si="34"/>
        <v>2037</v>
      </c>
      <c r="N48" s="67">
        <f>'Travel Time'!E81</f>
        <v>24661</v>
      </c>
      <c r="O48" s="12">
        <f t="shared" si="13"/>
        <v>112</v>
      </c>
      <c r="P48" s="27">
        <f t="shared" si="14"/>
        <v>189</v>
      </c>
      <c r="Q48" s="2">
        <f t="shared" si="15"/>
        <v>95</v>
      </c>
      <c r="R48" s="12">
        <f t="shared" si="16"/>
        <v>56</v>
      </c>
      <c r="S48" s="2">
        <f t="shared" si="17"/>
        <v>20</v>
      </c>
      <c r="T48" s="28">
        <f t="shared" si="18"/>
        <v>24</v>
      </c>
      <c r="U48" s="3">
        <f t="shared" si="19"/>
        <v>9</v>
      </c>
      <c r="V48" s="30">
        <f t="shared" si="20"/>
        <v>3</v>
      </c>
      <c r="W48" s="137">
        <f t="shared" si="21"/>
        <v>45619000</v>
      </c>
      <c r="X48" s="2">
        <f t="shared" si="22"/>
        <v>66.784966864318108</v>
      </c>
      <c r="Y48" s="12">
        <f t="shared" si="23"/>
        <v>39.367980467387511</v>
      </c>
      <c r="Z48" s="2">
        <f t="shared" si="35"/>
        <v>9.21161825726141</v>
      </c>
      <c r="AA48" s="12">
        <f t="shared" si="36"/>
        <v>11.053941908713691</v>
      </c>
      <c r="AB48" s="2">
        <f t="shared" si="37"/>
        <v>4.1452282157676343</v>
      </c>
      <c r="AC48" s="12">
        <f t="shared" si="24"/>
        <v>1.7142857142857144</v>
      </c>
      <c r="AD48" s="137">
        <f t="shared" si="25"/>
        <v>25027620</v>
      </c>
      <c r="AE48" s="2">
        <f t="shared" si="26"/>
        <v>50.691999999999993</v>
      </c>
      <c r="AF48" s="12">
        <f t="shared" si="27"/>
        <v>29.881599999999999</v>
      </c>
      <c r="AG48" s="2">
        <f t="shared" si="28"/>
        <v>10.671999999999999</v>
      </c>
      <c r="AH48" s="12">
        <f t="shared" si="29"/>
        <v>12.8064</v>
      </c>
      <c r="AI48" s="2">
        <f t="shared" si="30"/>
        <v>4.8023999999999996</v>
      </c>
      <c r="AJ48" s="12">
        <f t="shared" si="31"/>
        <v>1.6008</v>
      </c>
      <c r="AK48" s="137">
        <f t="shared" si="32"/>
        <v>24342298</v>
      </c>
      <c r="IZ48" s="1"/>
    </row>
    <row r="49" spans="1:260">
      <c r="A49" s="66">
        <f t="shared" si="33"/>
        <v>2038</v>
      </c>
      <c r="B49" s="11">
        <f>'Travel Time'!B82</f>
        <v>25046</v>
      </c>
      <c r="C49" s="12">
        <f t="shared" si="4"/>
        <v>114</v>
      </c>
      <c r="D49" s="27">
        <f t="shared" si="5"/>
        <v>192</v>
      </c>
      <c r="E49" s="2">
        <f t="shared" si="6"/>
        <v>97</v>
      </c>
      <c r="F49" s="12">
        <f t="shared" si="7"/>
        <v>57</v>
      </c>
      <c r="G49" s="2">
        <f t="shared" si="8"/>
        <v>20</v>
      </c>
      <c r="H49" s="28">
        <f t="shared" si="9"/>
        <v>25</v>
      </c>
      <c r="I49" s="3">
        <f t="shared" si="10"/>
        <v>9</v>
      </c>
      <c r="J49" s="30">
        <f t="shared" si="11"/>
        <v>3</v>
      </c>
      <c r="K49" s="137">
        <f t="shared" si="12"/>
        <v>45783200</v>
      </c>
      <c r="L49" s="77"/>
      <c r="M49" s="66">
        <f t="shared" si="34"/>
        <v>2038</v>
      </c>
      <c r="N49" s="67">
        <f>'Travel Time'!E82</f>
        <v>25046</v>
      </c>
      <c r="O49" s="12">
        <f t="shared" si="13"/>
        <v>114</v>
      </c>
      <c r="P49" s="27">
        <f t="shared" si="14"/>
        <v>192</v>
      </c>
      <c r="Q49" s="2">
        <f t="shared" si="15"/>
        <v>97</v>
      </c>
      <c r="R49" s="12">
        <f t="shared" si="16"/>
        <v>57</v>
      </c>
      <c r="S49" s="2">
        <f t="shared" si="17"/>
        <v>20</v>
      </c>
      <c r="T49" s="28">
        <f t="shared" si="18"/>
        <v>25</v>
      </c>
      <c r="U49" s="3">
        <f t="shared" si="19"/>
        <v>9</v>
      </c>
      <c r="V49" s="30">
        <f t="shared" si="20"/>
        <v>3</v>
      </c>
      <c r="W49" s="137">
        <f t="shared" si="21"/>
        <v>45783200</v>
      </c>
      <c r="X49" s="2">
        <f t="shared" si="22"/>
        <v>68.190966166724792</v>
      </c>
      <c r="Y49" s="12">
        <f t="shared" si="23"/>
        <v>40.07098011859086</v>
      </c>
      <c r="Z49" s="2">
        <f t="shared" si="35"/>
        <v>9.21161825726141</v>
      </c>
      <c r="AA49" s="12">
        <f t="shared" si="36"/>
        <v>11.514522821576762</v>
      </c>
      <c r="AB49" s="2">
        <f t="shared" si="37"/>
        <v>4.1452282157676343</v>
      </c>
      <c r="AC49" s="12">
        <f t="shared" si="24"/>
        <v>1.7142857142857144</v>
      </c>
      <c r="AD49" s="137">
        <f t="shared" si="25"/>
        <v>25106423</v>
      </c>
      <c r="AE49" s="2">
        <f t="shared" si="26"/>
        <v>51.7592</v>
      </c>
      <c r="AF49" s="12">
        <f t="shared" si="27"/>
        <v>30.415199999999999</v>
      </c>
      <c r="AG49" s="2">
        <f t="shared" si="28"/>
        <v>10.671999999999999</v>
      </c>
      <c r="AH49" s="12">
        <f t="shared" si="29"/>
        <v>13.34</v>
      </c>
      <c r="AI49" s="2">
        <f t="shared" si="30"/>
        <v>4.8023999999999996</v>
      </c>
      <c r="AJ49" s="12">
        <f t="shared" si="31"/>
        <v>1.6008</v>
      </c>
      <c r="AK49" s="137">
        <f t="shared" si="32"/>
        <v>24429916</v>
      </c>
      <c r="IZ49" s="1"/>
    </row>
    <row r="50" spans="1:260">
      <c r="A50" s="66">
        <f t="shared" si="33"/>
        <v>2039</v>
      </c>
      <c r="B50" s="11">
        <f>'Travel Time'!B83</f>
        <v>25436</v>
      </c>
      <c r="C50" s="12">
        <f t="shared" si="4"/>
        <v>116</v>
      </c>
      <c r="D50" s="27">
        <f t="shared" si="5"/>
        <v>195</v>
      </c>
      <c r="E50" s="2">
        <f t="shared" si="6"/>
        <v>98</v>
      </c>
      <c r="F50" s="12">
        <f t="shared" si="7"/>
        <v>58</v>
      </c>
      <c r="G50" s="2">
        <f t="shared" si="8"/>
        <v>20</v>
      </c>
      <c r="H50" s="28">
        <f t="shared" si="9"/>
        <v>25</v>
      </c>
      <c r="I50" s="3">
        <f t="shared" si="10"/>
        <v>9</v>
      </c>
      <c r="J50" s="30">
        <f t="shared" si="11"/>
        <v>3</v>
      </c>
      <c r="K50" s="137">
        <f t="shared" si="12"/>
        <v>45791700</v>
      </c>
      <c r="L50" s="77"/>
      <c r="M50" s="66">
        <f t="shared" si="34"/>
        <v>2039</v>
      </c>
      <c r="N50" s="67">
        <f>'Travel Time'!E83</f>
        <v>25436</v>
      </c>
      <c r="O50" s="12">
        <f t="shared" si="13"/>
        <v>116</v>
      </c>
      <c r="P50" s="27">
        <f t="shared" si="14"/>
        <v>195</v>
      </c>
      <c r="Q50" s="2">
        <f t="shared" si="15"/>
        <v>98</v>
      </c>
      <c r="R50" s="12">
        <f t="shared" si="16"/>
        <v>58</v>
      </c>
      <c r="S50" s="2">
        <f t="shared" si="17"/>
        <v>20</v>
      </c>
      <c r="T50" s="28">
        <f t="shared" si="18"/>
        <v>25</v>
      </c>
      <c r="U50" s="3">
        <f t="shared" si="19"/>
        <v>9</v>
      </c>
      <c r="V50" s="30">
        <f t="shared" si="20"/>
        <v>3</v>
      </c>
      <c r="W50" s="137">
        <f t="shared" si="21"/>
        <v>45791700</v>
      </c>
      <c r="X50" s="2">
        <f t="shared" si="22"/>
        <v>68.893965817928148</v>
      </c>
      <c r="Y50" s="12">
        <f t="shared" si="23"/>
        <v>40.773979769794209</v>
      </c>
      <c r="Z50" s="2">
        <f t="shared" si="35"/>
        <v>9.21161825726141</v>
      </c>
      <c r="AA50" s="12">
        <f t="shared" si="36"/>
        <v>11.514522821576762</v>
      </c>
      <c r="AB50" s="2">
        <f t="shared" si="37"/>
        <v>4.1452282157676343</v>
      </c>
      <c r="AC50" s="12">
        <f t="shared" si="24"/>
        <v>1.7142857142857144</v>
      </c>
      <c r="AD50" s="137">
        <f t="shared" si="25"/>
        <v>25112399</v>
      </c>
      <c r="AE50" s="2">
        <f t="shared" si="26"/>
        <v>52.2928</v>
      </c>
      <c r="AF50" s="12">
        <f t="shared" si="27"/>
        <v>30.948799999999999</v>
      </c>
      <c r="AG50" s="2">
        <f t="shared" si="28"/>
        <v>10.671999999999999</v>
      </c>
      <c r="AH50" s="12">
        <f t="shared" si="29"/>
        <v>13.34</v>
      </c>
      <c r="AI50" s="2">
        <f t="shared" si="30"/>
        <v>4.8023999999999996</v>
      </c>
      <c r="AJ50" s="12">
        <f t="shared" si="31"/>
        <v>1.6008</v>
      </c>
      <c r="AK50" s="137">
        <f t="shared" si="32"/>
        <v>24434451</v>
      </c>
      <c r="IZ50" s="1"/>
    </row>
    <row r="51" spans="1:260">
      <c r="A51" s="66">
        <f t="shared" si="33"/>
        <v>2040</v>
      </c>
      <c r="B51" s="11">
        <f>'Travel Time'!B84</f>
        <v>25833</v>
      </c>
      <c r="C51" s="12">
        <f t="shared" si="4"/>
        <v>117</v>
      </c>
      <c r="D51" s="27">
        <f t="shared" si="5"/>
        <v>197</v>
      </c>
      <c r="E51" s="2">
        <f t="shared" si="6"/>
        <v>99</v>
      </c>
      <c r="F51" s="12">
        <f t="shared" si="7"/>
        <v>59</v>
      </c>
      <c r="G51" s="2">
        <f t="shared" si="8"/>
        <v>20</v>
      </c>
      <c r="H51" s="28">
        <f t="shared" si="9"/>
        <v>26</v>
      </c>
      <c r="I51" s="3">
        <f t="shared" si="10"/>
        <v>9</v>
      </c>
      <c r="J51" s="30">
        <f t="shared" si="11"/>
        <v>3</v>
      </c>
      <c r="K51" s="137">
        <f t="shared" si="12"/>
        <v>45951300</v>
      </c>
      <c r="L51" s="77"/>
      <c r="M51" s="66">
        <f t="shared" si="34"/>
        <v>2040</v>
      </c>
      <c r="N51" s="67">
        <f>'Travel Time'!E84</f>
        <v>25833</v>
      </c>
      <c r="O51" s="12">
        <f t="shared" si="13"/>
        <v>117</v>
      </c>
      <c r="P51" s="27">
        <f t="shared" si="14"/>
        <v>197</v>
      </c>
      <c r="Q51" s="2">
        <f t="shared" si="15"/>
        <v>99</v>
      </c>
      <c r="R51" s="12">
        <f t="shared" si="16"/>
        <v>59</v>
      </c>
      <c r="S51" s="2">
        <f t="shared" si="17"/>
        <v>20</v>
      </c>
      <c r="T51" s="28">
        <f t="shared" si="18"/>
        <v>26</v>
      </c>
      <c r="U51" s="3">
        <f t="shared" si="19"/>
        <v>9</v>
      </c>
      <c r="V51" s="30">
        <f t="shared" si="20"/>
        <v>3</v>
      </c>
      <c r="W51" s="137">
        <f t="shared" si="21"/>
        <v>45951300</v>
      </c>
      <c r="X51" s="2">
        <f t="shared" si="22"/>
        <v>69.596965469131504</v>
      </c>
      <c r="Y51" s="12">
        <f t="shared" si="23"/>
        <v>41.476979420997559</v>
      </c>
      <c r="Z51" s="2">
        <f t="shared" si="35"/>
        <v>9.21161825726141</v>
      </c>
      <c r="AA51" s="12">
        <f t="shared" si="36"/>
        <v>11.975103734439832</v>
      </c>
      <c r="AB51" s="2">
        <f t="shared" si="37"/>
        <v>4.1452282157676343</v>
      </c>
      <c r="AC51" s="12">
        <f t="shared" si="24"/>
        <v>1.7142857142857144</v>
      </c>
      <c r="AD51" s="137">
        <f t="shared" si="25"/>
        <v>25187968</v>
      </c>
      <c r="AE51" s="2">
        <f t="shared" si="26"/>
        <v>52.8264</v>
      </c>
      <c r="AF51" s="12">
        <f t="shared" si="27"/>
        <v>31.482399999999998</v>
      </c>
      <c r="AG51" s="2">
        <f t="shared" si="28"/>
        <v>10.671999999999999</v>
      </c>
      <c r="AH51" s="12">
        <f t="shared" si="29"/>
        <v>13.8736</v>
      </c>
      <c r="AI51" s="2">
        <f t="shared" si="30"/>
        <v>4.8023999999999996</v>
      </c>
      <c r="AJ51" s="12">
        <f t="shared" si="31"/>
        <v>1.6008</v>
      </c>
      <c r="AK51" s="137">
        <f t="shared" si="32"/>
        <v>24519614</v>
      </c>
      <c r="IZ51" s="1"/>
    </row>
    <row r="52" spans="1:260">
      <c r="A52" s="66">
        <f t="shared" si="33"/>
        <v>2041</v>
      </c>
      <c r="B52" s="11">
        <f>'Travel Time'!B85</f>
        <v>26236</v>
      </c>
      <c r="C52" s="12">
        <f t="shared" si="4"/>
        <v>119</v>
      </c>
      <c r="D52" s="27">
        <f t="shared" si="5"/>
        <v>200</v>
      </c>
      <c r="E52" s="2">
        <f t="shared" si="6"/>
        <v>101</v>
      </c>
      <c r="F52" s="12">
        <f t="shared" si="7"/>
        <v>60</v>
      </c>
      <c r="G52" s="2">
        <f t="shared" si="8"/>
        <v>21</v>
      </c>
      <c r="H52" s="28">
        <f t="shared" si="9"/>
        <v>26</v>
      </c>
      <c r="I52" s="3">
        <f t="shared" si="10"/>
        <v>9</v>
      </c>
      <c r="J52" s="30">
        <f t="shared" si="11"/>
        <v>3</v>
      </c>
      <c r="K52" s="137">
        <f t="shared" si="12"/>
        <v>46041600</v>
      </c>
      <c r="L52" s="77"/>
      <c r="M52" s="66">
        <f t="shared" si="34"/>
        <v>2041</v>
      </c>
      <c r="N52" s="67">
        <f>'Travel Time'!E85</f>
        <v>26236</v>
      </c>
      <c r="O52" s="12">
        <f t="shared" si="13"/>
        <v>119</v>
      </c>
      <c r="P52" s="27">
        <f t="shared" si="14"/>
        <v>200</v>
      </c>
      <c r="Q52" s="2">
        <f t="shared" si="15"/>
        <v>101</v>
      </c>
      <c r="R52" s="12">
        <f t="shared" si="16"/>
        <v>60</v>
      </c>
      <c r="S52" s="2">
        <f t="shared" si="17"/>
        <v>21</v>
      </c>
      <c r="T52" s="28">
        <f t="shared" si="18"/>
        <v>26</v>
      </c>
      <c r="U52" s="3">
        <f t="shared" si="19"/>
        <v>9</v>
      </c>
      <c r="V52" s="30">
        <f t="shared" si="20"/>
        <v>3</v>
      </c>
      <c r="W52" s="137">
        <f t="shared" si="21"/>
        <v>46041600</v>
      </c>
      <c r="X52" s="2">
        <f t="shared" si="22"/>
        <v>71.002964771538188</v>
      </c>
      <c r="Y52" s="12">
        <f t="shared" si="23"/>
        <v>42.179979072200908</v>
      </c>
      <c r="Z52" s="2">
        <f t="shared" si="35"/>
        <v>9.6721991701244789</v>
      </c>
      <c r="AA52" s="12">
        <f t="shared" si="36"/>
        <v>11.975103734439832</v>
      </c>
      <c r="AB52" s="2">
        <f t="shared" si="37"/>
        <v>4.1452282157676343</v>
      </c>
      <c r="AC52" s="12">
        <f t="shared" si="24"/>
        <v>1.7142857142857144</v>
      </c>
      <c r="AD52" s="137">
        <f t="shared" si="25"/>
        <v>25232734</v>
      </c>
      <c r="AE52" s="2">
        <f t="shared" si="26"/>
        <v>53.893599999999999</v>
      </c>
      <c r="AF52" s="12">
        <f t="shared" si="27"/>
        <v>32.015999999999998</v>
      </c>
      <c r="AG52" s="2">
        <f t="shared" si="28"/>
        <v>11.205599999999999</v>
      </c>
      <c r="AH52" s="12">
        <f t="shared" si="29"/>
        <v>13.8736</v>
      </c>
      <c r="AI52" s="2">
        <f t="shared" si="30"/>
        <v>4.8023999999999996</v>
      </c>
      <c r="AJ52" s="12">
        <f t="shared" si="31"/>
        <v>1.6008</v>
      </c>
      <c r="AK52" s="137">
        <f t="shared" si="32"/>
        <v>24567798</v>
      </c>
      <c r="IZ52" s="1"/>
    </row>
    <row r="53" spans="1:260">
      <c r="A53" s="66">
        <f t="shared" si="33"/>
        <v>2042</v>
      </c>
      <c r="B53" s="11">
        <f>'Travel Time'!B86</f>
        <v>26645</v>
      </c>
      <c r="C53" s="12">
        <f t="shared" si="4"/>
        <v>121</v>
      </c>
      <c r="D53" s="27">
        <f t="shared" si="5"/>
        <v>204</v>
      </c>
      <c r="E53" s="2">
        <f t="shared" si="6"/>
        <v>103</v>
      </c>
      <c r="F53" s="12">
        <f t="shared" si="7"/>
        <v>61</v>
      </c>
      <c r="G53" s="2">
        <f t="shared" si="8"/>
        <v>21</v>
      </c>
      <c r="H53" s="28">
        <f t="shared" si="9"/>
        <v>26</v>
      </c>
      <c r="I53" s="3">
        <f t="shared" si="10"/>
        <v>10</v>
      </c>
      <c r="J53" s="30">
        <f t="shared" si="11"/>
        <v>3</v>
      </c>
      <c r="K53" s="137">
        <f t="shared" si="12"/>
        <v>46609500</v>
      </c>
      <c r="L53" s="77"/>
      <c r="M53" s="66">
        <f t="shared" si="34"/>
        <v>2042</v>
      </c>
      <c r="N53" s="67">
        <f>'Travel Time'!E86</f>
        <v>26645</v>
      </c>
      <c r="O53" s="12">
        <f t="shared" si="13"/>
        <v>121</v>
      </c>
      <c r="P53" s="27">
        <f t="shared" si="14"/>
        <v>204</v>
      </c>
      <c r="Q53" s="2">
        <f t="shared" si="15"/>
        <v>103</v>
      </c>
      <c r="R53" s="12">
        <f t="shared" si="16"/>
        <v>61</v>
      </c>
      <c r="S53" s="2">
        <f t="shared" si="17"/>
        <v>21</v>
      </c>
      <c r="T53" s="28">
        <f t="shared" si="18"/>
        <v>26</v>
      </c>
      <c r="U53" s="3">
        <f t="shared" si="19"/>
        <v>10</v>
      </c>
      <c r="V53" s="30">
        <f t="shared" si="20"/>
        <v>3</v>
      </c>
      <c r="W53" s="137">
        <f t="shared" si="21"/>
        <v>46609500</v>
      </c>
      <c r="X53" s="2">
        <f t="shared" si="22"/>
        <v>72.408964073944887</v>
      </c>
      <c r="Y53" s="12">
        <f t="shared" si="23"/>
        <v>42.882978723404257</v>
      </c>
      <c r="Z53" s="2">
        <f t="shared" si="35"/>
        <v>9.6721991701244789</v>
      </c>
      <c r="AA53" s="12">
        <f t="shared" si="36"/>
        <v>11.975103734439832</v>
      </c>
      <c r="AB53" s="2">
        <f t="shared" si="37"/>
        <v>4.605809128630705</v>
      </c>
      <c r="AC53" s="12">
        <f t="shared" si="24"/>
        <v>1.7142857142857144</v>
      </c>
      <c r="AD53" s="137">
        <f t="shared" si="25"/>
        <v>25497474</v>
      </c>
      <c r="AE53" s="2">
        <f t="shared" si="26"/>
        <v>54.960799999999999</v>
      </c>
      <c r="AF53" s="12">
        <f t="shared" si="27"/>
        <v>32.549599999999998</v>
      </c>
      <c r="AG53" s="2">
        <f t="shared" si="28"/>
        <v>11.205599999999999</v>
      </c>
      <c r="AH53" s="12">
        <f t="shared" si="29"/>
        <v>13.8736</v>
      </c>
      <c r="AI53" s="2">
        <f t="shared" si="30"/>
        <v>5.3359999999999994</v>
      </c>
      <c r="AJ53" s="12">
        <f t="shared" si="31"/>
        <v>1.6008</v>
      </c>
      <c r="AK53" s="137">
        <f t="shared" si="32"/>
        <v>24870829</v>
      </c>
      <c r="IZ53" s="1"/>
    </row>
    <row r="54" spans="1:260">
      <c r="A54" s="66">
        <f t="shared" si="33"/>
        <v>2043</v>
      </c>
      <c r="B54" s="11">
        <f>'Travel Time'!B87</f>
        <v>27061</v>
      </c>
      <c r="C54" s="12">
        <f t="shared" si="4"/>
        <v>123</v>
      </c>
      <c r="D54" s="27">
        <f t="shared" si="5"/>
        <v>207</v>
      </c>
      <c r="E54" s="2">
        <f t="shared" si="6"/>
        <v>104</v>
      </c>
      <c r="F54" s="12">
        <f t="shared" si="7"/>
        <v>62</v>
      </c>
      <c r="G54" s="2">
        <f t="shared" si="8"/>
        <v>22</v>
      </c>
      <c r="H54" s="28">
        <f t="shared" si="9"/>
        <v>27</v>
      </c>
      <c r="I54" s="3">
        <f t="shared" si="10"/>
        <v>10</v>
      </c>
      <c r="J54" s="30">
        <f t="shared" si="11"/>
        <v>3</v>
      </c>
      <c r="K54" s="137">
        <f t="shared" si="12"/>
        <v>46846300</v>
      </c>
      <c r="L54" s="77"/>
      <c r="M54" s="66">
        <f t="shared" si="34"/>
        <v>2043</v>
      </c>
      <c r="N54" s="67">
        <f>'Travel Time'!E87</f>
        <v>27061</v>
      </c>
      <c r="O54" s="12">
        <f t="shared" si="13"/>
        <v>123</v>
      </c>
      <c r="P54" s="27">
        <f t="shared" si="14"/>
        <v>207</v>
      </c>
      <c r="Q54" s="2">
        <f t="shared" si="15"/>
        <v>104</v>
      </c>
      <c r="R54" s="12">
        <f t="shared" si="16"/>
        <v>62</v>
      </c>
      <c r="S54" s="2">
        <f t="shared" si="17"/>
        <v>22</v>
      </c>
      <c r="T54" s="28">
        <f t="shared" si="18"/>
        <v>27</v>
      </c>
      <c r="U54" s="3">
        <f t="shared" si="19"/>
        <v>10</v>
      </c>
      <c r="V54" s="30">
        <f t="shared" si="20"/>
        <v>3</v>
      </c>
      <c r="W54" s="137">
        <f t="shared" si="21"/>
        <v>46846300</v>
      </c>
      <c r="X54" s="2">
        <f t="shared" si="22"/>
        <v>73.111963725148243</v>
      </c>
      <c r="Y54" s="12">
        <f t="shared" si="23"/>
        <v>43.585978374607606</v>
      </c>
      <c r="Z54" s="2">
        <f t="shared" si="35"/>
        <v>10.13278008298755</v>
      </c>
      <c r="AA54" s="12">
        <f t="shared" si="36"/>
        <v>12.435684647302903</v>
      </c>
      <c r="AB54" s="2">
        <f t="shared" si="37"/>
        <v>4.605809128630705</v>
      </c>
      <c r="AC54" s="12">
        <f t="shared" si="24"/>
        <v>1.7142857142857144</v>
      </c>
      <c r="AD54" s="137">
        <f t="shared" si="25"/>
        <v>25608600</v>
      </c>
      <c r="AE54" s="2">
        <f t="shared" si="26"/>
        <v>55.494399999999999</v>
      </c>
      <c r="AF54" s="12">
        <f t="shared" si="27"/>
        <v>33.083199999999998</v>
      </c>
      <c r="AG54" s="2">
        <f t="shared" si="28"/>
        <v>11.739199999999999</v>
      </c>
      <c r="AH54" s="12">
        <f t="shared" si="29"/>
        <v>14.4072</v>
      </c>
      <c r="AI54" s="2">
        <f t="shared" si="30"/>
        <v>5.3359999999999994</v>
      </c>
      <c r="AJ54" s="12">
        <f t="shared" si="31"/>
        <v>1.6008</v>
      </c>
      <c r="AK54" s="137">
        <f t="shared" si="32"/>
        <v>24997186</v>
      </c>
      <c r="IZ54" s="1"/>
    </row>
    <row r="55" spans="1:260">
      <c r="A55" s="66">
        <f t="shared" si="33"/>
        <v>2044</v>
      </c>
      <c r="B55" s="11">
        <f>'Travel Time'!B88</f>
        <v>27483</v>
      </c>
      <c r="C55" s="12">
        <f t="shared" si="4"/>
        <v>125</v>
      </c>
      <c r="D55" s="27">
        <f t="shared" si="5"/>
        <v>211</v>
      </c>
      <c r="E55" s="2">
        <f t="shared" si="6"/>
        <v>106</v>
      </c>
      <c r="F55" s="12">
        <f t="shared" si="7"/>
        <v>63</v>
      </c>
      <c r="G55" s="2">
        <f t="shared" si="8"/>
        <v>22</v>
      </c>
      <c r="H55" s="28">
        <f t="shared" si="9"/>
        <v>27</v>
      </c>
      <c r="I55" s="3">
        <f t="shared" si="10"/>
        <v>10</v>
      </c>
      <c r="J55" s="30">
        <f t="shared" si="11"/>
        <v>3</v>
      </c>
      <c r="K55" s="137">
        <f t="shared" si="12"/>
        <v>46859400</v>
      </c>
      <c r="L55" s="77"/>
      <c r="M55" s="66">
        <f t="shared" si="34"/>
        <v>2044</v>
      </c>
      <c r="N55" s="67">
        <f>'Travel Time'!E88</f>
        <v>27483</v>
      </c>
      <c r="O55" s="12">
        <f t="shared" si="13"/>
        <v>125</v>
      </c>
      <c r="P55" s="27">
        <f t="shared" si="14"/>
        <v>211</v>
      </c>
      <c r="Q55" s="2">
        <f t="shared" si="15"/>
        <v>106</v>
      </c>
      <c r="R55" s="12">
        <f t="shared" si="16"/>
        <v>63</v>
      </c>
      <c r="S55" s="2">
        <f t="shared" si="17"/>
        <v>22</v>
      </c>
      <c r="T55" s="28">
        <f t="shared" si="18"/>
        <v>27</v>
      </c>
      <c r="U55" s="3">
        <f t="shared" si="19"/>
        <v>10</v>
      </c>
      <c r="V55" s="30">
        <f t="shared" si="20"/>
        <v>3</v>
      </c>
      <c r="W55" s="137">
        <f t="shared" si="21"/>
        <v>46859400</v>
      </c>
      <c r="X55" s="2">
        <f t="shared" si="22"/>
        <v>74.517963027554941</v>
      </c>
      <c r="Y55" s="12">
        <f t="shared" si="23"/>
        <v>44.288978025810948</v>
      </c>
      <c r="Z55" s="2">
        <f t="shared" si="35"/>
        <v>10.13278008298755</v>
      </c>
      <c r="AA55" s="12">
        <f t="shared" si="36"/>
        <v>12.435684647302903</v>
      </c>
      <c r="AB55" s="2">
        <f t="shared" si="37"/>
        <v>4.605809128630705</v>
      </c>
      <c r="AC55" s="12">
        <f t="shared" si="24"/>
        <v>1.7142857142857144</v>
      </c>
      <c r="AD55" s="137">
        <f t="shared" si="25"/>
        <v>25617809</v>
      </c>
      <c r="AE55" s="2">
        <f t="shared" si="26"/>
        <v>56.561599999999999</v>
      </c>
      <c r="AF55" s="12">
        <f t="shared" si="27"/>
        <v>33.616799999999998</v>
      </c>
      <c r="AG55" s="2">
        <f t="shared" si="28"/>
        <v>11.739199999999999</v>
      </c>
      <c r="AH55" s="12">
        <f t="shared" si="29"/>
        <v>14.4072</v>
      </c>
      <c r="AI55" s="2">
        <f t="shared" si="30"/>
        <v>5.3359999999999994</v>
      </c>
      <c r="AJ55" s="12">
        <f t="shared" si="31"/>
        <v>1.6008</v>
      </c>
      <c r="AK55" s="137">
        <f t="shared" si="32"/>
        <v>25004176</v>
      </c>
      <c r="IZ55" s="1"/>
    </row>
    <row r="56" spans="1:260">
      <c r="A56" s="66">
        <f t="shared" si="33"/>
        <v>2045</v>
      </c>
      <c r="B56" s="11">
        <f>'Travel Time'!B89</f>
        <v>27911</v>
      </c>
      <c r="C56" s="12">
        <f t="shared" si="4"/>
        <v>127</v>
      </c>
      <c r="D56" s="27">
        <f t="shared" si="5"/>
        <v>214</v>
      </c>
      <c r="E56" s="2">
        <f t="shared" si="6"/>
        <v>108</v>
      </c>
      <c r="F56" s="12">
        <f t="shared" si="7"/>
        <v>64</v>
      </c>
      <c r="G56" s="2">
        <f t="shared" si="8"/>
        <v>22</v>
      </c>
      <c r="H56" s="28">
        <f t="shared" si="9"/>
        <v>28</v>
      </c>
      <c r="I56" s="3">
        <f t="shared" si="10"/>
        <v>10</v>
      </c>
      <c r="J56" s="30">
        <f t="shared" si="11"/>
        <v>3</v>
      </c>
      <c r="K56" s="137">
        <f t="shared" si="12"/>
        <v>47023600</v>
      </c>
      <c r="L56" s="77"/>
      <c r="M56" s="66">
        <f t="shared" si="34"/>
        <v>2045</v>
      </c>
      <c r="N56" s="67">
        <f>'Travel Time'!E89</f>
        <v>27911</v>
      </c>
      <c r="O56" s="12">
        <f t="shared" si="13"/>
        <v>127</v>
      </c>
      <c r="P56" s="27">
        <f t="shared" si="14"/>
        <v>214</v>
      </c>
      <c r="Q56" s="2">
        <f t="shared" si="15"/>
        <v>108</v>
      </c>
      <c r="R56" s="12">
        <f t="shared" si="16"/>
        <v>64</v>
      </c>
      <c r="S56" s="2">
        <f t="shared" si="17"/>
        <v>22</v>
      </c>
      <c r="T56" s="28">
        <f t="shared" si="18"/>
        <v>28</v>
      </c>
      <c r="U56" s="3">
        <f t="shared" si="19"/>
        <v>10</v>
      </c>
      <c r="V56" s="30">
        <f t="shared" si="20"/>
        <v>3</v>
      </c>
      <c r="W56" s="137">
        <f t="shared" si="21"/>
        <v>47023600</v>
      </c>
      <c r="X56" s="2">
        <f t="shared" si="22"/>
        <v>75.923962329961626</v>
      </c>
      <c r="Y56" s="12">
        <f t="shared" si="23"/>
        <v>44.991977677014305</v>
      </c>
      <c r="Z56" s="2">
        <f t="shared" si="35"/>
        <v>10.13278008298755</v>
      </c>
      <c r="AA56" s="12">
        <f t="shared" si="36"/>
        <v>12.896265560165972</v>
      </c>
      <c r="AB56" s="2">
        <f t="shared" si="37"/>
        <v>4.605809128630705</v>
      </c>
      <c r="AC56" s="12">
        <f t="shared" si="24"/>
        <v>1.7142857142857144</v>
      </c>
      <c r="AD56" s="137">
        <f t="shared" si="25"/>
        <v>25696612</v>
      </c>
      <c r="AE56" s="2">
        <f t="shared" si="26"/>
        <v>57.628799999999998</v>
      </c>
      <c r="AF56" s="12">
        <f t="shared" si="27"/>
        <v>34.150399999999998</v>
      </c>
      <c r="AG56" s="2">
        <f t="shared" si="28"/>
        <v>11.739199999999999</v>
      </c>
      <c r="AH56" s="12">
        <f t="shared" si="29"/>
        <v>14.940799999999999</v>
      </c>
      <c r="AI56" s="2">
        <f t="shared" si="30"/>
        <v>5.3359999999999994</v>
      </c>
      <c r="AJ56" s="12">
        <f t="shared" si="31"/>
        <v>1.6008</v>
      </c>
      <c r="AK56" s="137">
        <f t="shared" si="32"/>
        <v>25091793</v>
      </c>
      <c r="IZ56" s="1"/>
    </row>
    <row r="57" spans="1:260">
      <c r="A57" s="66">
        <f t="shared" si="33"/>
        <v>2046</v>
      </c>
      <c r="B57" s="11">
        <f>'Travel Time'!B90</f>
        <v>28346</v>
      </c>
      <c r="C57" s="12">
        <f t="shared" si="4"/>
        <v>129</v>
      </c>
      <c r="D57" s="27">
        <f t="shared" si="5"/>
        <v>217</v>
      </c>
      <c r="E57" s="2">
        <f t="shared" si="6"/>
        <v>109</v>
      </c>
      <c r="F57" s="12">
        <f t="shared" si="7"/>
        <v>65</v>
      </c>
      <c r="G57" s="2">
        <f t="shared" si="8"/>
        <v>23</v>
      </c>
      <c r="H57" s="28">
        <f t="shared" si="9"/>
        <v>28</v>
      </c>
      <c r="I57" s="3">
        <f t="shared" si="10"/>
        <v>10</v>
      </c>
      <c r="J57" s="30">
        <f t="shared" si="11"/>
        <v>3</v>
      </c>
      <c r="K57" s="137">
        <f t="shared" si="12"/>
        <v>47109300</v>
      </c>
      <c r="L57" s="77"/>
      <c r="M57" s="66">
        <f t="shared" si="34"/>
        <v>2046</v>
      </c>
      <c r="N57" s="67">
        <f>'Travel Time'!E90</f>
        <v>28346</v>
      </c>
      <c r="O57" s="12">
        <f t="shared" si="13"/>
        <v>129</v>
      </c>
      <c r="P57" s="27">
        <f t="shared" si="14"/>
        <v>217</v>
      </c>
      <c r="Q57" s="2">
        <f t="shared" si="15"/>
        <v>109</v>
      </c>
      <c r="R57" s="12">
        <f t="shared" si="16"/>
        <v>65</v>
      </c>
      <c r="S57" s="2">
        <f t="shared" si="17"/>
        <v>23</v>
      </c>
      <c r="T57" s="28">
        <f t="shared" si="18"/>
        <v>28</v>
      </c>
      <c r="U57" s="3">
        <f t="shared" si="19"/>
        <v>10</v>
      </c>
      <c r="V57" s="30">
        <f t="shared" si="20"/>
        <v>3</v>
      </c>
      <c r="W57" s="137">
        <f t="shared" si="21"/>
        <v>47109300</v>
      </c>
      <c r="X57" s="2">
        <f t="shared" si="22"/>
        <v>76.626961981164982</v>
      </c>
      <c r="Y57" s="12">
        <f t="shared" si="23"/>
        <v>45.694977328217647</v>
      </c>
      <c r="Z57" s="2">
        <f t="shared" si="35"/>
        <v>10.59336099585062</v>
      </c>
      <c r="AA57" s="12">
        <f t="shared" si="36"/>
        <v>12.896265560165972</v>
      </c>
      <c r="AB57" s="2">
        <f t="shared" si="37"/>
        <v>4.605809128630705</v>
      </c>
      <c r="AC57" s="12">
        <f t="shared" si="24"/>
        <v>1.7142857142857144</v>
      </c>
      <c r="AD57" s="137">
        <f t="shared" si="25"/>
        <v>25738145</v>
      </c>
      <c r="AE57" s="2">
        <f t="shared" si="26"/>
        <v>58.162399999999998</v>
      </c>
      <c r="AF57" s="12">
        <f t="shared" si="27"/>
        <v>34.683999999999997</v>
      </c>
      <c r="AG57" s="2">
        <f t="shared" si="28"/>
        <v>12.272799999999998</v>
      </c>
      <c r="AH57" s="12">
        <f t="shared" si="29"/>
        <v>14.940799999999999</v>
      </c>
      <c r="AI57" s="2">
        <f t="shared" si="30"/>
        <v>5.3359999999999994</v>
      </c>
      <c r="AJ57" s="12">
        <f t="shared" si="31"/>
        <v>1.6008</v>
      </c>
      <c r="AK57" s="137">
        <f t="shared" si="32"/>
        <v>25137522</v>
      </c>
      <c r="IZ57" s="1"/>
    </row>
    <row r="58" spans="1:260">
      <c r="A58" s="66">
        <f t="shared" si="33"/>
        <v>2047</v>
      </c>
      <c r="B58" s="11">
        <f>'Travel Time'!B91</f>
        <v>28789</v>
      </c>
      <c r="C58" s="12">
        <f t="shared" si="4"/>
        <v>131</v>
      </c>
      <c r="D58" s="27">
        <f t="shared" si="5"/>
        <v>221</v>
      </c>
      <c r="E58" s="2">
        <f t="shared" si="6"/>
        <v>111</v>
      </c>
      <c r="F58" s="12">
        <f t="shared" si="7"/>
        <v>66</v>
      </c>
      <c r="G58" s="2">
        <f t="shared" si="8"/>
        <v>23</v>
      </c>
      <c r="H58" s="28">
        <f t="shared" si="9"/>
        <v>29</v>
      </c>
      <c r="I58" s="3">
        <f t="shared" si="10"/>
        <v>10</v>
      </c>
      <c r="J58" s="30">
        <f t="shared" si="11"/>
        <v>3</v>
      </c>
      <c r="K58" s="137">
        <f t="shared" si="12"/>
        <v>47273500</v>
      </c>
      <c r="L58" s="77"/>
      <c r="M58" s="66">
        <f t="shared" si="34"/>
        <v>2047</v>
      </c>
      <c r="N58" s="67">
        <f>'Travel Time'!E91</f>
        <v>28789</v>
      </c>
      <c r="O58" s="12">
        <f t="shared" si="13"/>
        <v>131</v>
      </c>
      <c r="P58" s="27">
        <f t="shared" si="14"/>
        <v>221</v>
      </c>
      <c r="Q58" s="2">
        <f t="shared" si="15"/>
        <v>111</v>
      </c>
      <c r="R58" s="12">
        <f t="shared" si="16"/>
        <v>66</v>
      </c>
      <c r="S58" s="2">
        <f t="shared" si="17"/>
        <v>23</v>
      </c>
      <c r="T58" s="28">
        <f t="shared" si="18"/>
        <v>29</v>
      </c>
      <c r="U58" s="3">
        <f t="shared" si="19"/>
        <v>10</v>
      </c>
      <c r="V58" s="30">
        <f t="shared" si="20"/>
        <v>3</v>
      </c>
      <c r="W58" s="137">
        <f t="shared" si="21"/>
        <v>47273500</v>
      </c>
      <c r="X58" s="2">
        <f t="shared" si="22"/>
        <v>78.03296128357168</v>
      </c>
      <c r="Y58" s="12">
        <f t="shared" si="23"/>
        <v>46.397976979421003</v>
      </c>
      <c r="Z58" s="2">
        <f t="shared" si="35"/>
        <v>10.59336099585062</v>
      </c>
      <c r="AA58" s="12">
        <f t="shared" si="36"/>
        <v>13.356846473029043</v>
      </c>
      <c r="AB58" s="2">
        <f t="shared" si="37"/>
        <v>4.605809128630705</v>
      </c>
      <c r="AC58" s="12">
        <f t="shared" si="24"/>
        <v>1.7142857142857144</v>
      </c>
      <c r="AD58" s="137">
        <f t="shared" si="25"/>
        <v>25816948</v>
      </c>
      <c r="AE58" s="2">
        <f t="shared" si="26"/>
        <v>59.229599999999998</v>
      </c>
      <c r="AF58" s="12">
        <f t="shared" si="27"/>
        <v>35.217599999999997</v>
      </c>
      <c r="AG58" s="2">
        <f t="shared" si="28"/>
        <v>12.272799999999998</v>
      </c>
      <c r="AH58" s="12">
        <f t="shared" si="29"/>
        <v>15.474399999999999</v>
      </c>
      <c r="AI58" s="2">
        <f t="shared" si="30"/>
        <v>5.3359999999999994</v>
      </c>
      <c r="AJ58" s="12">
        <f t="shared" si="31"/>
        <v>1.6008</v>
      </c>
      <c r="AK58" s="137">
        <f t="shared" si="32"/>
        <v>25225140</v>
      </c>
      <c r="IZ58" s="1"/>
    </row>
    <row r="59" spans="1:260" ht="14.4" thickBot="1">
      <c r="A59" s="66">
        <f t="shared" si="33"/>
        <v>2048</v>
      </c>
      <c r="B59" s="11">
        <f>'Travel Time'!B92</f>
        <v>29237</v>
      </c>
      <c r="C59" s="12">
        <f t="shared" si="4"/>
        <v>133</v>
      </c>
      <c r="D59" s="27">
        <f t="shared" si="5"/>
        <v>224</v>
      </c>
      <c r="E59" s="2">
        <f t="shared" si="6"/>
        <v>113</v>
      </c>
      <c r="F59" s="12">
        <f t="shared" si="7"/>
        <v>67</v>
      </c>
      <c r="G59" s="2">
        <f t="shared" si="8"/>
        <v>23</v>
      </c>
      <c r="H59" s="28">
        <f t="shared" si="9"/>
        <v>29</v>
      </c>
      <c r="I59" s="3">
        <f t="shared" si="10"/>
        <v>11</v>
      </c>
      <c r="J59" s="30">
        <f t="shared" si="11"/>
        <v>3</v>
      </c>
      <c r="K59" s="138">
        <f t="shared" si="12"/>
        <v>47841400</v>
      </c>
      <c r="L59" s="77"/>
      <c r="M59" s="66">
        <f t="shared" si="34"/>
        <v>2048</v>
      </c>
      <c r="N59" s="67">
        <f>'Travel Time'!E92</f>
        <v>29237</v>
      </c>
      <c r="O59" s="12">
        <f t="shared" si="13"/>
        <v>133</v>
      </c>
      <c r="P59" s="27">
        <f t="shared" si="14"/>
        <v>224</v>
      </c>
      <c r="Q59" s="2">
        <f t="shared" si="15"/>
        <v>113</v>
      </c>
      <c r="R59" s="12">
        <f t="shared" si="16"/>
        <v>67</v>
      </c>
      <c r="S59" s="2">
        <f t="shared" si="17"/>
        <v>23</v>
      </c>
      <c r="T59" s="28">
        <f t="shared" si="18"/>
        <v>29</v>
      </c>
      <c r="U59" s="3">
        <f t="shared" si="19"/>
        <v>11</v>
      </c>
      <c r="V59" s="30">
        <f t="shared" si="20"/>
        <v>3</v>
      </c>
      <c r="W59" s="138">
        <f t="shared" si="21"/>
        <v>47841400</v>
      </c>
      <c r="X59" s="2">
        <f t="shared" si="22"/>
        <v>79.438960585978379</v>
      </c>
      <c r="Y59" s="12">
        <f t="shared" si="23"/>
        <v>47.100976630624345</v>
      </c>
      <c r="Z59" s="2">
        <f t="shared" si="35"/>
        <v>10.59336099585062</v>
      </c>
      <c r="AA59" s="12">
        <f t="shared" si="36"/>
        <v>13.356846473029043</v>
      </c>
      <c r="AB59" s="2">
        <f t="shared" si="37"/>
        <v>5.0663900414937748</v>
      </c>
      <c r="AC59" s="12">
        <f t="shared" si="24"/>
        <v>1.7142857142857144</v>
      </c>
      <c r="AD59" s="138">
        <f t="shared" si="25"/>
        <v>26081687</v>
      </c>
      <c r="AE59" s="2">
        <f t="shared" si="26"/>
        <v>60.296799999999998</v>
      </c>
      <c r="AF59" s="12">
        <f t="shared" si="27"/>
        <v>35.751199999999997</v>
      </c>
      <c r="AG59" s="2">
        <f t="shared" si="28"/>
        <v>12.272799999999998</v>
      </c>
      <c r="AH59" s="12">
        <f t="shared" si="29"/>
        <v>15.474399999999999</v>
      </c>
      <c r="AI59" s="2">
        <f t="shared" si="30"/>
        <v>5.8695999999999993</v>
      </c>
      <c r="AJ59" s="12">
        <f t="shared" si="31"/>
        <v>1.6008</v>
      </c>
      <c r="AK59" s="138">
        <f t="shared" si="32"/>
        <v>25528171</v>
      </c>
      <c r="IZ59" s="1"/>
    </row>
    <row r="60" spans="1:260" ht="14.4" thickTop="1">
      <c r="A60" s="398" t="s">
        <v>16</v>
      </c>
      <c r="B60" s="399"/>
      <c r="C60" s="399"/>
      <c r="D60" s="399"/>
      <c r="E60" s="399"/>
      <c r="F60" s="399"/>
      <c r="G60" s="399"/>
      <c r="H60" s="399"/>
      <c r="I60" s="399"/>
      <c r="J60" s="400"/>
      <c r="K60" s="139">
        <f>SUM(K38:K59)</f>
        <v>936564400</v>
      </c>
      <c r="L60" s="77"/>
      <c r="M60" s="398" t="s">
        <v>16</v>
      </c>
      <c r="N60" s="399"/>
      <c r="O60" s="399"/>
      <c r="P60" s="399"/>
      <c r="Q60" s="399"/>
      <c r="R60" s="399"/>
      <c r="S60" s="399"/>
      <c r="T60" s="399"/>
      <c r="U60" s="399"/>
      <c r="V60" s="400"/>
      <c r="W60" s="40">
        <f>SUM(W38:W59)</f>
        <v>936564400</v>
      </c>
      <c r="X60" s="105"/>
      <c r="Y60" s="77"/>
      <c r="Z60" s="77"/>
      <c r="AA60" s="77"/>
      <c r="AD60" s="40">
        <f>SUM(AD38:AD59)</f>
        <v>512059780</v>
      </c>
      <c r="AE60" s="105"/>
      <c r="AK60" s="40">
        <f>SUM(AK38:AK59)</f>
        <v>499750765</v>
      </c>
      <c r="IZ60" s="1"/>
    </row>
    <row r="61" spans="1:260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D61" s="105"/>
    </row>
    <row r="62" spans="1:260">
      <c r="A62" s="365" t="s">
        <v>67</v>
      </c>
      <c r="B62" s="407"/>
      <c r="C62" s="407"/>
      <c r="D62" s="407"/>
      <c r="E62" s="407"/>
      <c r="F62" s="407"/>
      <c r="G62" s="407"/>
      <c r="H62" s="407"/>
      <c r="I62" s="395"/>
      <c r="J62" s="77"/>
      <c r="K62" s="77"/>
      <c r="L62" s="65"/>
      <c r="M62" s="65"/>
      <c r="N62" s="88"/>
      <c r="O62" s="88"/>
      <c r="P62" s="88"/>
      <c r="Q62" s="88"/>
      <c r="R62" s="88"/>
      <c r="S62" s="88"/>
      <c r="T62" s="88"/>
      <c r="U62" s="89"/>
      <c r="V62" s="77"/>
      <c r="W62" s="77"/>
      <c r="X62" s="77"/>
      <c r="Y62" s="90"/>
      <c r="Z62" s="90"/>
      <c r="AA62" s="90"/>
      <c r="AB62" s="90"/>
    </row>
    <row r="63" spans="1:260">
      <c r="A63" s="365" t="s">
        <v>68</v>
      </c>
      <c r="B63" s="407"/>
      <c r="C63" s="407"/>
      <c r="D63" s="407"/>
      <c r="E63" s="407"/>
      <c r="F63" s="407"/>
      <c r="G63" s="407"/>
      <c r="H63" s="407"/>
      <c r="I63" s="395"/>
      <c r="J63" s="77"/>
      <c r="K63" s="77"/>
      <c r="L63" s="81"/>
      <c r="M63" s="81"/>
      <c r="N63" s="91"/>
      <c r="O63" s="92"/>
      <c r="P63" s="93"/>
      <c r="Q63" s="93"/>
      <c r="R63" s="93"/>
      <c r="S63" s="93"/>
      <c r="T63" s="94"/>
      <c r="U63" s="95"/>
      <c r="V63" s="87"/>
      <c r="W63" s="77"/>
      <c r="X63" s="77"/>
      <c r="Y63" s="87"/>
      <c r="Z63" s="87"/>
      <c r="AA63" s="87"/>
      <c r="AB63" s="87"/>
      <c r="AC63" s="87"/>
      <c r="AD63" s="87"/>
      <c r="AE63" s="87"/>
      <c r="AF63" s="87"/>
      <c r="AG63" s="87"/>
    </row>
    <row r="64" spans="1:260">
      <c r="A64" s="348"/>
      <c r="B64" s="348"/>
      <c r="C64" s="18">
        <v>2016</v>
      </c>
      <c r="D64" s="18">
        <v>2017</v>
      </c>
      <c r="E64" s="18">
        <v>2018</v>
      </c>
      <c r="F64" s="18">
        <v>2019</v>
      </c>
      <c r="G64" s="18">
        <v>2020</v>
      </c>
      <c r="H64" s="354" t="s">
        <v>69</v>
      </c>
      <c r="I64" s="354"/>
      <c r="J64" s="77"/>
      <c r="K64" s="77"/>
      <c r="L64" s="96"/>
      <c r="M64" s="96"/>
      <c r="N64" s="91"/>
      <c r="O64" s="97"/>
      <c r="P64" s="97"/>
      <c r="Q64" s="97"/>
      <c r="R64" s="97"/>
      <c r="S64" s="93"/>
      <c r="T64" s="94"/>
      <c r="U64" s="98"/>
      <c r="V64" s="99"/>
      <c r="W64" s="77"/>
      <c r="X64" s="77"/>
      <c r="Y64" s="77"/>
      <c r="Z64" s="77"/>
      <c r="AA64" s="108"/>
      <c r="AB64" s="83"/>
      <c r="AC64" s="83"/>
      <c r="AD64" s="83"/>
      <c r="AE64" s="83"/>
      <c r="AF64" s="99"/>
      <c r="AG64" s="99"/>
    </row>
    <row r="65" spans="1:33">
      <c r="A65" s="397" t="s">
        <v>66</v>
      </c>
      <c r="B65" s="68" t="s">
        <v>70</v>
      </c>
      <c r="C65" s="13">
        <v>2</v>
      </c>
      <c r="D65" s="24">
        <v>2</v>
      </c>
      <c r="E65" s="13">
        <v>0</v>
      </c>
      <c r="F65" s="24">
        <v>4</v>
      </c>
      <c r="G65" s="13">
        <v>2</v>
      </c>
      <c r="H65" s="24">
        <f t="shared" ref="H65:H74" si="38">SUM(C65:G65)</f>
        <v>10</v>
      </c>
      <c r="I65" s="14">
        <f>H65/$H$75</f>
        <v>2.3980815347721823E-2</v>
      </c>
      <c r="J65" s="77"/>
      <c r="K65" s="77"/>
      <c r="L65" s="96"/>
      <c r="M65" s="96"/>
      <c r="N65" s="91"/>
      <c r="O65" s="97"/>
      <c r="P65" s="97"/>
      <c r="Q65" s="97"/>
      <c r="R65" s="97"/>
      <c r="S65" s="93"/>
      <c r="T65" s="94"/>
      <c r="U65" s="98"/>
      <c r="V65" s="100"/>
      <c r="W65" s="77"/>
      <c r="X65" s="77"/>
      <c r="Y65" s="84"/>
      <c r="Z65" s="77"/>
      <c r="AA65" s="82"/>
      <c r="AB65" s="82"/>
      <c r="AC65" s="82"/>
      <c r="AD65" s="82"/>
      <c r="AE65" s="82"/>
      <c r="AF65" s="102"/>
      <c r="AG65" s="100"/>
    </row>
    <row r="66" spans="1:33">
      <c r="A66" s="397"/>
      <c r="B66" s="69" t="s">
        <v>71</v>
      </c>
      <c r="C66" s="15">
        <v>2</v>
      </c>
      <c r="D66" s="25">
        <v>2</v>
      </c>
      <c r="E66" s="15">
        <v>0</v>
      </c>
      <c r="F66" s="25">
        <v>4</v>
      </c>
      <c r="G66" s="15">
        <v>2</v>
      </c>
      <c r="H66" s="25">
        <f>SUM(C66:G66)</f>
        <v>10</v>
      </c>
      <c r="I66" s="16">
        <f>H66/$H$76</f>
        <v>2.8328611898016998E-2</v>
      </c>
      <c r="J66" s="77"/>
      <c r="K66" s="77"/>
      <c r="L66" s="96"/>
      <c r="M66" s="96"/>
      <c r="N66" s="91"/>
      <c r="O66" s="97"/>
      <c r="P66" s="97"/>
      <c r="Q66" s="97"/>
      <c r="R66" s="97"/>
      <c r="S66" s="93"/>
      <c r="T66" s="94"/>
      <c r="U66" s="98"/>
      <c r="V66" s="100"/>
      <c r="W66" s="77"/>
      <c r="X66" s="77"/>
      <c r="Y66" s="84"/>
      <c r="Z66" s="77"/>
      <c r="AA66" s="82"/>
      <c r="AB66" s="82"/>
      <c r="AC66" s="82"/>
      <c r="AD66" s="82"/>
      <c r="AE66" s="82"/>
      <c r="AF66" s="102"/>
      <c r="AG66" s="100"/>
    </row>
    <row r="67" spans="1:33">
      <c r="A67" s="397" t="s">
        <v>72</v>
      </c>
      <c r="B67" s="68" t="s">
        <v>70</v>
      </c>
      <c r="C67" s="13">
        <v>13</v>
      </c>
      <c r="D67" s="24">
        <v>3</v>
      </c>
      <c r="E67" s="13">
        <v>8</v>
      </c>
      <c r="F67" s="24">
        <v>4</v>
      </c>
      <c r="G67" s="13">
        <v>5</v>
      </c>
      <c r="H67" s="24">
        <f t="shared" si="38"/>
        <v>33</v>
      </c>
      <c r="I67" s="14">
        <f>H67/$H$75</f>
        <v>7.9136690647482008E-2</v>
      </c>
      <c r="J67" s="77"/>
      <c r="K67" s="77"/>
      <c r="L67" s="96"/>
      <c r="M67" s="96"/>
      <c r="N67" s="96"/>
      <c r="O67" s="81"/>
      <c r="P67" s="97"/>
      <c r="Q67" s="97"/>
      <c r="R67" s="97"/>
      <c r="S67" s="97"/>
      <c r="T67" s="101"/>
      <c r="U67" s="98"/>
      <c r="V67" s="100"/>
      <c r="W67" s="77"/>
      <c r="X67" s="77"/>
      <c r="Y67" s="84"/>
      <c r="Z67" s="77"/>
      <c r="AA67" s="82"/>
      <c r="AB67" s="82"/>
      <c r="AC67" s="82"/>
      <c r="AD67" s="82"/>
      <c r="AE67" s="82"/>
      <c r="AF67" s="102"/>
      <c r="AG67" s="100"/>
    </row>
    <row r="68" spans="1:33">
      <c r="A68" s="397"/>
      <c r="B68" s="69" t="s">
        <v>71</v>
      </c>
      <c r="C68" s="15">
        <v>19</v>
      </c>
      <c r="D68" s="25">
        <v>3</v>
      </c>
      <c r="E68" s="15">
        <v>8</v>
      </c>
      <c r="F68" s="25">
        <v>6</v>
      </c>
      <c r="G68" s="15">
        <v>5</v>
      </c>
      <c r="H68" s="25">
        <f t="shared" si="38"/>
        <v>41</v>
      </c>
      <c r="I68" s="16">
        <f>H68/$H$76</f>
        <v>0.11614730878186968</v>
      </c>
      <c r="J68" s="77"/>
      <c r="K68" s="77"/>
      <c r="L68" s="84"/>
      <c r="M68" s="84"/>
      <c r="N68" s="77"/>
      <c r="O68" s="82"/>
      <c r="P68" s="77"/>
      <c r="Q68" s="77"/>
      <c r="R68" s="77"/>
      <c r="S68" s="77"/>
      <c r="T68" s="77"/>
      <c r="U68" s="102"/>
      <c r="V68" s="100"/>
      <c r="W68" s="77"/>
      <c r="X68" s="77"/>
      <c r="Y68" s="84"/>
      <c r="Z68" s="77"/>
      <c r="AA68" s="82"/>
      <c r="AB68" s="82"/>
      <c r="AC68" s="82"/>
      <c r="AD68" s="82"/>
      <c r="AE68" s="82"/>
      <c r="AF68" s="102"/>
      <c r="AG68" s="100"/>
    </row>
    <row r="69" spans="1:33">
      <c r="A69" s="397" t="s">
        <v>73</v>
      </c>
      <c r="B69" s="68" t="s">
        <v>70</v>
      </c>
      <c r="C69" s="13">
        <v>18</v>
      </c>
      <c r="D69" s="24">
        <v>15</v>
      </c>
      <c r="E69" s="13">
        <v>22</v>
      </c>
      <c r="F69" s="24">
        <v>24</v>
      </c>
      <c r="G69" s="13">
        <v>12</v>
      </c>
      <c r="H69" s="24">
        <f t="shared" si="38"/>
        <v>91</v>
      </c>
      <c r="I69" s="14">
        <f>H69/$H$75</f>
        <v>0.21822541966426859</v>
      </c>
      <c r="J69" s="103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100"/>
      <c r="W69" s="77"/>
      <c r="X69" s="77"/>
      <c r="Y69" s="84"/>
      <c r="Z69" s="77"/>
      <c r="AA69" s="82"/>
      <c r="AB69" s="82"/>
      <c r="AC69" s="82"/>
      <c r="AD69" s="82"/>
      <c r="AE69" s="82"/>
      <c r="AF69" s="102"/>
      <c r="AG69" s="100"/>
    </row>
    <row r="70" spans="1:33">
      <c r="A70" s="397"/>
      <c r="B70" s="69" t="s">
        <v>71</v>
      </c>
      <c r="C70" s="15">
        <v>27</v>
      </c>
      <c r="D70" s="25">
        <v>25</v>
      </c>
      <c r="E70" s="15">
        <v>44</v>
      </c>
      <c r="F70" s="25">
        <v>37</v>
      </c>
      <c r="G70" s="15">
        <v>24</v>
      </c>
      <c r="H70" s="25">
        <f t="shared" si="38"/>
        <v>157</v>
      </c>
      <c r="I70" s="16">
        <f>H70/$H$76</f>
        <v>0.44475920679886688</v>
      </c>
      <c r="J70" s="103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100"/>
      <c r="W70" s="77"/>
      <c r="X70" s="77"/>
      <c r="Y70" s="84"/>
      <c r="Z70" s="77"/>
      <c r="AA70" s="82"/>
      <c r="AB70" s="82"/>
      <c r="AC70" s="82"/>
      <c r="AD70" s="82"/>
      <c r="AE70" s="82"/>
      <c r="AF70" s="102"/>
      <c r="AG70" s="100"/>
    </row>
    <row r="71" spans="1:33">
      <c r="A71" s="397" t="s">
        <v>74</v>
      </c>
      <c r="B71" s="68" t="s">
        <v>70</v>
      </c>
      <c r="C71" s="13">
        <v>26</v>
      </c>
      <c r="D71" s="24">
        <v>10</v>
      </c>
      <c r="E71" s="13">
        <v>10</v>
      </c>
      <c r="F71" s="24">
        <v>15</v>
      </c>
      <c r="G71" s="13">
        <v>12</v>
      </c>
      <c r="H71" s="24">
        <f t="shared" si="38"/>
        <v>73</v>
      </c>
      <c r="I71" s="14">
        <f>H71/$H$75</f>
        <v>0.1750599520383693</v>
      </c>
      <c r="J71" s="103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100"/>
      <c r="W71" s="77"/>
      <c r="X71" s="77"/>
      <c r="Y71" s="84"/>
      <c r="Z71" s="77"/>
      <c r="AA71" s="82"/>
      <c r="AB71" s="82"/>
      <c r="AC71" s="82"/>
      <c r="AD71" s="82"/>
      <c r="AE71" s="82"/>
      <c r="AF71" s="102"/>
      <c r="AG71" s="100"/>
    </row>
    <row r="72" spans="1:33">
      <c r="A72" s="397"/>
      <c r="B72" s="69" t="s">
        <v>71</v>
      </c>
      <c r="C72" s="15">
        <v>55</v>
      </c>
      <c r="D72" s="25">
        <v>23</v>
      </c>
      <c r="E72" s="15">
        <v>19</v>
      </c>
      <c r="F72" s="25">
        <v>27</v>
      </c>
      <c r="G72" s="15">
        <v>21</v>
      </c>
      <c r="H72" s="25">
        <f t="shared" si="38"/>
        <v>145</v>
      </c>
      <c r="I72" s="16">
        <f>H72/$H$76</f>
        <v>0.41076487252124644</v>
      </c>
      <c r="J72" s="103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100"/>
      <c r="W72" s="77"/>
      <c r="X72" s="77"/>
      <c r="Y72" s="84"/>
      <c r="Z72" s="77"/>
      <c r="AA72" s="82"/>
      <c r="AB72" s="82"/>
      <c r="AC72" s="82"/>
      <c r="AD72" s="82"/>
      <c r="AE72" s="82"/>
      <c r="AF72" s="102"/>
      <c r="AG72" s="100"/>
    </row>
    <row r="73" spans="1:33">
      <c r="A73" s="397" t="s">
        <v>75</v>
      </c>
      <c r="B73" s="68" t="s">
        <v>70</v>
      </c>
      <c r="C73" s="13">
        <v>54</v>
      </c>
      <c r="D73" s="24">
        <v>40</v>
      </c>
      <c r="E73" s="13">
        <v>36</v>
      </c>
      <c r="F73" s="24">
        <v>54</v>
      </c>
      <c r="G73" s="13">
        <v>26</v>
      </c>
      <c r="H73" s="24">
        <f t="shared" si="38"/>
        <v>210</v>
      </c>
      <c r="I73" s="14">
        <f>H73/$H$75</f>
        <v>0.50359712230215825</v>
      </c>
      <c r="J73" s="77"/>
      <c r="K73" s="77"/>
      <c r="L73" s="84"/>
      <c r="M73" s="84"/>
      <c r="N73" s="77"/>
      <c r="O73" s="82"/>
      <c r="P73" s="82"/>
      <c r="Q73" s="82"/>
      <c r="R73" s="82"/>
      <c r="S73" s="82"/>
      <c r="T73" s="82"/>
      <c r="U73" s="102"/>
      <c r="V73" s="100"/>
      <c r="W73" s="77"/>
      <c r="X73" s="77"/>
      <c r="Y73" s="84"/>
      <c r="Z73" s="77"/>
      <c r="AA73" s="82"/>
      <c r="AB73" s="82"/>
      <c r="AC73" s="82"/>
      <c r="AD73" s="82"/>
      <c r="AE73" s="82"/>
      <c r="AF73" s="102"/>
      <c r="AG73" s="100"/>
    </row>
    <row r="74" spans="1:33">
      <c r="A74" s="397"/>
      <c r="B74" s="69" t="s">
        <v>71</v>
      </c>
      <c r="C74" s="15">
        <v>0</v>
      </c>
      <c r="D74" s="25">
        <v>0</v>
      </c>
      <c r="E74" s="15">
        <v>0</v>
      </c>
      <c r="F74" s="25">
        <v>0</v>
      </c>
      <c r="G74" s="15">
        <v>0</v>
      </c>
      <c r="H74" s="25">
        <f t="shared" si="38"/>
        <v>0</v>
      </c>
      <c r="I74" s="16">
        <f>H74/$H$76</f>
        <v>0</v>
      </c>
      <c r="J74" s="104"/>
      <c r="K74" s="77"/>
      <c r="L74" s="84"/>
      <c r="M74" s="84"/>
      <c r="N74" s="77"/>
      <c r="O74" s="82"/>
      <c r="P74" s="82"/>
      <c r="Q74" s="82"/>
      <c r="R74" s="82"/>
      <c r="S74" s="82"/>
      <c r="T74" s="82"/>
      <c r="U74" s="102"/>
      <c r="V74" s="100"/>
      <c r="W74" s="77"/>
      <c r="X74" s="77"/>
      <c r="Y74" s="84"/>
      <c r="Z74" s="77"/>
      <c r="AA74" s="82"/>
      <c r="AB74" s="82"/>
      <c r="AC74" s="82"/>
      <c r="AD74" s="82"/>
      <c r="AE74" s="82"/>
      <c r="AF74" s="102"/>
      <c r="AG74" s="100"/>
    </row>
    <row r="75" spans="1:33">
      <c r="A75" s="397" t="s">
        <v>16</v>
      </c>
      <c r="B75" s="68" t="s">
        <v>70</v>
      </c>
      <c r="C75" s="17">
        <f>SUM(C65,C67,C69,C71,C73)</f>
        <v>113</v>
      </c>
      <c r="D75" s="26">
        <f>SUM(D65,D67,D69,D71,D73)</f>
        <v>70</v>
      </c>
      <c r="E75" s="17">
        <f t="shared" ref="E75:G76" si="39">SUM(E65,E67,E69,E71,E73)</f>
        <v>76</v>
      </c>
      <c r="F75" s="26">
        <f t="shared" si="39"/>
        <v>101</v>
      </c>
      <c r="G75" s="17">
        <f t="shared" si="39"/>
        <v>57</v>
      </c>
      <c r="H75" s="24">
        <f>SUM(C75:G75)</f>
        <v>417</v>
      </c>
      <c r="I75" s="14">
        <f>H75/$H$75</f>
        <v>1</v>
      </c>
      <c r="J75" s="77"/>
      <c r="K75" s="77"/>
      <c r="L75" s="84"/>
      <c r="M75" s="84"/>
      <c r="N75" s="77"/>
      <c r="O75" s="82"/>
      <c r="P75" s="82"/>
      <c r="Q75" s="82"/>
      <c r="R75" s="82"/>
      <c r="S75" s="82"/>
      <c r="T75" s="82"/>
      <c r="U75" s="102"/>
      <c r="V75" s="100"/>
      <c r="W75" s="77"/>
      <c r="X75" s="77"/>
      <c r="Y75" s="84"/>
      <c r="Z75" s="77"/>
      <c r="AA75" s="82"/>
      <c r="AB75" s="82"/>
      <c r="AC75" s="82"/>
      <c r="AD75" s="82"/>
      <c r="AE75" s="82"/>
      <c r="AF75" s="102"/>
      <c r="AG75" s="100"/>
    </row>
    <row r="76" spans="1:33">
      <c r="A76" s="412"/>
      <c r="B76" s="197" t="s">
        <v>71</v>
      </c>
      <c r="C76" s="257">
        <f>SUM(C66,C68,C70,C72,C74)</f>
        <v>103</v>
      </c>
      <c r="D76" s="258">
        <f>SUM(D66,D68,D70,D72,D74)</f>
        <v>53</v>
      </c>
      <c r="E76" s="257">
        <f t="shared" si="39"/>
        <v>71</v>
      </c>
      <c r="F76" s="258">
        <f t="shared" si="39"/>
        <v>74</v>
      </c>
      <c r="G76" s="257">
        <f t="shared" si="39"/>
        <v>52</v>
      </c>
      <c r="H76" s="259">
        <f>SUM(C76:G76)</f>
        <v>353</v>
      </c>
      <c r="I76" s="16">
        <f>H76/$H$76</f>
        <v>1</v>
      </c>
      <c r="J76" s="77"/>
      <c r="K76" s="77"/>
      <c r="L76" s="84"/>
      <c r="M76" s="84"/>
      <c r="N76" s="77"/>
      <c r="O76" s="82"/>
      <c r="P76" s="82"/>
      <c r="Q76" s="82"/>
      <c r="R76" s="82"/>
      <c r="S76" s="82"/>
      <c r="T76" s="82"/>
      <c r="U76" s="102"/>
      <c r="V76" s="100"/>
      <c r="W76" s="77"/>
      <c r="X76" s="77"/>
      <c r="Y76" s="84"/>
      <c r="Z76" s="77"/>
      <c r="AA76" s="82"/>
      <c r="AB76" s="82"/>
      <c r="AC76" s="82"/>
      <c r="AD76" s="82"/>
      <c r="AE76" s="82"/>
      <c r="AF76" s="102"/>
      <c r="AG76" s="100"/>
    </row>
    <row r="77" spans="1:33">
      <c r="A77" s="401" t="s">
        <v>76</v>
      </c>
      <c r="B77" s="402"/>
      <c r="C77" s="402"/>
      <c r="D77" s="402"/>
      <c r="E77" s="402"/>
      <c r="F77" s="402"/>
      <c r="G77" s="402"/>
      <c r="H77" s="402"/>
      <c r="I77" s="403"/>
      <c r="J77" s="77"/>
      <c r="K77" s="7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77"/>
      <c r="X77" s="77"/>
      <c r="Y77" s="87"/>
      <c r="Z77" s="87"/>
      <c r="AA77" s="87"/>
      <c r="AB77" s="87"/>
      <c r="AC77" s="87"/>
      <c r="AD77" s="87"/>
      <c r="AE77" s="87"/>
      <c r="AF77" s="87"/>
      <c r="AG77" s="87"/>
    </row>
    <row r="78" spans="1:33">
      <c r="A78" s="80"/>
      <c r="B78" s="80"/>
      <c r="C78" s="80"/>
      <c r="D78" s="80"/>
      <c r="E78" s="65"/>
      <c r="F78" s="65"/>
      <c r="G78" s="65"/>
      <c r="H78" s="65"/>
      <c r="I78" s="80"/>
      <c r="J78" s="80"/>
      <c r="K78" s="77"/>
      <c r="L78" s="77"/>
      <c r="M78" s="77"/>
      <c r="N78" s="77"/>
      <c r="O78" s="77"/>
      <c r="P78" s="77"/>
      <c r="Q78" s="77"/>
      <c r="R78" s="77"/>
      <c r="S78" s="80"/>
      <c r="T78" s="80"/>
      <c r="U78" s="80"/>
      <c r="V78" s="77"/>
      <c r="W78" s="77"/>
      <c r="X78" s="77"/>
      <c r="Y78" s="77"/>
      <c r="Z78" s="77"/>
      <c r="AA78" s="77"/>
    </row>
    <row r="79" spans="1:33">
      <c r="A79" s="369" t="s">
        <v>77</v>
      </c>
      <c r="B79" s="369"/>
      <c r="C79" s="77"/>
      <c r="D79" s="86"/>
      <c r="E79" s="81"/>
      <c r="F79" s="65"/>
      <c r="G79" s="65"/>
      <c r="H79" s="65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</row>
    <row r="80" spans="1:33" ht="17.399999999999999" customHeight="1">
      <c r="A80" s="19"/>
      <c r="B80" s="238" t="s">
        <v>78</v>
      </c>
      <c r="C80" s="77"/>
      <c r="D80" s="99"/>
      <c r="E80" s="81"/>
      <c r="F80" s="81"/>
      <c r="G80" s="65"/>
      <c r="H80" s="65"/>
      <c r="I80" s="77"/>
      <c r="J80" s="80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</row>
    <row r="81" spans="1:27">
      <c r="A81" s="198" t="s">
        <v>79</v>
      </c>
      <c r="B81" s="39">
        <v>4600</v>
      </c>
      <c r="C81" s="77"/>
      <c r="D81" s="99"/>
      <c r="E81" s="81"/>
      <c r="F81" s="65"/>
      <c r="G81" s="65"/>
      <c r="H81" s="65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</row>
    <row r="82" spans="1:27" ht="13.95" customHeight="1">
      <c r="A82" s="396" t="s">
        <v>80</v>
      </c>
      <c r="B82" s="396"/>
      <c r="C82" s="77"/>
      <c r="D82" s="387" t="s">
        <v>195</v>
      </c>
      <c r="E82" s="388"/>
      <c r="F82" s="388"/>
      <c r="G82" s="388"/>
      <c r="H82" s="389"/>
      <c r="I82" s="77"/>
      <c r="J82" s="80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</row>
    <row r="83" spans="1:27" ht="20.399999999999999" customHeight="1">
      <c r="A83" s="76"/>
      <c r="B83" s="76"/>
      <c r="C83" s="77"/>
      <c r="D83" s="390" t="s">
        <v>196</v>
      </c>
      <c r="E83" s="390" t="s">
        <v>197</v>
      </c>
      <c r="F83" s="391" t="s">
        <v>198</v>
      </c>
      <c r="G83" s="387" t="s">
        <v>199</v>
      </c>
      <c r="H83" s="389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</row>
    <row r="84" spans="1:27">
      <c r="A84" s="365" t="s">
        <v>81</v>
      </c>
      <c r="B84" s="395"/>
      <c r="C84" s="77"/>
      <c r="D84" s="390"/>
      <c r="E84" s="390"/>
      <c r="F84" s="391"/>
      <c r="G84" s="323" t="s">
        <v>200</v>
      </c>
      <c r="H84" s="323" t="s">
        <v>201</v>
      </c>
      <c r="I84" s="77"/>
      <c r="J84" s="80" t="s">
        <v>219</v>
      </c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</row>
    <row r="85" spans="1:27" ht="43.2" customHeight="1">
      <c r="A85" s="19" t="s">
        <v>82</v>
      </c>
      <c r="B85" s="19" t="s">
        <v>83</v>
      </c>
      <c r="C85" s="77"/>
      <c r="D85" s="322" t="s">
        <v>205</v>
      </c>
      <c r="E85" s="313">
        <v>459</v>
      </c>
      <c r="F85" s="314">
        <v>0.57999999999999996</v>
      </c>
      <c r="G85" s="315" t="s">
        <v>202</v>
      </c>
      <c r="H85" s="314" t="s">
        <v>202</v>
      </c>
      <c r="I85" s="77"/>
      <c r="J85" s="408" t="s">
        <v>218</v>
      </c>
      <c r="K85" s="408"/>
      <c r="L85" s="408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</row>
    <row r="86" spans="1:27" ht="28.8">
      <c r="A86" s="199" t="s">
        <v>84</v>
      </c>
      <c r="B86" s="41">
        <v>3900</v>
      </c>
      <c r="C86" s="77"/>
      <c r="D86" s="322" t="s">
        <v>204</v>
      </c>
      <c r="E86" s="313">
        <v>1252</v>
      </c>
      <c r="F86" s="314">
        <v>0.92</v>
      </c>
      <c r="G86" s="316" t="s">
        <v>202</v>
      </c>
      <c r="H86" s="314" t="s">
        <v>202</v>
      </c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</row>
    <row r="87" spans="1:27">
      <c r="A87" s="200" t="s">
        <v>85</v>
      </c>
      <c r="B87" s="42">
        <v>77200</v>
      </c>
      <c r="C87" s="77"/>
      <c r="D87" s="317" t="s">
        <v>16</v>
      </c>
      <c r="E87" s="318"/>
      <c r="F87" s="319">
        <f>F85*F86</f>
        <v>0.53359999999999996</v>
      </c>
      <c r="G87" s="320"/>
      <c r="H87" s="321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</row>
    <row r="88" spans="1:27">
      <c r="A88" s="200" t="s">
        <v>86</v>
      </c>
      <c r="B88" s="42">
        <v>151100</v>
      </c>
      <c r="C88" s="77"/>
      <c r="D88" s="384" t="s">
        <v>203</v>
      </c>
      <c r="E88" s="385"/>
      <c r="F88" s="385"/>
      <c r="G88" s="385"/>
      <c r="H88" s="386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</row>
    <row r="89" spans="1:27">
      <c r="A89" s="200" t="s">
        <v>87</v>
      </c>
      <c r="B89" s="42">
        <v>554800</v>
      </c>
      <c r="C89" s="77"/>
      <c r="D89" s="99"/>
      <c r="E89" s="77"/>
      <c r="F89" s="65"/>
      <c r="G89" s="65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</row>
    <row r="90" spans="1:27">
      <c r="A90" s="200" t="s">
        <v>88</v>
      </c>
      <c r="B90" s="42">
        <v>11600000</v>
      </c>
      <c r="C90" s="77"/>
      <c r="D90" s="99"/>
      <c r="E90" s="77"/>
      <c r="F90" s="65"/>
      <c r="G90" s="65"/>
      <c r="H90" s="77"/>
      <c r="I90" s="77"/>
      <c r="J90" s="80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</row>
    <row r="91" spans="1:27" ht="27.6">
      <c r="A91" s="201" t="s">
        <v>89</v>
      </c>
      <c r="B91" s="43">
        <v>210300</v>
      </c>
      <c r="C91" s="77"/>
      <c r="D91" s="99"/>
      <c r="E91" s="77"/>
      <c r="F91" s="65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</row>
    <row r="92" spans="1:27" ht="41.4">
      <c r="A92" s="202" t="s">
        <v>90</v>
      </c>
      <c r="B92" s="44">
        <v>159800</v>
      </c>
      <c r="C92" s="77"/>
      <c r="D92" s="99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</row>
    <row r="93" spans="1:27" ht="13.95" customHeight="1">
      <c r="A93" s="396" t="s">
        <v>80</v>
      </c>
      <c r="B93" s="396"/>
      <c r="C93" s="77"/>
      <c r="D93" s="99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</row>
    <row r="94" spans="1:27">
      <c r="A94" s="76"/>
      <c r="B94" s="76"/>
      <c r="C94" s="77"/>
      <c r="D94" s="99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</row>
    <row r="95" spans="1:27" ht="13.95" customHeight="1">
      <c r="A95" s="404" t="s">
        <v>91</v>
      </c>
      <c r="B95" s="404"/>
      <c r="C95" s="77"/>
      <c r="D95" s="99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</row>
    <row r="96" spans="1:27">
      <c r="A96" s="20" t="s">
        <v>92</v>
      </c>
      <c r="B96" s="20" t="s">
        <v>93</v>
      </c>
      <c r="C96" s="77"/>
      <c r="D96" s="99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</row>
    <row r="97" spans="1:27">
      <c r="A97" s="203" t="s">
        <v>94</v>
      </c>
      <c r="B97" s="253">
        <v>1.67</v>
      </c>
      <c r="C97" s="77"/>
      <c r="D97" s="99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</row>
    <row r="98" spans="1:27">
      <c r="A98" s="204" t="s">
        <v>95</v>
      </c>
      <c r="B98" s="261">
        <v>1</v>
      </c>
      <c r="C98" s="77"/>
      <c r="D98" s="99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</row>
    <row r="99" spans="1:27" ht="13.95" customHeight="1">
      <c r="A99" s="396" t="s">
        <v>80</v>
      </c>
      <c r="B99" s="396"/>
      <c r="C99" s="77"/>
      <c r="D99" s="99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</row>
    <row r="100" spans="1:27">
      <c r="A100" s="77"/>
      <c r="B100" s="77"/>
      <c r="C100" s="77"/>
      <c r="D100" s="99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</row>
    <row r="101" spans="1:27">
      <c r="A101" s="404" t="s">
        <v>96</v>
      </c>
      <c r="B101" s="404"/>
      <c r="C101" s="77"/>
      <c r="D101" s="99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</row>
    <row r="102" spans="1:27">
      <c r="A102" s="272" t="s">
        <v>185</v>
      </c>
      <c r="B102" s="284">
        <f>873/556</f>
        <v>1.5701438848920863</v>
      </c>
      <c r="C102" s="77"/>
      <c r="D102" s="99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</row>
    <row r="103" spans="1:27">
      <c r="A103" s="286" t="s">
        <v>186</v>
      </c>
      <c r="B103" s="287">
        <f>1739/995</f>
        <v>1.7477386934673367</v>
      </c>
      <c r="C103" s="77"/>
      <c r="D103" s="99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</row>
    <row r="104" spans="1:27">
      <c r="A104" s="285" t="s">
        <v>184</v>
      </c>
      <c r="B104" s="288">
        <f>(873+1739)/(556+995)</f>
        <v>1.6840747904577691</v>
      </c>
      <c r="C104" s="77"/>
      <c r="D104" s="99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</row>
    <row r="105" spans="1:27">
      <c r="A105" s="409" t="s">
        <v>221</v>
      </c>
      <c r="B105" s="409"/>
      <c r="C105" s="77"/>
      <c r="D105" s="99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</row>
    <row r="106" spans="1:27">
      <c r="A106" s="83"/>
      <c r="B106" s="83"/>
      <c r="C106" s="77"/>
      <c r="D106" s="99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</row>
    <row r="107" spans="1:27">
      <c r="A107" s="381" t="s">
        <v>97</v>
      </c>
      <c r="B107" s="383"/>
      <c r="C107" s="77"/>
      <c r="D107" s="99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85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</row>
    <row r="108" spans="1:27">
      <c r="A108" s="203" t="s">
        <v>98</v>
      </c>
      <c r="B108" s="23">
        <f>(H75/5)/AVERAGE(B112:B116)</f>
        <v>4.5410491239151031E-3</v>
      </c>
      <c r="C108" s="77"/>
      <c r="D108" s="99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</row>
    <row r="109" spans="1:27">
      <c r="A109" s="410" t="s">
        <v>48</v>
      </c>
      <c r="B109" s="411"/>
      <c r="C109" s="77"/>
      <c r="D109" s="99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</row>
    <row r="110" spans="1:27">
      <c r="A110" s="76"/>
      <c r="B110" s="76"/>
      <c r="C110" s="77"/>
      <c r="D110" s="99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</row>
    <row r="111" spans="1:27" ht="13.95" customHeight="1">
      <c r="A111" s="365" t="s">
        <v>99</v>
      </c>
      <c r="B111" s="395"/>
      <c r="C111" s="77"/>
      <c r="D111" s="99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</row>
    <row r="112" spans="1:27">
      <c r="A112" s="205">
        <v>2016</v>
      </c>
      <c r="B112" s="21">
        <f>ROUND($B$117*(1-$B$118)^($A$117-A112),0)</f>
        <v>17793</v>
      </c>
      <c r="C112" s="77"/>
      <c r="D112" s="99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</row>
    <row r="113" spans="1:27">
      <c r="A113" s="205">
        <v>2017</v>
      </c>
      <c r="B113" s="21">
        <f>ROUND($B$117*(1-$B$118)^($A$117-A113),0)</f>
        <v>18075</v>
      </c>
      <c r="C113" s="77"/>
      <c r="D113" s="99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</row>
    <row r="114" spans="1:27">
      <c r="A114" s="205">
        <v>2018</v>
      </c>
      <c r="B114" s="21">
        <f t="shared" ref="B114" si="40">ROUND($B$117*(1-$B$118)^($A$117-A114),0)</f>
        <v>18361</v>
      </c>
      <c r="C114" s="77"/>
      <c r="D114" s="99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</row>
    <row r="115" spans="1:27">
      <c r="A115" s="205">
        <v>2019</v>
      </c>
      <c r="B115" s="21">
        <f>ROUND($B$117*(1-$B$118)^($A$117-A115),0)</f>
        <v>18652</v>
      </c>
      <c r="C115" s="77"/>
      <c r="D115" s="99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</row>
    <row r="116" spans="1:27">
      <c r="A116" s="205">
        <v>2020</v>
      </c>
      <c r="B116" s="21">
        <f>ROUND($B$117*(1-$B$118)^($A$117-A116),0)</f>
        <v>18948</v>
      </c>
      <c r="C116" s="77"/>
      <c r="D116" s="99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</row>
    <row r="117" spans="1:27">
      <c r="A117" s="205">
        <v>2022</v>
      </c>
      <c r="B117" s="21">
        <f>'Travel Time'!B66</f>
        <v>19552.862419205907</v>
      </c>
      <c r="C117" s="77"/>
      <c r="D117" s="99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</row>
    <row r="118" spans="1:27">
      <c r="A118" s="206" t="s">
        <v>100</v>
      </c>
      <c r="B118" s="22">
        <f>'Travel Time'!B115</f>
        <v>1.5594533929825793E-2</v>
      </c>
      <c r="C118" s="77"/>
      <c r="D118" s="99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9"/>
      <c r="R118" s="77"/>
      <c r="S118" s="77"/>
      <c r="T118" s="77"/>
      <c r="U118" s="77"/>
      <c r="V118" s="77"/>
      <c r="W118" s="77"/>
      <c r="X118" s="77"/>
      <c r="Y118" s="77"/>
      <c r="Z118" s="77"/>
      <c r="AA118" s="77"/>
    </row>
    <row r="119" spans="1:27">
      <c r="A119" s="401" t="s">
        <v>48</v>
      </c>
      <c r="B119" s="403"/>
      <c r="C119" s="77"/>
      <c r="D119" s="99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9"/>
      <c r="R119" s="77"/>
      <c r="S119" s="77"/>
      <c r="T119" s="77"/>
      <c r="U119" s="77"/>
      <c r="V119" s="77"/>
      <c r="W119" s="77"/>
      <c r="X119" s="77"/>
      <c r="Y119" s="77"/>
      <c r="Z119" s="77"/>
      <c r="AA119" s="77"/>
    </row>
    <row r="120" spans="1:27">
      <c r="A120" s="75"/>
      <c r="B120" s="76"/>
      <c r="C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</row>
    <row r="121" spans="1:27" ht="41.4" customHeight="1">
      <c r="A121" s="354" t="s">
        <v>210</v>
      </c>
      <c r="B121" s="354"/>
      <c r="C121" s="354"/>
      <c r="D121" s="354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</row>
    <row r="122" spans="1:27">
      <c r="A122" s="20" t="s">
        <v>208</v>
      </c>
      <c r="B122" s="20" t="s">
        <v>211</v>
      </c>
      <c r="C122" s="20" t="s">
        <v>213</v>
      </c>
      <c r="D122" s="20" t="s">
        <v>215</v>
      </c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</row>
    <row r="123" spans="1:27" ht="41.4">
      <c r="A123" s="327" t="s">
        <v>206</v>
      </c>
      <c r="B123" s="326">
        <v>1.19</v>
      </c>
      <c r="C123" s="326">
        <v>12.05</v>
      </c>
      <c r="D123" s="326">
        <v>57.34</v>
      </c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</row>
    <row r="124" spans="1:27" ht="27.6">
      <c r="A124" s="327" t="s">
        <v>207</v>
      </c>
      <c r="B124" s="326">
        <v>0.68</v>
      </c>
      <c r="C124" s="326">
        <v>5.55</v>
      </c>
      <c r="D124" s="326">
        <v>40.31</v>
      </c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</row>
    <row r="125" spans="1:27" ht="21" customHeight="1">
      <c r="A125" s="205" t="s">
        <v>209</v>
      </c>
      <c r="B125" s="325">
        <f>(B124-B123)/B123</f>
        <v>-0.42857142857142849</v>
      </c>
      <c r="C125" s="325">
        <f>(C124-C123)/C123</f>
        <v>-0.53941908713692954</v>
      </c>
      <c r="D125" s="325">
        <f>(D124-D123)/D123</f>
        <v>-0.29700034879665155</v>
      </c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</row>
    <row r="126" spans="1:27" s="77" customFormat="1" ht="41.4">
      <c r="A126" s="324" t="s">
        <v>212</v>
      </c>
    </row>
    <row r="127" spans="1:27" s="77" customFormat="1"/>
    <row r="128" spans="1:27" s="77" customFormat="1"/>
    <row r="129" spans="14:30" s="77" customFormat="1"/>
    <row r="130" spans="14:30" s="77" customFormat="1">
      <c r="AD130" s="105"/>
    </row>
    <row r="131" spans="14:30" s="77" customFormat="1">
      <c r="Y131" s="78"/>
      <c r="AD131" s="105"/>
    </row>
    <row r="132" spans="14:30" s="77" customFormat="1"/>
    <row r="133" spans="14:30" s="77" customFormat="1">
      <c r="Q133" s="78"/>
    </row>
    <row r="134" spans="14:30" s="77" customFormat="1">
      <c r="N134" s="78"/>
      <c r="Q134" s="78"/>
    </row>
    <row r="135" spans="14:30" s="77" customFormat="1"/>
    <row r="136" spans="14:30" s="77" customFormat="1"/>
    <row r="137" spans="14:30" s="77" customFormat="1"/>
    <row r="138" spans="14:30" s="77" customFormat="1"/>
    <row r="139" spans="14:30" s="77" customFormat="1"/>
    <row r="140" spans="14:30" s="77" customFormat="1"/>
    <row r="141" spans="14:30" s="77" customFormat="1"/>
    <row r="142" spans="14:30" s="77" customFormat="1"/>
    <row r="143" spans="14:30" s="77" customFormat="1"/>
    <row r="144" spans="14:30" s="77" customFormat="1"/>
    <row r="145" s="77" customFormat="1"/>
    <row r="146" s="77" customFormat="1"/>
    <row r="147" s="77" customFormat="1"/>
    <row r="148" s="77" customFormat="1"/>
    <row r="149" s="77" customFormat="1"/>
    <row r="150" s="77" customFormat="1"/>
    <row r="151" s="77" customFormat="1"/>
    <row r="152" s="77" customFormat="1"/>
    <row r="153" s="77" customFormat="1"/>
    <row r="154" s="77" customFormat="1"/>
    <row r="155" s="77" customFormat="1"/>
    <row r="156" s="77" customFormat="1"/>
    <row r="157" s="77" customFormat="1"/>
    <row r="158" s="77" customFormat="1"/>
    <row r="159" s="77" customFormat="1"/>
    <row r="160" s="77" customFormat="1"/>
    <row r="161" s="77" customFormat="1"/>
    <row r="162" s="77" customFormat="1"/>
    <row r="163" s="77" customFormat="1"/>
    <row r="164" s="77" customFormat="1"/>
    <row r="165" s="77" customFormat="1"/>
    <row r="166" s="77" customFormat="1"/>
    <row r="167" s="77" customFormat="1"/>
    <row r="168" s="77" customFormat="1"/>
    <row r="169" s="77" customFormat="1"/>
    <row r="170" s="77" customFormat="1"/>
    <row r="171" s="77" customFormat="1"/>
    <row r="172" s="77" customFormat="1"/>
    <row r="173" s="77" customFormat="1"/>
    <row r="174" s="77" customFormat="1"/>
    <row r="175" s="77" customFormat="1"/>
    <row r="176" s="77" customFormat="1"/>
    <row r="177" s="77" customFormat="1"/>
    <row r="178" s="77" customFormat="1"/>
    <row r="179" s="77" customFormat="1"/>
    <row r="180" s="77" customFormat="1"/>
    <row r="181" s="77" customFormat="1"/>
    <row r="182" s="77" customFormat="1"/>
    <row r="183" s="77" customFormat="1"/>
    <row r="184" s="77" customFormat="1"/>
    <row r="185" s="77" customFormat="1"/>
    <row r="186" s="77" customFormat="1"/>
    <row r="187" s="77" customFormat="1"/>
    <row r="188" s="77" customFormat="1"/>
    <row r="189" s="77" customFormat="1"/>
    <row r="190" s="77" customFormat="1"/>
    <row r="191" s="77" customFormat="1"/>
    <row r="192" s="77" customFormat="1"/>
    <row r="193" s="77" customFormat="1"/>
    <row r="194" s="77" customFormat="1"/>
    <row r="195" s="77" customFormat="1"/>
    <row r="196" s="77" customFormat="1"/>
    <row r="197" s="77" customFormat="1"/>
    <row r="198" s="77" customFormat="1"/>
    <row r="199" s="77" customFormat="1"/>
    <row r="200" s="77" customFormat="1"/>
    <row r="201" s="77" customFormat="1"/>
    <row r="202" s="77" customFormat="1"/>
    <row r="203" s="77" customFormat="1"/>
    <row r="204" s="77" customFormat="1"/>
    <row r="205" s="77" customFormat="1"/>
    <row r="206" s="77" customFormat="1"/>
    <row r="207" s="77" customFormat="1"/>
    <row r="208" s="77" customFormat="1"/>
    <row r="209" s="77" customFormat="1"/>
    <row r="210" s="77" customFormat="1"/>
    <row r="211" s="77" customFormat="1"/>
    <row r="212" s="77" customFormat="1"/>
    <row r="213" s="77" customFormat="1"/>
    <row r="214" s="77" customFormat="1"/>
    <row r="215" s="77" customFormat="1"/>
    <row r="216" s="77" customFormat="1"/>
    <row r="217" s="77" customFormat="1"/>
    <row r="218" s="77" customFormat="1"/>
    <row r="219" s="77" customFormat="1"/>
    <row r="220" s="77" customFormat="1"/>
    <row r="221" s="77" customFormat="1"/>
    <row r="222" s="77" customFormat="1"/>
    <row r="223" s="77" customFormat="1"/>
    <row r="224" s="77" customFormat="1"/>
    <row r="225" s="77" customFormat="1"/>
    <row r="226" s="77" customFormat="1"/>
    <row r="227" s="77" customFormat="1"/>
    <row r="228" s="77" customFormat="1"/>
    <row r="229" s="77" customFormat="1"/>
    <row r="230" s="77" customFormat="1"/>
    <row r="231" s="77" customFormat="1"/>
    <row r="232" s="77" customFormat="1"/>
    <row r="233" s="77" customFormat="1"/>
    <row r="234" s="77" customFormat="1"/>
    <row r="235" s="77" customFormat="1"/>
    <row r="236" s="77" customFormat="1"/>
    <row r="237" s="77" customFormat="1"/>
    <row r="238" s="77" customFormat="1"/>
    <row r="239" s="77" customFormat="1"/>
    <row r="240" s="77" customFormat="1"/>
    <row r="241" s="77" customFormat="1"/>
    <row r="242" s="77" customFormat="1"/>
    <row r="243" s="77" customFormat="1"/>
    <row r="244" s="77" customFormat="1"/>
    <row r="245" s="77" customFormat="1"/>
    <row r="246" s="77" customFormat="1"/>
    <row r="247" s="77" customFormat="1"/>
    <row r="248" s="77" customFormat="1"/>
    <row r="249" s="77" customFormat="1"/>
    <row r="250" s="77" customFormat="1"/>
    <row r="251" s="77" customFormat="1"/>
    <row r="252" s="77" customFormat="1"/>
    <row r="253" s="77" customFormat="1"/>
    <row r="254" s="77" customFormat="1"/>
    <row r="255" s="77" customFormat="1"/>
    <row r="256" s="77" customFormat="1"/>
    <row r="257" s="77" customFormat="1"/>
    <row r="258" s="77" customFormat="1"/>
    <row r="259" s="77" customFormat="1"/>
    <row r="260" s="77" customFormat="1"/>
    <row r="261" s="77" customFormat="1"/>
    <row r="262" s="77" customFormat="1"/>
    <row r="263" s="77" customFormat="1"/>
    <row r="264" s="77" customFormat="1"/>
    <row r="265" s="77" customFormat="1"/>
    <row r="266" s="77" customFormat="1"/>
    <row r="267" s="77" customFormat="1"/>
    <row r="268" s="77" customFormat="1"/>
    <row r="269" s="77" customFormat="1"/>
    <row r="270" s="77" customFormat="1"/>
    <row r="271" s="77" customFormat="1"/>
    <row r="272" s="77" customFormat="1"/>
    <row r="273" s="77" customFormat="1"/>
    <row r="274" s="77" customFormat="1"/>
    <row r="275" s="77" customFormat="1"/>
    <row r="276" s="77" customFormat="1"/>
    <row r="277" s="77" customFormat="1"/>
    <row r="278" s="77" customFormat="1"/>
    <row r="279" s="77" customFormat="1"/>
    <row r="280" s="77" customFormat="1"/>
    <row r="281" s="77" customFormat="1"/>
    <row r="282" s="77" customFormat="1"/>
    <row r="283" s="77" customFormat="1"/>
    <row r="284" s="77" customFormat="1"/>
    <row r="285" s="77" customFormat="1"/>
    <row r="286" s="77" customFormat="1"/>
    <row r="287" s="77" customFormat="1"/>
    <row r="288" s="77" customFormat="1"/>
    <row r="289" s="77" customFormat="1"/>
    <row r="290" s="77" customFormat="1"/>
    <row r="291" s="77" customFormat="1"/>
    <row r="292" s="77" customFormat="1"/>
    <row r="293" s="77" customFormat="1"/>
    <row r="294" s="77" customFormat="1"/>
    <row r="295" s="77" customFormat="1"/>
    <row r="296" s="77" customFormat="1"/>
    <row r="297" s="77" customFormat="1"/>
    <row r="298" s="77" customFormat="1"/>
    <row r="299" s="77" customFormat="1"/>
    <row r="300" s="77" customFormat="1"/>
    <row r="301" s="77" customFormat="1"/>
    <row r="302" s="77" customFormat="1"/>
    <row r="303" s="77" customFormat="1"/>
    <row r="304" s="77" customFormat="1"/>
    <row r="305" s="77" customFormat="1"/>
    <row r="306" s="77" customFormat="1"/>
    <row r="307" s="77" customFormat="1"/>
    <row r="308" s="77" customFormat="1"/>
    <row r="309" s="77" customFormat="1"/>
    <row r="310" s="77" customFormat="1"/>
    <row r="311" s="77" customFormat="1"/>
    <row r="312" s="77" customFormat="1"/>
    <row r="313" s="77" customFormat="1"/>
    <row r="314" s="77" customFormat="1"/>
    <row r="315" s="77" customFormat="1"/>
    <row r="316" s="77" customFormat="1"/>
    <row r="317" s="77" customFormat="1"/>
    <row r="318" s="77" customFormat="1"/>
    <row r="319" s="77" customFormat="1"/>
    <row r="320" s="77" customFormat="1"/>
    <row r="321" s="77" customFormat="1"/>
    <row r="322" s="77" customFormat="1"/>
    <row r="323" s="77" customFormat="1"/>
    <row r="324" s="77" customFormat="1"/>
    <row r="325" s="77" customFormat="1"/>
    <row r="326" s="77" customFormat="1"/>
    <row r="327" s="77" customFormat="1"/>
    <row r="328" s="77" customFormat="1"/>
    <row r="329" s="77" customFormat="1"/>
    <row r="330" s="77" customFormat="1"/>
    <row r="331" s="77" customFormat="1"/>
    <row r="332" s="77" customFormat="1"/>
    <row r="333" s="77" customFormat="1"/>
    <row r="334" s="77" customFormat="1"/>
    <row r="335" s="77" customFormat="1"/>
    <row r="336" s="77" customFormat="1"/>
    <row r="337" s="77" customFormat="1"/>
    <row r="338" s="77" customFormat="1"/>
    <row r="339" s="77" customFormat="1"/>
    <row r="340" s="77" customFormat="1"/>
    <row r="341" s="77" customFormat="1"/>
    <row r="342" s="77" customFormat="1"/>
    <row r="343" s="77" customFormat="1"/>
    <row r="344" s="77" customFormat="1"/>
    <row r="345" s="77" customFormat="1"/>
    <row r="346" s="77" customFormat="1"/>
    <row r="347" s="77" customFormat="1"/>
    <row r="348" s="77" customFormat="1"/>
    <row r="349" s="77" customFormat="1"/>
    <row r="350" s="77" customFormat="1"/>
    <row r="351" s="77" customFormat="1"/>
    <row r="352" s="77" customFormat="1"/>
    <row r="353" s="77" customFormat="1"/>
    <row r="354" s="77" customFormat="1"/>
    <row r="355" s="77" customFormat="1"/>
    <row r="356" s="77" customFormat="1"/>
    <row r="357" s="77" customFormat="1"/>
    <row r="358" s="77" customFormat="1"/>
    <row r="359" s="77" customFormat="1"/>
    <row r="360" s="77" customFormat="1"/>
    <row r="361" s="77" customFormat="1"/>
    <row r="362" s="77" customFormat="1"/>
    <row r="363" s="77" customFormat="1"/>
    <row r="364" s="77" customFormat="1"/>
    <row r="365" s="77" customFormat="1"/>
    <row r="366" s="77" customFormat="1"/>
    <row r="367" s="77" customFormat="1"/>
    <row r="368" s="77" customFormat="1"/>
    <row r="369" s="77" customFormat="1"/>
    <row r="370" s="77" customFormat="1"/>
    <row r="371" s="77" customFormat="1"/>
    <row r="372" s="77" customFormat="1"/>
    <row r="373" s="77" customFormat="1"/>
    <row r="374" s="77" customFormat="1"/>
    <row r="375" s="77" customFormat="1"/>
    <row r="376" s="77" customFormat="1"/>
    <row r="377" s="77" customFormat="1"/>
    <row r="378" s="77" customFormat="1"/>
    <row r="379" s="77" customFormat="1"/>
    <row r="380" s="77" customFormat="1"/>
    <row r="381" s="77" customFormat="1"/>
    <row r="382" s="77" customFormat="1"/>
    <row r="383" s="77" customFormat="1"/>
    <row r="384" s="77" customFormat="1"/>
    <row r="385" s="77" customFormat="1"/>
    <row r="386" s="77" customFormat="1"/>
    <row r="387" s="77" customFormat="1"/>
    <row r="388" s="77" customFormat="1"/>
    <row r="389" s="77" customFormat="1"/>
    <row r="390" s="77" customFormat="1"/>
    <row r="391" s="77" customFormat="1"/>
    <row r="392" s="77" customFormat="1"/>
    <row r="393" s="77" customFormat="1"/>
    <row r="394" s="77" customFormat="1"/>
    <row r="395" s="77" customFormat="1"/>
    <row r="396" s="77" customFormat="1"/>
    <row r="397" s="77" customFormat="1"/>
    <row r="398" s="77" customFormat="1"/>
    <row r="399" s="77" customFormat="1"/>
    <row r="400" s="77" customFormat="1"/>
    <row r="401" s="77" customFormat="1"/>
    <row r="402" s="77" customFormat="1"/>
    <row r="403" s="77" customFormat="1"/>
    <row r="404" s="77" customFormat="1"/>
    <row r="405" s="77" customFormat="1"/>
    <row r="406" s="77" customFormat="1"/>
    <row r="407" s="77" customFormat="1"/>
    <row r="408" s="77" customFormat="1"/>
    <row r="409" s="77" customFormat="1"/>
    <row r="410" s="77" customFormat="1"/>
    <row r="411" s="77" customFormat="1"/>
    <row r="412" s="77" customFormat="1"/>
    <row r="413" s="77" customFormat="1"/>
    <row r="414" s="77" customFormat="1"/>
    <row r="415" s="77" customFormat="1"/>
    <row r="416" s="77" customFormat="1"/>
    <row r="417" s="77" customFormat="1"/>
    <row r="418" s="77" customFormat="1"/>
    <row r="419" s="77" customFormat="1"/>
    <row r="420" s="77" customFormat="1"/>
    <row r="421" s="77" customFormat="1"/>
    <row r="422" s="77" customFormat="1"/>
    <row r="423" s="77" customFormat="1"/>
    <row r="424" s="77" customFormat="1"/>
    <row r="425" s="77" customFormat="1"/>
    <row r="426" s="77" customFormat="1"/>
    <row r="427" s="77" customFormat="1"/>
    <row r="428" s="77" customFormat="1"/>
    <row r="429" s="77" customFormat="1"/>
    <row r="430" s="77" customFormat="1"/>
    <row r="431" s="77" customFormat="1"/>
    <row r="432" s="77" customFormat="1"/>
    <row r="433" s="77" customFormat="1"/>
    <row r="434" s="77" customFormat="1"/>
    <row r="435" s="77" customFormat="1"/>
    <row r="436" s="77" customFormat="1"/>
    <row r="437" s="77" customFormat="1"/>
    <row r="438" s="77" customFormat="1"/>
    <row r="439" s="77" customFormat="1"/>
    <row r="440" s="77" customFormat="1"/>
    <row r="441" s="77" customFormat="1"/>
    <row r="442" s="77" customFormat="1"/>
    <row r="443" s="77" customFormat="1"/>
    <row r="444" s="77" customFormat="1"/>
    <row r="445" s="77" customFormat="1"/>
    <row r="446" s="77" customFormat="1"/>
    <row r="447" s="77" customFormat="1"/>
    <row r="448" s="77" customFormat="1"/>
    <row r="449" s="77" customFormat="1"/>
    <row r="450" s="77" customFormat="1"/>
    <row r="451" s="77" customFormat="1"/>
    <row r="452" s="77" customFormat="1"/>
    <row r="453" s="77" customFormat="1"/>
    <row r="454" s="77" customFormat="1"/>
    <row r="455" s="77" customFormat="1"/>
    <row r="456" s="77" customFormat="1"/>
    <row r="457" s="77" customFormat="1"/>
    <row r="458" s="77" customFormat="1"/>
    <row r="459" s="77" customFormat="1"/>
    <row r="460" s="77" customFormat="1"/>
    <row r="461" s="77" customFormat="1"/>
    <row r="462" s="77" customFormat="1"/>
    <row r="463" s="77" customFormat="1"/>
    <row r="464" s="77" customFormat="1"/>
    <row r="465" s="77" customFormat="1"/>
    <row r="466" s="77" customFormat="1"/>
    <row r="467" s="77" customFormat="1"/>
    <row r="468" s="77" customFormat="1"/>
    <row r="469" s="77" customFormat="1"/>
    <row r="470" s="77" customFormat="1"/>
    <row r="471" s="77" customFormat="1"/>
    <row r="472" s="77" customFormat="1"/>
    <row r="473" s="77" customFormat="1"/>
    <row r="474" s="77" customFormat="1"/>
    <row r="475" s="77" customFormat="1"/>
    <row r="476" s="77" customFormat="1"/>
    <row r="477" s="77" customFormat="1"/>
    <row r="478" s="77" customFormat="1"/>
    <row r="479" s="77" customFormat="1"/>
    <row r="480" s="77" customFormat="1"/>
    <row r="481" s="77" customFormat="1"/>
    <row r="482" s="77" customFormat="1"/>
    <row r="483" s="77" customFormat="1"/>
    <row r="484" s="77" customFormat="1"/>
    <row r="485" s="77" customFormat="1"/>
    <row r="486" s="77" customFormat="1"/>
    <row r="487" s="77" customFormat="1"/>
    <row r="488" s="77" customFormat="1"/>
    <row r="489" s="77" customFormat="1"/>
    <row r="490" s="77" customFormat="1"/>
    <row r="491" s="77" customFormat="1"/>
    <row r="492" s="77" customFormat="1"/>
    <row r="493" s="77" customFormat="1"/>
    <row r="494" s="77" customFormat="1"/>
    <row r="495" s="77" customFormat="1"/>
    <row r="496" s="77" customFormat="1"/>
    <row r="497" s="77" customFormat="1"/>
    <row r="498" s="77" customFormat="1"/>
    <row r="499" s="77" customFormat="1"/>
    <row r="500" s="77" customFormat="1"/>
    <row r="501" s="77" customFormat="1"/>
    <row r="502" s="77" customFormat="1"/>
    <row r="503" s="77" customFormat="1"/>
    <row r="504" s="77" customFormat="1"/>
    <row r="505" s="77" customFormat="1"/>
    <row r="506" s="77" customFormat="1"/>
    <row r="507" s="77" customFormat="1"/>
    <row r="508" s="77" customFormat="1"/>
    <row r="509" s="77" customFormat="1"/>
    <row r="510" s="77" customFormat="1"/>
    <row r="511" s="77" customFormat="1"/>
    <row r="512" s="77" customFormat="1"/>
    <row r="513" s="77" customFormat="1"/>
    <row r="514" s="77" customFormat="1"/>
    <row r="515" s="77" customFormat="1"/>
    <row r="516" s="77" customFormat="1"/>
    <row r="517" s="77" customFormat="1"/>
    <row r="518" s="77" customFormat="1"/>
    <row r="519" s="77" customFormat="1"/>
    <row r="520" s="77" customFormat="1"/>
    <row r="521" s="77" customFormat="1"/>
    <row r="522" s="77" customFormat="1"/>
    <row r="523" s="77" customFormat="1"/>
    <row r="524" s="77" customFormat="1"/>
    <row r="525" s="77" customFormat="1"/>
    <row r="526" s="77" customFormat="1"/>
    <row r="527" s="77" customFormat="1"/>
    <row r="528" s="77" customFormat="1"/>
    <row r="529" s="77" customFormat="1"/>
    <row r="530" s="77" customFormat="1"/>
    <row r="531" s="77" customFormat="1"/>
    <row r="532" s="77" customFormat="1"/>
    <row r="533" s="77" customFormat="1"/>
    <row r="534" s="77" customFormat="1"/>
    <row r="535" s="77" customFormat="1"/>
    <row r="536" s="77" customFormat="1"/>
    <row r="537" s="77" customFormat="1"/>
    <row r="538" s="77" customFormat="1"/>
    <row r="539" s="77" customFormat="1"/>
    <row r="540" s="77" customFormat="1"/>
    <row r="541" s="77" customFormat="1"/>
    <row r="542" s="77" customFormat="1"/>
    <row r="543" s="77" customFormat="1"/>
    <row r="544" s="77" customFormat="1"/>
    <row r="545" s="77" customFormat="1"/>
    <row r="546" s="77" customFormat="1"/>
    <row r="547" s="77" customFormat="1"/>
    <row r="548" s="77" customFormat="1"/>
    <row r="549" s="77" customFormat="1"/>
    <row r="550" s="77" customFormat="1"/>
    <row r="551" s="77" customFormat="1"/>
    <row r="552" s="77" customFormat="1"/>
    <row r="553" s="77" customFormat="1"/>
    <row r="554" s="77" customFormat="1"/>
    <row r="555" s="77" customFormat="1"/>
    <row r="556" s="77" customFormat="1"/>
    <row r="557" s="77" customFormat="1"/>
    <row r="558" s="77" customFormat="1"/>
    <row r="559" s="77" customFormat="1"/>
    <row r="560" s="77" customFormat="1"/>
    <row r="561" s="77" customFormat="1"/>
    <row r="562" s="77" customFormat="1"/>
    <row r="563" s="77" customFormat="1"/>
    <row r="564" s="77" customFormat="1"/>
    <row r="565" s="77" customFormat="1"/>
    <row r="566" s="77" customFormat="1"/>
    <row r="567" s="77" customFormat="1"/>
    <row r="568" s="77" customFormat="1"/>
    <row r="569" s="77" customFormat="1"/>
    <row r="570" s="77" customFormat="1"/>
    <row r="571" s="77" customFormat="1"/>
    <row r="572" s="77" customFormat="1"/>
    <row r="573" s="77" customFormat="1"/>
    <row r="574" s="77" customFormat="1"/>
    <row r="575" s="77" customFormat="1"/>
    <row r="576" s="77" customFormat="1"/>
    <row r="577" s="77" customFormat="1"/>
    <row r="578" s="77" customFormat="1"/>
    <row r="579" s="77" customFormat="1"/>
    <row r="580" s="77" customFormat="1"/>
    <row r="581" s="77" customFormat="1"/>
    <row r="582" s="77" customFormat="1"/>
    <row r="583" s="77" customFormat="1"/>
    <row r="584" s="77" customFormat="1"/>
    <row r="585" s="77" customFormat="1"/>
    <row r="586" s="77" customFormat="1"/>
    <row r="587" s="77" customFormat="1"/>
    <row r="588" s="77" customFormat="1"/>
    <row r="589" s="77" customFormat="1"/>
    <row r="590" s="77" customFormat="1"/>
    <row r="591" s="77" customFormat="1"/>
    <row r="592" s="77" customFormat="1"/>
    <row r="593" s="77" customFormat="1"/>
    <row r="594" s="77" customFormat="1"/>
    <row r="595" s="77" customFormat="1"/>
    <row r="596" s="77" customFormat="1"/>
    <row r="597" s="77" customFormat="1"/>
    <row r="598" s="77" customFormat="1"/>
    <row r="599" s="77" customFormat="1"/>
    <row r="600" s="77" customFormat="1"/>
    <row r="601" s="77" customFormat="1"/>
    <row r="602" s="77" customFormat="1"/>
    <row r="603" s="77" customFormat="1"/>
    <row r="604" s="77" customFormat="1"/>
    <row r="605" s="77" customFormat="1"/>
    <row r="606" s="77" customFormat="1"/>
    <row r="607" s="77" customFormat="1"/>
    <row r="608" s="77" customFormat="1"/>
    <row r="609" s="77" customFormat="1"/>
    <row r="610" s="77" customFormat="1"/>
    <row r="611" s="77" customFormat="1"/>
    <row r="612" s="77" customFormat="1"/>
    <row r="613" s="77" customFormat="1"/>
    <row r="614" s="77" customFormat="1"/>
    <row r="615" s="77" customFormat="1"/>
    <row r="616" s="77" customFormat="1"/>
    <row r="617" s="77" customFormat="1"/>
    <row r="618" s="77" customFormat="1"/>
    <row r="619" s="77" customFormat="1"/>
    <row r="620" s="77" customFormat="1"/>
    <row r="621" s="77" customFormat="1"/>
    <row r="622" s="77" customFormat="1"/>
    <row r="623" s="77" customFormat="1"/>
    <row r="624" s="77" customFormat="1"/>
    <row r="625" s="77" customFormat="1"/>
    <row r="626" s="77" customFormat="1"/>
    <row r="627" s="77" customFormat="1"/>
    <row r="628" s="77" customFormat="1"/>
    <row r="629" s="77" customFormat="1"/>
    <row r="630" s="77" customFormat="1"/>
    <row r="631" s="77" customFormat="1"/>
    <row r="632" s="77" customFormat="1"/>
    <row r="633" s="77" customFormat="1"/>
    <row r="634" s="77" customFormat="1"/>
    <row r="635" s="77" customFormat="1"/>
    <row r="636" s="77" customFormat="1"/>
    <row r="637" s="77" customFormat="1"/>
    <row r="638" s="77" customFormat="1"/>
    <row r="639" s="77" customFormat="1"/>
    <row r="640" s="77" customFormat="1"/>
    <row r="641" s="77" customFormat="1"/>
    <row r="642" s="77" customFormat="1"/>
    <row r="643" s="77" customFormat="1"/>
    <row r="644" s="77" customFormat="1"/>
    <row r="645" s="77" customFormat="1"/>
    <row r="646" s="77" customFormat="1"/>
    <row r="647" s="77" customFormat="1"/>
    <row r="648" s="77" customFormat="1"/>
    <row r="649" s="77" customFormat="1"/>
    <row r="650" s="77" customFormat="1"/>
    <row r="651" s="77" customFormat="1"/>
    <row r="652" s="77" customFormat="1"/>
    <row r="653" s="77" customFormat="1"/>
    <row r="654" s="77" customFormat="1"/>
    <row r="655" s="77" customFormat="1"/>
    <row r="656" s="77" customFormat="1"/>
    <row r="657" s="77" customFormat="1"/>
    <row r="658" s="77" customFormat="1"/>
    <row r="659" s="77" customFormat="1"/>
    <row r="660" s="77" customFormat="1"/>
    <row r="661" s="77" customFormat="1"/>
    <row r="662" s="77" customFormat="1"/>
    <row r="663" s="77" customFormat="1"/>
    <row r="664" s="77" customFormat="1"/>
    <row r="665" s="77" customFormat="1"/>
    <row r="666" s="77" customFormat="1"/>
    <row r="667" s="77" customFormat="1"/>
    <row r="668" s="77" customFormat="1"/>
    <row r="669" s="77" customFormat="1"/>
    <row r="670" s="77" customFormat="1"/>
    <row r="671" s="77" customFormat="1"/>
    <row r="672" s="77" customFormat="1"/>
    <row r="673" spans="1:8" s="77" customFormat="1"/>
    <row r="674" spans="1:8" s="77" customFormat="1"/>
    <row r="675" spans="1:8" s="77" customFormat="1"/>
    <row r="676" spans="1:8" s="77" customFormat="1"/>
    <row r="677" spans="1:8" s="77" customFormat="1"/>
    <row r="678" spans="1:8" s="77" customFormat="1"/>
    <row r="679" spans="1:8" s="77" customFormat="1"/>
    <row r="680" spans="1:8" s="77" customFormat="1"/>
    <row r="681" spans="1:8" s="77" customFormat="1"/>
    <row r="682" spans="1:8" s="77" customFormat="1"/>
    <row r="683" spans="1:8" s="77" customFormat="1"/>
    <row r="684" spans="1:8" s="77" customFormat="1">
      <c r="A684" s="1"/>
      <c r="B684" s="1"/>
      <c r="C684" s="1"/>
      <c r="D684" s="1"/>
      <c r="E684" s="1"/>
      <c r="F684" s="1"/>
      <c r="G684" s="1"/>
      <c r="H684" s="1"/>
    </row>
  </sheetData>
  <mergeCells count="71">
    <mergeCell ref="J85:L85"/>
    <mergeCell ref="A121:D121"/>
    <mergeCell ref="A119:B119"/>
    <mergeCell ref="A111:B111"/>
    <mergeCell ref="B7:C7"/>
    <mergeCell ref="A107:B107"/>
    <mergeCell ref="A93:B93"/>
    <mergeCell ref="A101:B101"/>
    <mergeCell ref="A95:B95"/>
    <mergeCell ref="A99:B99"/>
    <mergeCell ref="A105:B105"/>
    <mergeCell ref="A109:B109"/>
    <mergeCell ref="A35:A37"/>
    <mergeCell ref="B35:B37"/>
    <mergeCell ref="A63:I63"/>
    <mergeCell ref="A75:A76"/>
    <mergeCell ref="M60:V60"/>
    <mergeCell ref="A77:I77"/>
    <mergeCell ref="A1:D1"/>
    <mergeCell ref="C2:D2"/>
    <mergeCell ref="C3:D3"/>
    <mergeCell ref="A2:B2"/>
    <mergeCell ref="A3:B3"/>
    <mergeCell ref="A6:E6"/>
    <mergeCell ref="B8:B9"/>
    <mergeCell ref="C8:C9"/>
    <mergeCell ref="D7:D9"/>
    <mergeCell ref="E7:E9"/>
    <mergeCell ref="A7:A9"/>
    <mergeCell ref="A60:J60"/>
    <mergeCell ref="A62:I62"/>
    <mergeCell ref="A84:B84"/>
    <mergeCell ref="A79:B79"/>
    <mergeCell ref="A82:B82"/>
    <mergeCell ref="H64:I64"/>
    <mergeCell ref="A64:B64"/>
    <mergeCell ref="A73:A74"/>
    <mergeCell ref="A65:A66"/>
    <mergeCell ref="A67:A68"/>
    <mergeCell ref="A69:A70"/>
    <mergeCell ref="A71:A72"/>
    <mergeCell ref="W36:W37"/>
    <mergeCell ref="M35:M37"/>
    <mergeCell ref="N35:N37"/>
    <mergeCell ref="Q36:Q37"/>
    <mergeCell ref="C35:K35"/>
    <mergeCell ref="O35:W35"/>
    <mergeCell ref="C36:C37"/>
    <mergeCell ref="D36:D37"/>
    <mergeCell ref="E36:E37"/>
    <mergeCell ref="O36:O37"/>
    <mergeCell ref="F36:J36"/>
    <mergeCell ref="R36:V36"/>
    <mergeCell ref="K36:K37"/>
    <mergeCell ref="P36:P37"/>
    <mergeCell ref="D88:H88"/>
    <mergeCell ref="D82:H82"/>
    <mergeCell ref="D83:D84"/>
    <mergeCell ref="E83:E84"/>
    <mergeCell ref="F83:F84"/>
    <mergeCell ref="G83:H83"/>
    <mergeCell ref="AD36:AD37"/>
    <mergeCell ref="X35:AD35"/>
    <mergeCell ref="X34:AD34"/>
    <mergeCell ref="AE34:AK34"/>
    <mergeCell ref="AE35:AK35"/>
    <mergeCell ref="AE36:AE37"/>
    <mergeCell ref="AF36:AJ36"/>
    <mergeCell ref="AK36:AK37"/>
    <mergeCell ref="X36:X37"/>
    <mergeCell ref="Y36:AC36"/>
  </mergeCells>
  <pageMargins left="0.25" right="0.25" top="0.75" bottom="0.75" header="0.3" footer="0.3"/>
  <pageSetup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AF9C1-7ACB-4B37-9664-FA0AE41C20C2}">
  <sheetPr>
    <tabColor theme="6"/>
    <pageSetUpPr fitToPage="1"/>
  </sheetPr>
  <dimension ref="A1:DA339"/>
  <sheetViews>
    <sheetView workbookViewId="0">
      <selection activeCell="Q13" sqref="Q13"/>
    </sheetView>
  </sheetViews>
  <sheetFormatPr defaultColWidth="8.88671875" defaultRowHeight="13.8"/>
  <cols>
    <col min="1" max="1" width="10.21875" style="49" customWidth="1"/>
    <col min="2" max="2" width="9.6640625" style="49" customWidth="1"/>
    <col min="3" max="3" width="8" style="49" customWidth="1"/>
    <col min="4" max="4" width="9.6640625" style="49" customWidth="1"/>
    <col min="5" max="5" width="7.77734375" style="49" customWidth="1"/>
    <col min="6" max="6" width="10.21875" style="49" customWidth="1"/>
    <col min="7" max="7" width="8.88671875" style="49" bestFit="1" customWidth="1"/>
    <col min="8" max="8" width="9.5546875" style="49" customWidth="1"/>
    <col min="9" max="9" width="7.44140625" style="49" customWidth="1"/>
    <col min="10" max="10" width="9.77734375" style="49" customWidth="1"/>
    <col min="11" max="11" width="8.6640625" style="49" customWidth="1"/>
    <col min="12" max="12" width="8.88671875" style="49" customWidth="1"/>
    <col min="13" max="13" width="8.109375" style="49" customWidth="1"/>
    <col min="14" max="14" width="9.21875" style="49" customWidth="1"/>
    <col min="15" max="15" width="9.77734375" style="49" customWidth="1"/>
    <col min="16" max="16" width="14.44140625" style="49" customWidth="1"/>
    <col min="17" max="17" width="11" style="49" bestFit="1" customWidth="1"/>
    <col min="18" max="19" width="19.33203125" style="49" customWidth="1"/>
    <col min="20" max="20" width="12.88671875" style="49" customWidth="1"/>
    <col min="21" max="21" width="13.44140625" style="49" customWidth="1"/>
    <col min="22" max="23" width="11.6640625" style="49" customWidth="1"/>
    <col min="24" max="24" width="11.5546875" style="49" customWidth="1"/>
    <col min="25" max="25" width="13.109375" style="49" customWidth="1"/>
    <col min="26" max="26" width="12.44140625" style="49" customWidth="1"/>
    <col min="27" max="27" width="10.6640625" style="49" customWidth="1"/>
    <col min="28" max="28" width="16.109375" style="49" customWidth="1"/>
    <col min="29" max="31" width="15.6640625" style="49" customWidth="1"/>
    <col min="32" max="78" width="8.88671875" style="49"/>
    <col min="79" max="104" width="8.88671875" style="109"/>
    <col min="105" max="16384" width="8.88671875" style="49"/>
  </cols>
  <sheetData>
    <row r="1" spans="1:104" ht="18" customHeight="1">
      <c r="A1" s="431" t="s">
        <v>101</v>
      </c>
      <c r="B1" s="431"/>
      <c r="C1" s="431"/>
      <c r="D1" s="431"/>
      <c r="E1" s="431"/>
      <c r="F1" s="431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</row>
    <row r="2" spans="1:104" ht="18" customHeight="1">
      <c r="A2" s="366" t="s">
        <v>102</v>
      </c>
      <c r="B2" s="366"/>
      <c r="C2" s="366" t="s">
        <v>25</v>
      </c>
      <c r="D2" s="366"/>
      <c r="E2" s="431" t="s">
        <v>26</v>
      </c>
      <c r="F2" s="431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</row>
    <row r="3" spans="1:104" ht="18" customHeight="1">
      <c r="A3" s="367" t="s">
        <v>103</v>
      </c>
      <c r="B3" s="367"/>
      <c r="C3" s="368">
        <f>N33</f>
        <v>323865.87327419186</v>
      </c>
      <c r="D3" s="368"/>
      <c r="E3" s="432">
        <f>L61</f>
        <v>0</v>
      </c>
      <c r="F3" s="432"/>
      <c r="G3" s="109"/>
      <c r="H3" s="191"/>
      <c r="I3" s="191"/>
      <c r="J3" s="191"/>
      <c r="K3" s="191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</row>
    <row r="4" spans="1:104" ht="15.6">
      <c r="A4" s="367" t="s">
        <v>104</v>
      </c>
      <c r="B4" s="367"/>
      <c r="C4" s="368">
        <f>O33</f>
        <v>104136.66602366992</v>
      </c>
      <c r="D4" s="368"/>
      <c r="E4" s="432">
        <f>M61</f>
        <v>0</v>
      </c>
      <c r="F4" s="432"/>
      <c r="G4" s="109"/>
      <c r="H4" s="191"/>
      <c r="I4" s="191"/>
      <c r="J4" s="191"/>
      <c r="K4" s="191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</row>
    <row r="5" spans="1:104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</row>
    <row r="6" spans="1:104" ht="18">
      <c r="A6" s="156" t="s">
        <v>25</v>
      </c>
      <c r="B6" s="109"/>
      <c r="C6" s="114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</row>
    <row r="7" spans="1:104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</row>
    <row r="8" spans="1:104" ht="13.2" customHeight="1">
      <c r="A8" s="433" t="s">
        <v>39</v>
      </c>
      <c r="B8" s="417" t="s">
        <v>105</v>
      </c>
      <c r="C8" s="417"/>
      <c r="D8" s="417"/>
      <c r="E8" s="417"/>
      <c r="F8" s="417"/>
      <c r="G8" s="417"/>
      <c r="H8" s="417" t="s">
        <v>54</v>
      </c>
      <c r="I8" s="417"/>
      <c r="J8" s="417"/>
      <c r="K8" s="417"/>
      <c r="L8" s="437" t="s">
        <v>106</v>
      </c>
      <c r="M8" s="437"/>
      <c r="N8" s="437" t="s">
        <v>107</v>
      </c>
      <c r="O8" s="437" t="s">
        <v>108</v>
      </c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</row>
    <row r="9" spans="1:104" ht="26.4" customHeight="1">
      <c r="A9" s="433"/>
      <c r="B9" s="421" t="s">
        <v>109</v>
      </c>
      <c r="C9" s="421"/>
      <c r="D9" s="421" t="s">
        <v>110</v>
      </c>
      <c r="E9" s="421"/>
      <c r="F9" s="427" t="s">
        <v>111</v>
      </c>
      <c r="G9" s="427"/>
      <c r="H9" s="421" t="s">
        <v>109</v>
      </c>
      <c r="I9" s="421"/>
      <c r="J9" s="421" t="s">
        <v>110</v>
      </c>
      <c r="K9" s="421"/>
      <c r="L9" s="437" t="s">
        <v>94</v>
      </c>
      <c r="M9" s="437" t="s">
        <v>95</v>
      </c>
      <c r="N9" s="437"/>
      <c r="O9" s="437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W9" s="49"/>
      <c r="CX9" s="49"/>
      <c r="CY9" s="49"/>
      <c r="CZ9" s="49"/>
    </row>
    <row r="10" spans="1:104" ht="40.5" customHeight="1" thickBot="1">
      <c r="A10" s="433"/>
      <c r="B10" s="50" t="s">
        <v>94</v>
      </c>
      <c r="C10" s="50" t="s">
        <v>95</v>
      </c>
      <c r="D10" s="50" t="s">
        <v>94</v>
      </c>
      <c r="E10" s="50" t="s">
        <v>95</v>
      </c>
      <c r="F10" s="50" t="s">
        <v>94</v>
      </c>
      <c r="G10" s="50" t="s">
        <v>95</v>
      </c>
      <c r="H10" s="50" t="s">
        <v>94</v>
      </c>
      <c r="I10" s="157" t="s">
        <v>95</v>
      </c>
      <c r="J10" s="50" t="s">
        <v>94</v>
      </c>
      <c r="K10" s="50" t="s">
        <v>95</v>
      </c>
      <c r="L10" s="437"/>
      <c r="M10" s="437"/>
      <c r="N10" s="437"/>
      <c r="O10" s="437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W10" s="49"/>
      <c r="CX10" s="49"/>
      <c r="CY10" s="49"/>
      <c r="CZ10" s="49"/>
    </row>
    <row r="11" spans="1:104" ht="14.4" thickTop="1">
      <c r="A11" s="53">
        <v>2027</v>
      </c>
      <c r="B11" s="158">
        <f>D71</f>
        <v>18527</v>
      </c>
      <c r="C11" s="52">
        <f>C71</f>
        <v>2599</v>
      </c>
      <c r="D11" s="158">
        <f t="shared" ref="D11:D32" si="0">K71</f>
        <v>7410.8850410958903</v>
      </c>
      <c r="E11" s="52">
        <f t="shared" ref="E11:E32" si="1">J71</f>
        <v>1039.5149589041096</v>
      </c>
      <c r="F11" s="158">
        <f>D11</f>
        <v>7410.8850410958903</v>
      </c>
      <c r="G11" s="52">
        <f>E11</f>
        <v>1039.5149589041096</v>
      </c>
      <c r="H11" s="158">
        <f t="shared" ref="H11:H32" si="2">G71</f>
        <v>18527</v>
      </c>
      <c r="I11" s="52">
        <f t="shared" ref="I11:I32" si="3">F71</f>
        <v>2599</v>
      </c>
      <c r="J11" s="158">
        <f t="shared" ref="J11:J32" si="4">M71</f>
        <v>6857.7154076712341</v>
      </c>
      <c r="K11" s="52">
        <f t="shared" ref="K11:K32" si="5">L71</f>
        <v>961.92259232876722</v>
      </c>
      <c r="L11" s="158">
        <f>F11-J11</f>
        <v>553.16963342465624</v>
      </c>
      <c r="M11" s="54">
        <f>G11-K11</f>
        <v>77.592366575342339</v>
      </c>
      <c r="N11" s="218">
        <f t="shared" ref="N11:N32" si="6">(L11*$B$130)+(M11*$B$129)</f>
        <v>12453.522991890386</v>
      </c>
      <c r="O11" s="268">
        <f>N11*INDEX(NPV!$C$3:$C$42,MATCH('Travel Time'!$A11,NPV!$B$3:$B$42,0))</f>
        <v>7755.4282287535589</v>
      </c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W11" s="49"/>
      <c r="CX11" s="49"/>
      <c r="CY11" s="49"/>
      <c r="CZ11" s="49"/>
    </row>
    <row r="12" spans="1:104">
      <c r="A12" s="53">
        <f>A11+1</f>
        <v>2028</v>
      </c>
      <c r="B12" s="158">
        <f t="shared" ref="B12:B14" si="7">D72</f>
        <v>18816</v>
      </c>
      <c r="C12" s="52">
        <f t="shared" ref="C12:C14" si="8">C72</f>
        <v>2639</v>
      </c>
      <c r="D12" s="158">
        <f t="shared" si="0"/>
        <v>7526.2964383561648</v>
      </c>
      <c r="E12" s="52">
        <f t="shared" si="1"/>
        <v>1055.7035616438357</v>
      </c>
      <c r="F12" s="158">
        <f t="shared" ref="F12:F32" si="9">D12</f>
        <v>7526.2964383561648</v>
      </c>
      <c r="G12" s="52">
        <f t="shared" ref="G12:G32" si="10">E12</f>
        <v>1055.7035616438357</v>
      </c>
      <c r="H12" s="158">
        <f t="shared" si="2"/>
        <v>18816</v>
      </c>
      <c r="I12" s="52">
        <f t="shared" si="3"/>
        <v>2639</v>
      </c>
      <c r="J12" s="158">
        <f t="shared" si="4"/>
        <v>6964.512168493151</v>
      </c>
      <c r="K12" s="52">
        <f t="shared" si="5"/>
        <v>976.90283150684934</v>
      </c>
      <c r="L12" s="158">
        <f t="shared" ref="L12:L14" si="11">F12-J12</f>
        <v>561.78426986301383</v>
      </c>
      <c r="M12" s="54">
        <f t="shared" ref="M12:M32" si="12">G12-K12</f>
        <v>78.800730136986317</v>
      </c>
      <c r="N12" s="218">
        <f t="shared" si="6"/>
        <v>12647.464536164387</v>
      </c>
      <c r="O12" s="219">
        <f>N12*INDEX(NPV!$C$3:$C$42,MATCH('Travel Time'!$A12,NPV!$B$3:$B$42,0))</f>
        <v>7360.9395097111137</v>
      </c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W12" s="49"/>
      <c r="CX12" s="49"/>
      <c r="CY12" s="49"/>
      <c r="CZ12" s="49"/>
    </row>
    <row r="13" spans="1:104">
      <c r="A13" s="53">
        <v>2029</v>
      </c>
      <c r="B13" s="158">
        <f t="shared" si="7"/>
        <v>19110</v>
      </c>
      <c r="C13" s="52">
        <f t="shared" si="8"/>
        <v>2680</v>
      </c>
      <c r="D13" s="158">
        <f t="shared" si="0"/>
        <v>7643.8126027397266</v>
      </c>
      <c r="E13" s="52">
        <f t="shared" si="1"/>
        <v>1072.1873972602739</v>
      </c>
      <c r="F13" s="158">
        <f t="shared" si="9"/>
        <v>7643.8126027397266</v>
      </c>
      <c r="G13" s="52">
        <f t="shared" si="10"/>
        <v>1072.1873972602739</v>
      </c>
      <c r="H13" s="158">
        <f t="shared" si="2"/>
        <v>19110</v>
      </c>
      <c r="I13" s="52">
        <f t="shared" si="3"/>
        <v>2680</v>
      </c>
      <c r="J13" s="158">
        <f t="shared" si="4"/>
        <v>7073.2565906066538</v>
      </c>
      <c r="K13" s="52">
        <f t="shared" si="5"/>
        <v>992.15626653620359</v>
      </c>
      <c r="L13" s="158">
        <f t="shared" si="11"/>
        <v>570.55601213307273</v>
      </c>
      <c r="M13" s="54">
        <f t="shared" si="12"/>
        <v>80.031130724070294</v>
      </c>
      <c r="N13" s="218">
        <f t="shared" si="6"/>
        <v>12844.943008297456</v>
      </c>
      <c r="O13" s="219">
        <f>N13*INDEX(NPV!$C$3:$C$42,MATCH('Travel Time'!$A13,NPV!$B$3:$B$42,0))</f>
        <v>6986.7979237833206</v>
      </c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W13" s="49"/>
      <c r="CX13" s="49"/>
      <c r="CY13" s="49"/>
      <c r="CZ13" s="49"/>
    </row>
    <row r="14" spans="1:104">
      <c r="A14" s="53">
        <f t="shared" ref="A14:A32" si="13">A13+1</f>
        <v>2030</v>
      </c>
      <c r="B14" s="158">
        <f t="shared" si="7"/>
        <v>19408</v>
      </c>
      <c r="C14" s="52">
        <f t="shared" si="8"/>
        <v>2722</v>
      </c>
      <c r="D14" s="158">
        <f t="shared" si="0"/>
        <v>7763.0827397260273</v>
      </c>
      <c r="E14" s="52">
        <f t="shared" si="1"/>
        <v>1088.9172602739727</v>
      </c>
      <c r="F14" s="158">
        <f t="shared" si="9"/>
        <v>7763.0827397260273</v>
      </c>
      <c r="G14" s="52">
        <f t="shared" si="10"/>
        <v>1088.9172602739727</v>
      </c>
      <c r="H14" s="158">
        <f t="shared" si="2"/>
        <v>19408</v>
      </c>
      <c r="I14" s="52">
        <f t="shared" si="3"/>
        <v>2722</v>
      </c>
      <c r="J14" s="158">
        <f t="shared" si="4"/>
        <v>7183.6240637964775</v>
      </c>
      <c r="K14" s="52">
        <f t="shared" si="5"/>
        <v>1007.6373647749512</v>
      </c>
      <c r="L14" s="158">
        <f t="shared" si="11"/>
        <v>579.45867592954983</v>
      </c>
      <c r="M14" s="54">
        <f t="shared" si="12"/>
        <v>81.279895499021563</v>
      </c>
      <c r="N14" s="218">
        <f t="shared" si="6"/>
        <v>13045.368920313113</v>
      </c>
      <c r="O14" s="219">
        <f>N14*INDEX(NPV!$C$3:$C$42,MATCH('Travel Time'!$A14,NPV!$B$3:$B$42,0))</f>
        <v>6631.6040562774187</v>
      </c>
      <c r="P14" s="113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W14" s="49"/>
      <c r="CX14" s="49"/>
      <c r="CY14" s="49"/>
      <c r="CZ14" s="49"/>
    </row>
    <row r="15" spans="1:104">
      <c r="A15" s="53">
        <f t="shared" si="13"/>
        <v>2031</v>
      </c>
      <c r="B15" s="158">
        <f t="shared" ref="B15:B32" si="14">D75</f>
        <v>19710</v>
      </c>
      <c r="C15" s="52">
        <f t="shared" ref="C15:C32" si="15">C75</f>
        <v>2765</v>
      </c>
      <c r="D15" s="158">
        <f t="shared" si="0"/>
        <v>7884.1068493150688</v>
      </c>
      <c r="E15" s="52">
        <f t="shared" si="1"/>
        <v>1105.8931506849315</v>
      </c>
      <c r="F15" s="158">
        <f t="shared" si="9"/>
        <v>7884.1068493150688</v>
      </c>
      <c r="G15" s="52">
        <f t="shared" si="10"/>
        <v>1105.8931506849315</v>
      </c>
      <c r="H15" s="158">
        <f t="shared" si="2"/>
        <v>19710</v>
      </c>
      <c r="I15" s="52">
        <f t="shared" si="3"/>
        <v>2765</v>
      </c>
      <c r="J15" s="158">
        <f t="shared" si="4"/>
        <v>7295.6145880626227</v>
      </c>
      <c r="K15" s="52">
        <f t="shared" si="5"/>
        <v>1023.346126223092</v>
      </c>
      <c r="L15" s="158">
        <f>F15-J15</f>
        <v>588.49226125244604</v>
      </c>
      <c r="M15" s="54">
        <f>G15-K15</f>
        <v>82.547024461839442</v>
      </c>
      <c r="N15" s="218">
        <f t="shared" si="6"/>
        <v>13248.742272211346</v>
      </c>
      <c r="O15" s="219">
        <f>N15*INDEX(NPV!$C$3:$C$42,MATCH('Travel Time'!$A15,NPV!$B$3:$B$42,0))</f>
        <v>6294.3820147233173</v>
      </c>
      <c r="P15" s="113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W15" s="49"/>
      <c r="CX15" s="49"/>
      <c r="CY15" s="49"/>
      <c r="CZ15" s="49"/>
    </row>
    <row r="16" spans="1:104">
      <c r="A16" s="53">
        <f t="shared" si="13"/>
        <v>2032</v>
      </c>
      <c r="B16" s="158">
        <f t="shared" si="14"/>
        <v>20017</v>
      </c>
      <c r="C16" s="52">
        <f t="shared" si="15"/>
        <v>2808</v>
      </c>
      <c r="D16" s="158">
        <f t="shared" si="0"/>
        <v>8006.8849315068492</v>
      </c>
      <c r="E16" s="52">
        <f t="shared" si="1"/>
        <v>1123.1150684931506</v>
      </c>
      <c r="F16" s="158">
        <f t="shared" si="9"/>
        <v>8006.8849315068492</v>
      </c>
      <c r="G16" s="52">
        <f t="shared" si="10"/>
        <v>1123.1150684931506</v>
      </c>
      <c r="H16" s="158">
        <f t="shared" si="2"/>
        <v>20017</v>
      </c>
      <c r="I16" s="52">
        <f t="shared" si="3"/>
        <v>2808</v>
      </c>
      <c r="J16" s="158">
        <f t="shared" si="4"/>
        <v>7409.2281634050878</v>
      </c>
      <c r="K16" s="52">
        <f t="shared" si="5"/>
        <v>1039.2825508806263</v>
      </c>
      <c r="L16" s="158">
        <f t="shared" ref="L16:L32" si="16">F16-J16</f>
        <v>597.65676810176137</v>
      </c>
      <c r="M16" s="54">
        <f t="shared" si="12"/>
        <v>83.832517612524271</v>
      </c>
      <c r="N16" s="218">
        <f t="shared" si="6"/>
        <v>13455.063063992169</v>
      </c>
      <c r="O16" s="219">
        <f>N16*INDEX(NPV!$C$3:$C$42,MATCH('Travel Time'!$A16,NPV!$B$3:$B$42,0))</f>
        <v>5974.2089127508134</v>
      </c>
      <c r="P16" s="113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W16" s="49"/>
      <c r="CX16" s="49"/>
      <c r="CY16" s="49"/>
      <c r="CZ16" s="49"/>
    </row>
    <row r="17" spans="1:104">
      <c r="A17" s="53">
        <f t="shared" si="13"/>
        <v>2033</v>
      </c>
      <c r="B17" s="158">
        <f t="shared" si="14"/>
        <v>20329</v>
      </c>
      <c r="C17" s="52">
        <f t="shared" si="15"/>
        <v>2852</v>
      </c>
      <c r="D17" s="158">
        <f t="shared" si="0"/>
        <v>8131.7677808219178</v>
      </c>
      <c r="E17" s="52">
        <f t="shared" si="1"/>
        <v>1140.6322191780821</v>
      </c>
      <c r="F17" s="158">
        <f t="shared" si="9"/>
        <v>8131.7677808219178</v>
      </c>
      <c r="G17" s="52">
        <f t="shared" si="10"/>
        <v>1140.6322191780821</v>
      </c>
      <c r="H17" s="158">
        <f t="shared" si="2"/>
        <v>20329</v>
      </c>
      <c r="I17" s="52">
        <f t="shared" si="3"/>
        <v>2852</v>
      </c>
      <c r="J17" s="158">
        <f t="shared" si="4"/>
        <v>7524.7894000391389</v>
      </c>
      <c r="K17" s="52">
        <f t="shared" si="5"/>
        <v>1055.4921713894325</v>
      </c>
      <c r="L17" s="158">
        <f t="shared" si="16"/>
        <v>606.97838078277891</v>
      </c>
      <c r="M17" s="54">
        <f t="shared" si="12"/>
        <v>85.140047788649554</v>
      </c>
      <c r="N17" s="218">
        <f t="shared" si="6"/>
        <v>13664.920783632091</v>
      </c>
      <c r="O17" s="219">
        <f>N17*INDEX(NPV!$C$3:$C$42,MATCH('Travel Time'!$A17,NPV!$B$3:$B$42,0))</f>
        <v>5670.4563084204929</v>
      </c>
      <c r="P17" s="113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W17" s="49"/>
      <c r="CX17" s="49"/>
      <c r="CY17" s="49"/>
      <c r="CZ17" s="49"/>
    </row>
    <row r="18" spans="1:104">
      <c r="A18" s="53">
        <f t="shared" si="13"/>
        <v>2034</v>
      </c>
      <c r="B18" s="158">
        <f t="shared" si="14"/>
        <v>20647</v>
      </c>
      <c r="C18" s="52">
        <f t="shared" si="15"/>
        <v>2896</v>
      </c>
      <c r="D18" s="158">
        <f t="shared" si="0"/>
        <v>8258.7553972602745</v>
      </c>
      <c r="E18" s="52">
        <f t="shared" si="1"/>
        <v>1158.4446027397262</v>
      </c>
      <c r="F18" s="158">
        <f t="shared" si="9"/>
        <v>8258.7553972602745</v>
      </c>
      <c r="G18" s="52">
        <f t="shared" si="10"/>
        <v>1158.4446027397262</v>
      </c>
      <c r="H18" s="158">
        <f t="shared" si="2"/>
        <v>20647</v>
      </c>
      <c r="I18" s="52">
        <f t="shared" si="3"/>
        <v>2896</v>
      </c>
      <c r="J18" s="158">
        <f t="shared" si="4"/>
        <v>7642.298297964775</v>
      </c>
      <c r="K18" s="52">
        <f t="shared" si="5"/>
        <v>1071.9749877495108</v>
      </c>
      <c r="L18" s="158">
        <f t="shared" si="16"/>
        <v>616.45709929549957</v>
      </c>
      <c r="M18" s="54">
        <f t="shared" si="12"/>
        <v>86.469614990215405</v>
      </c>
      <c r="N18" s="218">
        <f t="shared" si="6"/>
        <v>13878.315431131132</v>
      </c>
      <c r="O18" s="219">
        <f>N18*INDEX(NPV!$C$3:$C$42,MATCH('Travel Time'!$A18,NPV!$B$3:$B$42,0))</f>
        <v>5382.2500004694411</v>
      </c>
      <c r="P18" s="113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W18" s="49"/>
      <c r="CX18" s="49"/>
      <c r="CY18" s="49"/>
      <c r="CZ18" s="49"/>
    </row>
    <row r="19" spans="1:104">
      <c r="A19" s="53">
        <f t="shared" si="13"/>
        <v>2035</v>
      </c>
      <c r="B19" s="158">
        <f t="shared" si="14"/>
        <v>20969</v>
      </c>
      <c r="C19" s="52">
        <f t="shared" si="15"/>
        <v>2941</v>
      </c>
      <c r="D19" s="158">
        <f t="shared" si="0"/>
        <v>8387.4969863013703</v>
      </c>
      <c r="E19" s="52">
        <f t="shared" si="1"/>
        <v>1176.5030136986302</v>
      </c>
      <c r="F19" s="158">
        <f t="shared" si="9"/>
        <v>8387.4969863013703</v>
      </c>
      <c r="G19" s="52">
        <f t="shared" si="10"/>
        <v>1176.5030136986302</v>
      </c>
      <c r="H19" s="158">
        <f t="shared" si="2"/>
        <v>20969</v>
      </c>
      <c r="I19" s="52">
        <f t="shared" si="3"/>
        <v>2941</v>
      </c>
      <c r="J19" s="158">
        <f t="shared" si="4"/>
        <v>7761.4302469667327</v>
      </c>
      <c r="K19" s="52">
        <f t="shared" si="5"/>
        <v>1088.6854673189825</v>
      </c>
      <c r="L19" s="158">
        <f t="shared" si="16"/>
        <v>626.06673933463753</v>
      </c>
      <c r="M19" s="54">
        <f t="shared" si="12"/>
        <v>87.817546379647638</v>
      </c>
      <c r="N19" s="218">
        <f t="shared" si="6"/>
        <v>14094.657518512709</v>
      </c>
      <c r="O19" s="219">
        <f>N19*INDEX(NPV!$C$3:$C$42,MATCH('Travel Time'!$A19,NPV!$B$3:$B$42,0))</f>
        <v>5108.5525158071896</v>
      </c>
      <c r="P19" s="113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W19" s="49"/>
      <c r="CX19" s="49"/>
      <c r="CY19" s="49"/>
      <c r="CZ19" s="49"/>
    </row>
    <row r="20" spans="1:104">
      <c r="A20" s="53">
        <f t="shared" si="13"/>
        <v>2036</v>
      </c>
      <c r="B20" s="158">
        <f t="shared" si="14"/>
        <v>21296</v>
      </c>
      <c r="C20" s="52">
        <f t="shared" si="15"/>
        <v>2987</v>
      </c>
      <c r="D20" s="158">
        <f t="shared" si="0"/>
        <v>8518.3433424657542</v>
      </c>
      <c r="E20" s="52">
        <f t="shared" si="1"/>
        <v>1194.8566575342468</v>
      </c>
      <c r="F20" s="158">
        <f t="shared" si="9"/>
        <v>8518.3433424657542</v>
      </c>
      <c r="G20" s="52">
        <f t="shared" si="10"/>
        <v>1194.8566575342468</v>
      </c>
      <c r="H20" s="158">
        <f t="shared" si="2"/>
        <v>21296</v>
      </c>
      <c r="I20" s="52">
        <f t="shared" si="3"/>
        <v>2987</v>
      </c>
      <c r="J20" s="158">
        <f t="shared" si="4"/>
        <v>7882.5098572602737</v>
      </c>
      <c r="K20" s="52">
        <f t="shared" si="5"/>
        <v>1105.6691427397261</v>
      </c>
      <c r="L20" s="158">
        <f t="shared" si="16"/>
        <v>635.83348520548043</v>
      </c>
      <c r="M20" s="54">
        <f t="shared" si="12"/>
        <v>89.187514794520666</v>
      </c>
      <c r="N20" s="218">
        <f t="shared" si="6"/>
        <v>14314.536533753448</v>
      </c>
      <c r="O20" s="219">
        <f>N20*INDEX(NPV!$C$3:$C$42,MATCH('Travel Time'!$A20,NPV!$B$3:$B$42,0))</f>
        <v>4848.8287754056801</v>
      </c>
      <c r="P20" s="113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W20" s="49"/>
      <c r="CX20" s="49"/>
      <c r="CY20" s="49"/>
      <c r="CZ20" s="49"/>
    </row>
    <row r="21" spans="1:104">
      <c r="A21" s="53">
        <f t="shared" si="13"/>
        <v>2037</v>
      </c>
      <c r="B21" s="158">
        <f t="shared" si="14"/>
        <v>21627</v>
      </c>
      <c r="C21" s="52">
        <f t="shared" si="15"/>
        <v>3034</v>
      </c>
      <c r="D21" s="158">
        <f t="shared" si="0"/>
        <v>8650.9436712328788</v>
      </c>
      <c r="E21" s="52">
        <f t="shared" si="1"/>
        <v>1213.4563287671235</v>
      </c>
      <c r="F21" s="158">
        <f t="shared" si="9"/>
        <v>8650.9436712328788</v>
      </c>
      <c r="G21" s="52">
        <f t="shared" si="10"/>
        <v>1213.4563287671235</v>
      </c>
      <c r="H21" s="158">
        <f t="shared" si="2"/>
        <v>21627</v>
      </c>
      <c r="I21" s="52">
        <f t="shared" si="3"/>
        <v>3034</v>
      </c>
      <c r="J21" s="158">
        <f t="shared" si="4"/>
        <v>8005.2125186301373</v>
      </c>
      <c r="K21" s="52">
        <f t="shared" si="5"/>
        <v>1122.8804813698632</v>
      </c>
      <c r="L21" s="158">
        <f t="shared" si="16"/>
        <v>645.73115260274153</v>
      </c>
      <c r="M21" s="54">
        <f t="shared" si="12"/>
        <v>90.575847397260304</v>
      </c>
      <c r="N21" s="218">
        <f t="shared" si="6"/>
        <v>14537.362988876746</v>
      </c>
      <c r="O21" s="219">
        <f>N21*INDEX(NPV!$C$3:$C$42,MATCH('Travel Time'!$A21,NPV!$B$3:$B$42,0))</f>
        <v>4602.1568271591705</v>
      </c>
      <c r="P21" s="113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W21" s="49"/>
      <c r="CX21" s="49"/>
      <c r="CY21" s="49"/>
      <c r="CZ21" s="49"/>
    </row>
    <row r="22" spans="1:104">
      <c r="A22" s="53">
        <f t="shared" si="13"/>
        <v>2038</v>
      </c>
      <c r="B22" s="158">
        <f t="shared" si="14"/>
        <v>21965</v>
      </c>
      <c r="C22" s="52">
        <f t="shared" si="15"/>
        <v>3081</v>
      </c>
      <c r="D22" s="158">
        <f t="shared" si="0"/>
        <v>8785.9995616438373</v>
      </c>
      <c r="E22" s="52">
        <f t="shared" si="1"/>
        <v>1232.4004383561646</v>
      </c>
      <c r="F22" s="158">
        <f t="shared" si="9"/>
        <v>8785.9995616438373</v>
      </c>
      <c r="G22" s="52">
        <f t="shared" si="10"/>
        <v>1232.4004383561646</v>
      </c>
      <c r="H22" s="158">
        <f t="shared" si="2"/>
        <v>21965</v>
      </c>
      <c r="I22" s="52">
        <f t="shared" si="3"/>
        <v>3081</v>
      </c>
      <c r="J22" s="158">
        <f t="shared" si="4"/>
        <v>8130.1874515068494</v>
      </c>
      <c r="K22" s="52">
        <f t="shared" si="5"/>
        <v>1140.4105484931506</v>
      </c>
      <c r="L22" s="158">
        <f t="shared" si="16"/>
        <v>655.81211013698794</v>
      </c>
      <c r="M22" s="54">
        <f t="shared" si="12"/>
        <v>91.989889863014014</v>
      </c>
      <c r="N22" s="218">
        <f t="shared" si="6"/>
        <v>14764.315859835657</v>
      </c>
      <c r="O22" s="219">
        <f>N22*INDEX(NPV!$C$3:$C$42,MATCH('Travel Time'!$A22,NPV!$B$3:$B$42,0))</f>
        <v>4368.2283121000628</v>
      </c>
      <c r="P22" s="113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W22" s="49"/>
      <c r="CX22" s="49"/>
      <c r="CY22" s="49"/>
      <c r="CZ22" s="49"/>
    </row>
    <row r="23" spans="1:104">
      <c r="A23" s="53">
        <f t="shared" si="13"/>
        <v>2039</v>
      </c>
      <c r="B23" s="158">
        <f t="shared" si="14"/>
        <v>22307</v>
      </c>
      <c r="C23" s="52">
        <f t="shared" si="15"/>
        <v>3129</v>
      </c>
      <c r="D23" s="158">
        <f t="shared" si="0"/>
        <v>8922.8094246575347</v>
      </c>
      <c r="E23" s="52">
        <f t="shared" si="1"/>
        <v>1251.5905753424659</v>
      </c>
      <c r="F23" s="158">
        <f t="shared" si="9"/>
        <v>8922.8094246575347</v>
      </c>
      <c r="G23" s="52">
        <f t="shared" si="10"/>
        <v>1251.5905753424659</v>
      </c>
      <c r="H23" s="158">
        <f t="shared" si="2"/>
        <v>22307</v>
      </c>
      <c r="I23" s="52">
        <f t="shared" si="3"/>
        <v>3129</v>
      </c>
      <c r="J23" s="158">
        <f t="shared" si="4"/>
        <v>8256.785435459884</v>
      </c>
      <c r="K23" s="52">
        <f t="shared" si="5"/>
        <v>1158.1682788258317</v>
      </c>
      <c r="L23" s="158">
        <f t="shared" si="16"/>
        <v>666.02398919765074</v>
      </c>
      <c r="M23" s="54">
        <f t="shared" si="12"/>
        <v>93.422296516634106</v>
      </c>
      <c r="N23" s="218">
        <f t="shared" si="6"/>
        <v>14994.216170677089</v>
      </c>
      <c r="O23" s="219">
        <f>N23*INDEX(NPV!$C$3:$C$42,MATCH('Travel Time'!$A23,NPV!$B$3:$B$42,0))</f>
        <v>4146.0257181580955</v>
      </c>
      <c r="P23" s="113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W23" s="49"/>
      <c r="CX23" s="49"/>
      <c r="CY23" s="49"/>
      <c r="CZ23" s="49"/>
    </row>
    <row r="24" spans="1:104">
      <c r="A24" s="53">
        <f t="shared" si="13"/>
        <v>2040</v>
      </c>
      <c r="B24" s="158">
        <f t="shared" si="14"/>
        <v>22655</v>
      </c>
      <c r="C24" s="52">
        <f t="shared" si="15"/>
        <v>3178</v>
      </c>
      <c r="D24" s="158">
        <f t="shared" si="0"/>
        <v>9062.0748493150695</v>
      </c>
      <c r="E24" s="52">
        <f t="shared" si="1"/>
        <v>1271.1251506849317</v>
      </c>
      <c r="F24" s="158">
        <f t="shared" si="9"/>
        <v>9062.0748493150695</v>
      </c>
      <c r="G24" s="52">
        <f t="shared" si="10"/>
        <v>1271.1251506849317</v>
      </c>
      <c r="H24" s="158">
        <f t="shared" si="2"/>
        <v>22655</v>
      </c>
      <c r="I24" s="52">
        <f t="shared" si="3"/>
        <v>3178</v>
      </c>
      <c r="J24" s="158">
        <f t="shared" si="4"/>
        <v>8385.6556909197661</v>
      </c>
      <c r="K24" s="52">
        <f t="shared" si="5"/>
        <v>1176.2447376516634</v>
      </c>
      <c r="L24" s="158">
        <f t="shared" si="16"/>
        <v>676.41915839530338</v>
      </c>
      <c r="M24" s="54">
        <f t="shared" si="12"/>
        <v>94.880413033268269</v>
      </c>
      <c r="N24" s="218">
        <f t="shared" si="6"/>
        <v>15228.242897354216</v>
      </c>
      <c r="O24" s="219">
        <f>N24*INDEX(NPV!$C$3:$C$42,MATCH('Travel Time'!$A24,NPV!$B$3:$B$42,0))</f>
        <v>3935.267344141655</v>
      </c>
      <c r="P24" s="113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W24" s="49"/>
      <c r="CX24" s="49"/>
      <c r="CY24" s="49"/>
      <c r="CZ24" s="49"/>
    </row>
    <row r="25" spans="1:104">
      <c r="A25" s="53">
        <f t="shared" si="13"/>
        <v>2041</v>
      </c>
      <c r="B25" s="158">
        <f t="shared" si="14"/>
        <v>23009</v>
      </c>
      <c r="C25" s="52">
        <f t="shared" si="15"/>
        <v>3227</v>
      </c>
      <c r="D25" s="158">
        <f t="shared" si="0"/>
        <v>9203.4450410958925</v>
      </c>
      <c r="E25" s="52">
        <f t="shared" si="1"/>
        <v>1290.9549589041098</v>
      </c>
      <c r="F25" s="158">
        <f t="shared" si="9"/>
        <v>9203.4450410958925</v>
      </c>
      <c r="G25" s="52">
        <f t="shared" si="10"/>
        <v>1290.9549589041098</v>
      </c>
      <c r="H25" s="158">
        <f t="shared" si="2"/>
        <v>23009</v>
      </c>
      <c r="I25" s="52">
        <f t="shared" si="3"/>
        <v>3227</v>
      </c>
      <c r="J25" s="158">
        <f t="shared" si="4"/>
        <v>8516.4736076712343</v>
      </c>
      <c r="K25" s="52">
        <f t="shared" si="5"/>
        <v>1194.5943923287673</v>
      </c>
      <c r="L25" s="158">
        <f t="shared" si="16"/>
        <v>686.97143342465824</v>
      </c>
      <c r="M25" s="54">
        <f t="shared" si="12"/>
        <v>96.360566575342546</v>
      </c>
      <c r="N25" s="218">
        <f t="shared" si="6"/>
        <v>15465.806551890426</v>
      </c>
      <c r="O25" s="219">
        <f>N25*INDEX(NPV!$C$3:$C$42,MATCH('Travel Time'!$A25,NPV!$B$3:$B$42,0))</f>
        <v>3735.1946793006737</v>
      </c>
      <c r="P25" s="113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W25" s="49"/>
      <c r="CX25" s="49"/>
      <c r="CY25" s="49"/>
      <c r="CZ25" s="49"/>
    </row>
    <row r="26" spans="1:104">
      <c r="A26" s="53">
        <f t="shared" si="13"/>
        <v>2042</v>
      </c>
      <c r="B26" s="158">
        <f t="shared" si="14"/>
        <v>23367</v>
      </c>
      <c r="C26" s="52">
        <f t="shared" si="15"/>
        <v>3278</v>
      </c>
      <c r="D26" s="158">
        <f t="shared" si="0"/>
        <v>9346.92</v>
      </c>
      <c r="E26" s="52">
        <f t="shared" si="1"/>
        <v>1311.08</v>
      </c>
      <c r="F26" s="158">
        <f t="shared" si="9"/>
        <v>9346.92</v>
      </c>
      <c r="G26" s="52">
        <f t="shared" si="10"/>
        <v>1311.08</v>
      </c>
      <c r="H26" s="158">
        <f t="shared" si="2"/>
        <v>23367</v>
      </c>
      <c r="I26" s="52">
        <f t="shared" si="3"/>
        <v>3278</v>
      </c>
      <c r="J26" s="158">
        <f t="shared" si="4"/>
        <v>8649.2391857142866</v>
      </c>
      <c r="K26" s="52">
        <f t="shared" si="5"/>
        <v>1213.217242857143</v>
      </c>
      <c r="L26" s="158">
        <f t="shared" si="16"/>
        <v>697.6808142857135</v>
      </c>
      <c r="M26" s="54">
        <f t="shared" si="12"/>
        <v>97.862757142856935</v>
      </c>
      <c r="N26" s="218">
        <f t="shared" si="6"/>
        <v>15706.907134285693</v>
      </c>
      <c r="O26" s="219">
        <f>N26*INDEX(NPV!$C$3:$C$42,MATCH('Travel Time'!$A26,NPV!$B$3:$B$42,0))</f>
        <v>3545.2557244581612</v>
      </c>
      <c r="P26" s="113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W26" s="49"/>
      <c r="CX26" s="49"/>
      <c r="CY26" s="49"/>
      <c r="CZ26" s="49"/>
    </row>
    <row r="27" spans="1:104">
      <c r="A27" s="53">
        <f t="shared" si="13"/>
        <v>2043</v>
      </c>
      <c r="B27" s="158">
        <f t="shared" si="14"/>
        <v>23732</v>
      </c>
      <c r="C27" s="52">
        <f t="shared" si="15"/>
        <v>3329</v>
      </c>
      <c r="D27" s="158">
        <f t="shared" si="0"/>
        <v>9492.8505205479469</v>
      </c>
      <c r="E27" s="52">
        <f t="shared" si="1"/>
        <v>1331.549479452055</v>
      </c>
      <c r="F27" s="158">
        <f t="shared" si="9"/>
        <v>9492.8505205479469</v>
      </c>
      <c r="G27" s="52">
        <f t="shared" si="10"/>
        <v>1331.549479452055</v>
      </c>
      <c r="H27" s="158">
        <f t="shared" si="2"/>
        <v>23732</v>
      </c>
      <c r="I27" s="52">
        <f t="shared" si="3"/>
        <v>3329</v>
      </c>
      <c r="J27" s="158">
        <f t="shared" si="4"/>
        <v>8784.2770352641892</v>
      </c>
      <c r="K27" s="52">
        <f t="shared" si="5"/>
        <v>1232.1588218786694</v>
      </c>
      <c r="L27" s="158">
        <f t="shared" si="16"/>
        <v>708.57348528375769</v>
      </c>
      <c r="M27" s="54">
        <f t="shared" si="12"/>
        <v>99.390657573385624</v>
      </c>
      <c r="N27" s="218">
        <f t="shared" si="6"/>
        <v>15952.134132516643</v>
      </c>
      <c r="O27" s="219">
        <f>N27*INDEX(NPV!$C$3:$C$42,MATCH('Travel Time'!$A27,NPV!$B$3:$B$42,0))</f>
        <v>3365.0529779591648</v>
      </c>
      <c r="P27" s="113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W27" s="49"/>
      <c r="CX27" s="49"/>
      <c r="CY27" s="49"/>
      <c r="CZ27" s="49"/>
    </row>
    <row r="28" spans="1:104">
      <c r="A28" s="53">
        <f t="shared" si="13"/>
        <v>2044</v>
      </c>
      <c r="B28" s="158">
        <f t="shared" si="14"/>
        <v>24102</v>
      </c>
      <c r="C28" s="52">
        <f t="shared" si="15"/>
        <v>3381</v>
      </c>
      <c r="D28" s="158">
        <f t="shared" si="0"/>
        <v>9640.8858082191782</v>
      </c>
      <c r="E28" s="52">
        <f t="shared" si="1"/>
        <v>1352.3141917808221</v>
      </c>
      <c r="F28" s="158">
        <f t="shared" si="9"/>
        <v>9640.8858082191782</v>
      </c>
      <c r="G28" s="52">
        <f t="shared" si="10"/>
        <v>1352.3141917808221</v>
      </c>
      <c r="H28" s="158">
        <f t="shared" si="2"/>
        <v>24102</v>
      </c>
      <c r="I28" s="52">
        <f t="shared" si="3"/>
        <v>3381</v>
      </c>
      <c r="J28" s="158">
        <f t="shared" si="4"/>
        <v>8921.2625461056759</v>
      </c>
      <c r="K28" s="52">
        <f t="shared" si="5"/>
        <v>1251.3735967514679</v>
      </c>
      <c r="L28" s="158">
        <f t="shared" si="16"/>
        <v>719.62326211350228</v>
      </c>
      <c r="M28" s="54">
        <f t="shared" si="12"/>
        <v>100.9405950293542</v>
      </c>
      <c r="N28" s="218">
        <f t="shared" si="6"/>
        <v>16200.898058606643</v>
      </c>
      <c r="O28" s="219">
        <f>N28*INDEX(NPV!$C$3:$C$42,MATCH('Travel Time'!$A28,NPV!$B$3:$B$42,0))</f>
        <v>3193.9522923893169</v>
      </c>
      <c r="P28" s="113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W28" s="49"/>
      <c r="CX28" s="49"/>
      <c r="CY28" s="49"/>
      <c r="CZ28" s="49"/>
    </row>
    <row r="29" spans="1:104">
      <c r="A29" s="53">
        <f t="shared" si="13"/>
        <v>2045</v>
      </c>
      <c r="B29" s="158">
        <f t="shared" si="14"/>
        <v>24478</v>
      </c>
      <c r="C29" s="52">
        <f t="shared" si="15"/>
        <v>3433</v>
      </c>
      <c r="D29" s="158">
        <f t="shared" si="0"/>
        <v>9791.0258630136996</v>
      </c>
      <c r="E29" s="52">
        <f t="shared" si="1"/>
        <v>1373.3741369863017</v>
      </c>
      <c r="F29" s="158">
        <f t="shared" si="9"/>
        <v>9791.0258630136996</v>
      </c>
      <c r="G29" s="52">
        <f t="shared" si="10"/>
        <v>1373.3741369863017</v>
      </c>
      <c r="H29" s="158">
        <f t="shared" si="2"/>
        <v>24478</v>
      </c>
      <c r="I29" s="52">
        <f t="shared" si="3"/>
        <v>3433</v>
      </c>
      <c r="J29" s="158">
        <f t="shared" si="4"/>
        <v>9060.1957182387487</v>
      </c>
      <c r="K29" s="52">
        <f t="shared" si="5"/>
        <v>1270.8615674755383</v>
      </c>
      <c r="L29" s="158">
        <f t="shared" si="16"/>
        <v>730.8301447749509</v>
      </c>
      <c r="M29" s="54">
        <f t="shared" si="12"/>
        <v>102.51256951076334</v>
      </c>
      <c r="N29" s="218">
        <f t="shared" si="6"/>
        <v>16453.198912555774</v>
      </c>
      <c r="O29" s="219">
        <f>N29*INDEX(NPV!$C$3:$C$42,MATCH('Travel Time'!$A29,NPV!$B$3:$B$42,0))</f>
        <v>3031.4883672482079</v>
      </c>
      <c r="P29" s="113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W29" s="49"/>
      <c r="CX29" s="49"/>
      <c r="CY29" s="49"/>
      <c r="CZ29" s="49"/>
    </row>
    <row r="30" spans="1:104">
      <c r="A30" s="53">
        <f t="shared" si="13"/>
        <v>2046</v>
      </c>
      <c r="B30" s="158">
        <f t="shared" si="14"/>
        <v>24859</v>
      </c>
      <c r="C30" s="52">
        <f t="shared" si="15"/>
        <v>3487</v>
      </c>
      <c r="D30" s="158">
        <f t="shared" si="0"/>
        <v>9943.6214794520565</v>
      </c>
      <c r="E30" s="52">
        <f t="shared" si="1"/>
        <v>1394.7785205479454</v>
      </c>
      <c r="F30" s="158">
        <f t="shared" si="9"/>
        <v>9943.6214794520565</v>
      </c>
      <c r="G30" s="52">
        <f t="shared" si="10"/>
        <v>1394.7785205479454</v>
      </c>
      <c r="H30" s="158">
        <f t="shared" si="2"/>
        <v>24859</v>
      </c>
      <c r="I30" s="52">
        <f t="shared" si="3"/>
        <v>3487</v>
      </c>
      <c r="J30" s="158">
        <f t="shared" si="4"/>
        <v>9201.4011618786699</v>
      </c>
      <c r="K30" s="52">
        <f t="shared" si="5"/>
        <v>1290.6682666927593</v>
      </c>
      <c r="L30" s="158">
        <f t="shared" si="16"/>
        <v>742.22031757338664</v>
      </c>
      <c r="M30" s="54">
        <f t="shared" si="12"/>
        <v>104.1102538551861</v>
      </c>
      <c r="N30" s="218">
        <f t="shared" si="6"/>
        <v>16709.626182340537</v>
      </c>
      <c r="O30" s="219">
        <f>N30*INDEX(NPV!$C$3:$C$42,MATCH('Travel Time'!$A30,NPV!$B$3:$B$42,0))</f>
        <v>2877.322318504976</v>
      </c>
      <c r="P30" s="113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W30" s="49"/>
      <c r="CX30" s="49"/>
      <c r="CY30" s="49"/>
      <c r="CZ30" s="49"/>
    </row>
    <row r="31" spans="1:104">
      <c r="A31" s="53">
        <f t="shared" si="13"/>
        <v>2047</v>
      </c>
      <c r="B31" s="158">
        <f t="shared" si="14"/>
        <v>25248</v>
      </c>
      <c r="C31" s="52">
        <f t="shared" si="15"/>
        <v>3541</v>
      </c>
      <c r="D31" s="158">
        <f t="shared" si="0"/>
        <v>10099.023452054795</v>
      </c>
      <c r="E31" s="52">
        <f t="shared" si="1"/>
        <v>1416.5765479452054</v>
      </c>
      <c r="F31" s="158">
        <f t="shared" si="9"/>
        <v>10099.023452054795</v>
      </c>
      <c r="G31" s="52">
        <f t="shared" si="10"/>
        <v>1416.5765479452054</v>
      </c>
      <c r="H31" s="158">
        <f t="shared" si="2"/>
        <v>25248</v>
      </c>
      <c r="I31" s="52">
        <f t="shared" si="3"/>
        <v>3541</v>
      </c>
      <c r="J31" s="158">
        <f t="shared" si="4"/>
        <v>9345.2034872407057</v>
      </c>
      <c r="K31" s="52">
        <f t="shared" si="5"/>
        <v>1310.8392270450099</v>
      </c>
      <c r="L31" s="158">
        <f t="shared" si="16"/>
        <v>753.81996481408896</v>
      </c>
      <c r="M31" s="54">
        <f t="shared" si="12"/>
        <v>105.73732090019553</v>
      </c>
      <c r="N31" s="296">
        <f t="shared" si="6"/>
        <v>16970.769355937355</v>
      </c>
      <c r="O31" s="297">
        <f>N31*INDEX(NPV!$C$3:$C$42,MATCH('Travel Time'!$A31,NPV!$B$3:$B$42,0))</f>
        <v>2731.112145821543</v>
      </c>
      <c r="P31" s="113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W31" s="49"/>
      <c r="CX31" s="49"/>
      <c r="CY31" s="49"/>
      <c r="CZ31" s="49"/>
    </row>
    <row r="32" spans="1:104" ht="14.4" thickBot="1">
      <c r="A32" s="53">
        <f t="shared" si="13"/>
        <v>2048</v>
      </c>
      <c r="B32" s="158">
        <f t="shared" si="14"/>
        <v>25640</v>
      </c>
      <c r="C32" s="52">
        <f t="shared" si="15"/>
        <v>3597</v>
      </c>
      <c r="D32" s="158">
        <f t="shared" si="0"/>
        <v>10256.179397260275</v>
      </c>
      <c r="E32" s="52">
        <f t="shared" si="1"/>
        <v>1438.6206027397261</v>
      </c>
      <c r="F32" s="158">
        <f t="shared" si="9"/>
        <v>10256.179397260275</v>
      </c>
      <c r="G32" s="52">
        <f t="shared" si="10"/>
        <v>1438.6206027397261</v>
      </c>
      <c r="H32" s="158">
        <f t="shared" si="2"/>
        <v>25640</v>
      </c>
      <c r="I32" s="52">
        <f t="shared" si="3"/>
        <v>3597</v>
      </c>
      <c r="J32" s="158">
        <f t="shared" si="4"/>
        <v>9490.6288636790614</v>
      </c>
      <c r="K32" s="52">
        <f t="shared" si="5"/>
        <v>1331.2378506066539</v>
      </c>
      <c r="L32" s="158">
        <f t="shared" si="16"/>
        <v>765.55053358121404</v>
      </c>
      <c r="M32" s="54">
        <f t="shared" si="12"/>
        <v>107.38275213307224</v>
      </c>
      <c r="N32" s="220">
        <f t="shared" si="6"/>
        <v>17234.859969416837</v>
      </c>
      <c r="O32" s="221">
        <f>N32*INDEX(NPV!$C$3:$C$42,MATCH('Travel Time'!$A32,NPV!$B$3:$B$42,0))</f>
        <v>2592.1610703265301</v>
      </c>
      <c r="P32" s="113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W32" s="49"/>
      <c r="CX32" s="49"/>
      <c r="CY32" s="49"/>
      <c r="CZ32" s="49"/>
    </row>
    <row r="33" spans="1:78" ht="14.4" thickTop="1">
      <c r="A33" s="416" t="s">
        <v>16</v>
      </c>
      <c r="B33" s="416"/>
      <c r="C33" s="416"/>
      <c r="D33" s="416"/>
      <c r="E33" s="416"/>
      <c r="F33" s="416"/>
      <c r="G33" s="416"/>
      <c r="H33" s="416"/>
      <c r="I33" s="416"/>
      <c r="J33" s="416"/>
      <c r="K33" s="416"/>
      <c r="L33" s="416"/>
      <c r="M33" s="416"/>
      <c r="N33" s="222">
        <f>SUM(N11:N32)</f>
        <v>323865.87327419186</v>
      </c>
      <c r="O33" s="223">
        <f>SUM(O11:O32)</f>
        <v>104136.66602366992</v>
      </c>
      <c r="P33" s="113"/>
      <c r="Q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</row>
    <row r="34" spans="1:78" ht="29.4" customHeight="1">
      <c r="A34" s="156" t="s">
        <v>26</v>
      </c>
      <c r="B34" s="109"/>
      <c r="C34" s="109"/>
      <c r="D34" s="109"/>
      <c r="E34" s="109"/>
      <c r="F34" s="110"/>
      <c r="G34" s="110"/>
      <c r="H34" s="109"/>
      <c r="I34" s="109"/>
      <c r="J34" s="109"/>
      <c r="K34" s="109"/>
      <c r="L34" s="109"/>
      <c r="M34" s="109"/>
      <c r="N34" s="113"/>
      <c r="O34" s="109"/>
      <c r="P34" s="113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</row>
    <row r="35" spans="1:78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</row>
    <row r="36" spans="1:78" ht="13.2" customHeight="1">
      <c r="A36" s="434" t="s">
        <v>39</v>
      </c>
      <c r="B36" s="417" t="s">
        <v>105</v>
      </c>
      <c r="C36" s="417"/>
      <c r="D36" s="417"/>
      <c r="E36" s="417"/>
      <c r="F36" s="417" t="s">
        <v>54</v>
      </c>
      <c r="G36" s="417"/>
      <c r="H36" s="417"/>
      <c r="I36" s="417"/>
      <c r="J36" s="427" t="s">
        <v>112</v>
      </c>
      <c r="K36" s="427"/>
      <c r="L36" s="438" t="s">
        <v>113</v>
      </c>
      <c r="M36" s="438" t="s">
        <v>114</v>
      </c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</row>
    <row r="37" spans="1:78" ht="26.4" customHeight="1">
      <c r="A37" s="434"/>
      <c r="B37" s="421" t="s">
        <v>109</v>
      </c>
      <c r="C37" s="421"/>
      <c r="D37" s="421" t="s">
        <v>115</v>
      </c>
      <c r="E37" s="421"/>
      <c r="F37" s="421" t="s">
        <v>109</v>
      </c>
      <c r="G37" s="421"/>
      <c r="H37" s="421" t="s">
        <v>115</v>
      </c>
      <c r="I37" s="421"/>
      <c r="J37" s="427"/>
      <c r="K37" s="427"/>
      <c r="L37" s="438"/>
      <c r="M37" s="438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</row>
    <row r="38" spans="1:78" ht="27.6">
      <c r="A38" s="434"/>
      <c r="B38" s="64" t="s">
        <v>94</v>
      </c>
      <c r="C38" s="64" t="s">
        <v>95</v>
      </c>
      <c r="D38" s="64" t="s">
        <v>94</v>
      </c>
      <c r="E38" s="64" t="s">
        <v>95</v>
      </c>
      <c r="F38" s="64" t="s">
        <v>94</v>
      </c>
      <c r="G38" s="153" t="s">
        <v>95</v>
      </c>
      <c r="H38" s="64" t="s">
        <v>94</v>
      </c>
      <c r="I38" s="64" t="s">
        <v>95</v>
      </c>
      <c r="J38" s="64" t="s">
        <v>94</v>
      </c>
      <c r="K38" s="64" t="s">
        <v>95</v>
      </c>
      <c r="L38" s="438"/>
      <c r="M38" s="438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</row>
    <row r="39" spans="1:78">
      <c r="A39" s="53">
        <v>2027</v>
      </c>
      <c r="B39" s="158">
        <f t="shared" ref="B39:C60" si="17">B11</f>
        <v>18527</v>
      </c>
      <c r="C39" s="52">
        <f t="shared" si="17"/>
        <v>2599</v>
      </c>
      <c r="D39" s="158">
        <f t="shared" ref="D39:D60" si="18">Q71</f>
        <v>175214628.66600001</v>
      </c>
      <c r="E39" s="52">
        <f t="shared" ref="E39:E60" si="19">P71</f>
        <v>24577122.234000001</v>
      </c>
      <c r="F39" s="158">
        <f t="shared" ref="F39:F60" si="20">G71</f>
        <v>18527</v>
      </c>
      <c r="G39" s="52">
        <f t="shared" ref="G39:G60" si="21">F71</f>
        <v>2599</v>
      </c>
      <c r="H39" s="158">
        <f>S71</f>
        <v>175214628.66600001</v>
      </c>
      <c r="I39" s="52">
        <f t="shared" ref="I39:I60" si="22">R71</f>
        <v>24577122.234000001</v>
      </c>
      <c r="J39" s="158">
        <f>D39-H39</f>
        <v>0</v>
      </c>
      <c r="K39" s="54">
        <f>E39-I39</f>
        <v>0</v>
      </c>
      <c r="L39" s="218">
        <f t="shared" ref="L39:L60" si="23">(J39*$B$133)+(K39*$B$132)</f>
        <v>0</v>
      </c>
      <c r="M39" s="219">
        <f>L39*INDEX(NPV!$C$3:$C$42,MATCH('Travel Time'!$A39,NPV!$B$3:$B$42,0))</f>
        <v>0</v>
      </c>
      <c r="N39" s="113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</row>
    <row r="40" spans="1:78">
      <c r="A40" s="53">
        <f>A39+1</f>
        <v>2028</v>
      </c>
      <c r="B40" s="158">
        <f t="shared" si="17"/>
        <v>18816</v>
      </c>
      <c r="C40" s="52">
        <f t="shared" si="17"/>
        <v>2639</v>
      </c>
      <c r="D40" s="158">
        <f t="shared" si="18"/>
        <v>177943285.905</v>
      </c>
      <c r="E40" s="52">
        <f t="shared" si="19"/>
        <v>24959867.344999999</v>
      </c>
      <c r="F40" s="158">
        <f t="shared" si="20"/>
        <v>18816</v>
      </c>
      <c r="G40" s="52">
        <f t="shared" si="21"/>
        <v>2639</v>
      </c>
      <c r="H40" s="158">
        <f t="shared" ref="H40:H60" si="24">S72</f>
        <v>177943285.90500003</v>
      </c>
      <c r="I40" s="52">
        <f t="shared" si="22"/>
        <v>24959867.345000003</v>
      </c>
      <c r="J40" s="158">
        <f t="shared" ref="J40:K55" si="25">D40-H40</f>
        <v>0</v>
      </c>
      <c r="K40" s="54">
        <f t="shared" si="25"/>
        <v>0</v>
      </c>
      <c r="L40" s="218">
        <f t="shared" si="23"/>
        <v>0</v>
      </c>
      <c r="M40" s="219">
        <f>L40*INDEX(NPV!$C$3:$C$42,MATCH('Travel Time'!$A40,NPV!$B$3:$B$42,0))</f>
        <v>0</v>
      </c>
      <c r="N40" s="113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</row>
    <row r="41" spans="1:78">
      <c r="A41" s="53">
        <v>2029</v>
      </c>
      <c r="B41" s="158">
        <f t="shared" si="17"/>
        <v>19110</v>
      </c>
      <c r="C41" s="52">
        <f t="shared" si="17"/>
        <v>2680</v>
      </c>
      <c r="D41" s="158">
        <f t="shared" si="18"/>
        <v>180721705.88999999</v>
      </c>
      <c r="E41" s="52">
        <f t="shared" si="19"/>
        <v>25349592.609999999</v>
      </c>
      <c r="F41" s="158">
        <f t="shared" si="20"/>
        <v>19110</v>
      </c>
      <c r="G41" s="52">
        <f t="shared" si="21"/>
        <v>2680</v>
      </c>
      <c r="H41" s="158">
        <f t="shared" si="24"/>
        <v>180721705.88999999</v>
      </c>
      <c r="I41" s="52">
        <f t="shared" si="22"/>
        <v>25349592.609999999</v>
      </c>
      <c r="J41" s="158">
        <f t="shared" si="25"/>
        <v>0</v>
      </c>
      <c r="K41" s="54">
        <f t="shared" si="25"/>
        <v>0</v>
      </c>
      <c r="L41" s="218">
        <f t="shared" si="23"/>
        <v>0</v>
      </c>
      <c r="M41" s="219">
        <f>L41*INDEX(NPV!$C$3:$C$42,MATCH('Travel Time'!$A41,NPV!$B$3:$B$42,0))</f>
        <v>0</v>
      </c>
      <c r="N41" s="113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  <c r="BR41" s="109"/>
      <c r="BS41" s="109"/>
      <c r="BT41" s="109"/>
      <c r="BU41" s="109"/>
      <c r="BV41" s="109"/>
      <c r="BW41" s="109"/>
      <c r="BX41" s="109"/>
      <c r="BY41" s="109"/>
      <c r="BZ41" s="109"/>
    </row>
    <row r="42" spans="1:78">
      <c r="A42" s="53">
        <f t="shared" ref="A42:A43" si="26">A41+1</f>
        <v>2030</v>
      </c>
      <c r="B42" s="158">
        <f t="shared" si="17"/>
        <v>19408</v>
      </c>
      <c r="C42" s="52">
        <f t="shared" si="17"/>
        <v>2722</v>
      </c>
      <c r="D42" s="158">
        <f t="shared" si="18"/>
        <v>183541594.82999998</v>
      </c>
      <c r="E42" s="52">
        <f t="shared" si="19"/>
        <v>25745134.670000002</v>
      </c>
      <c r="F42" s="158">
        <f t="shared" si="20"/>
        <v>19408</v>
      </c>
      <c r="G42" s="52">
        <f t="shared" si="21"/>
        <v>2722</v>
      </c>
      <c r="H42" s="158">
        <f t="shared" si="24"/>
        <v>183541594.83000001</v>
      </c>
      <c r="I42" s="52">
        <f t="shared" si="22"/>
        <v>25745134.670000006</v>
      </c>
      <c r="J42" s="158">
        <f t="shared" si="25"/>
        <v>0</v>
      </c>
      <c r="K42" s="54">
        <f t="shared" si="25"/>
        <v>0</v>
      </c>
      <c r="L42" s="218">
        <f t="shared" si="23"/>
        <v>0</v>
      </c>
      <c r="M42" s="219">
        <f>L42*INDEX(NPV!$C$3:$C$42,MATCH('Travel Time'!$A42,NPV!$B$3:$B$42,0))</f>
        <v>0</v>
      </c>
      <c r="N42" s="113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/>
      <c r="BW42" s="109"/>
      <c r="BX42" s="109"/>
      <c r="BY42" s="109"/>
      <c r="BZ42" s="109"/>
    </row>
    <row r="43" spans="1:78">
      <c r="A43" s="53">
        <f t="shared" si="26"/>
        <v>2031</v>
      </c>
      <c r="B43" s="158">
        <f t="shared" si="17"/>
        <v>19710</v>
      </c>
      <c r="C43" s="52">
        <f t="shared" si="17"/>
        <v>2765</v>
      </c>
      <c r="D43" s="158">
        <f t="shared" si="18"/>
        <v>186402952.72499999</v>
      </c>
      <c r="E43" s="52">
        <f t="shared" si="19"/>
        <v>26146493.525000002</v>
      </c>
      <c r="F43" s="158">
        <f t="shared" si="20"/>
        <v>19710</v>
      </c>
      <c r="G43" s="52">
        <f t="shared" si="21"/>
        <v>2765</v>
      </c>
      <c r="H43" s="158">
        <f t="shared" si="24"/>
        <v>186402952.72499999</v>
      </c>
      <c r="I43" s="52">
        <f t="shared" si="22"/>
        <v>26146493.525000002</v>
      </c>
      <c r="J43" s="158">
        <f t="shared" si="25"/>
        <v>0</v>
      </c>
      <c r="K43" s="54">
        <f t="shared" si="25"/>
        <v>0</v>
      </c>
      <c r="L43" s="218">
        <f t="shared" si="23"/>
        <v>0</v>
      </c>
      <c r="M43" s="219">
        <f>L43*INDEX(NPV!$C$3:$C$42,MATCH('Travel Time'!$A43,NPV!$B$3:$B$42,0))</f>
        <v>0</v>
      </c>
      <c r="N43" s="113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09"/>
      <c r="BR43" s="109"/>
      <c r="BS43" s="109"/>
      <c r="BT43" s="109"/>
      <c r="BU43" s="109"/>
      <c r="BV43" s="109"/>
      <c r="BW43" s="109"/>
      <c r="BX43" s="109"/>
      <c r="BY43" s="109"/>
      <c r="BZ43" s="109"/>
    </row>
    <row r="44" spans="1:78">
      <c r="A44" s="53">
        <f t="shared" ref="A44:A60" si="27">A43+1</f>
        <v>2032</v>
      </c>
      <c r="B44" s="158">
        <f t="shared" si="17"/>
        <v>20017</v>
      </c>
      <c r="C44" s="52">
        <f t="shared" si="17"/>
        <v>2808</v>
      </c>
      <c r="D44" s="158">
        <f t="shared" si="18"/>
        <v>189305779.57499999</v>
      </c>
      <c r="E44" s="52">
        <f t="shared" si="19"/>
        <v>26553669.175000001</v>
      </c>
      <c r="F44" s="158">
        <f t="shared" si="20"/>
        <v>20017</v>
      </c>
      <c r="G44" s="52">
        <f t="shared" si="21"/>
        <v>2808</v>
      </c>
      <c r="H44" s="158">
        <f t="shared" si="24"/>
        <v>189305779.57499999</v>
      </c>
      <c r="I44" s="52">
        <f t="shared" si="22"/>
        <v>26553669.175000001</v>
      </c>
      <c r="J44" s="158">
        <f t="shared" si="25"/>
        <v>0</v>
      </c>
      <c r="K44" s="54">
        <f t="shared" si="25"/>
        <v>0</v>
      </c>
      <c r="L44" s="218">
        <f t="shared" si="23"/>
        <v>0</v>
      </c>
      <c r="M44" s="219">
        <f>L44*INDEX(NPV!$C$3:$C$42,MATCH('Travel Time'!$A44,NPV!$B$3:$B$42,0))</f>
        <v>0</v>
      </c>
      <c r="N44" s="113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09"/>
      <c r="BR44" s="109"/>
      <c r="BS44" s="109"/>
      <c r="BT44" s="109"/>
      <c r="BU44" s="109"/>
      <c r="BV44" s="109"/>
      <c r="BW44" s="109"/>
      <c r="BX44" s="109"/>
      <c r="BY44" s="109"/>
      <c r="BZ44" s="109"/>
    </row>
    <row r="45" spans="1:78">
      <c r="A45" s="53">
        <f t="shared" si="27"/>
        <v>2033</v>
      </c>
      <c r="B45" s="158">
        <f t="shared" si="17"/>
        <v>20329</v>
      </c>
      <c r="C45" s="52">
        <f t="shared" si="17"/>
        <v>2852</v>
      </c>
      <c r="D45" s="158">
        <f t="shared" si="18"/>
        <v>192258369.171</v>
      </c>
      <c r="E45" s="52">
        <f t="shared" si="19"/>
        <v>26967824.979000002</v>
      </c>
      <c r="F45" s="158">
        <f t="shared" si="20"/>
        <v>20329</v>
      </c>
      <c r="G45" s="52">
        <f t="shared" si="21"/>
        <v>2852</v>
      </c>
      <c r="H45" s="158">
        <f t="shared" si="24"/>
        <v>192258369.17099997</v>
      </c>
      <c r="I45" s="52">
        <f t="shared" si="22"/>
        <v>26967824.978999998</v>
      </c>
      <c r="J45" s="158">
        <f t="shared" si="25"/>
        <v>0</v>
      </c>
      <c r="K45" s="54">
        <f t="shared" si="25"/>
        <v>0</v>
      </c>
      <c r="L45" s="218">
        <f t="shared" si="23"/>
        <v>0</v>
      </c>
      <c r="M45" s="219">
        <f>L45*INDEX(NPV!$C$3:$C$42,MATCH('Travel Time'!$A45,NPV!$B$3:$B$42,0))</f>
        <v>0</v>
      </c>
      <c r="N45" s="113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</row>
    <row r="46" spans="1:78">
      <c r="A46" s="53">
        <f t="shared" si="27"/>
        <v>2034</v>
      </c>
      <c r="B46" s="158">
        <f t="shared" si="17"/>
        <v>20647</v>
      </c>
      <c r="C46" s="52">
        <f t="shared" si="17"/>
        <v>2896</v>
      </c>
      <c r="D46" s="158">
        <f t="shared" si="18"/>
        <v>195260721.51299998</v>
      </c>
      <c r="E46" s="52">
        <f t="shared" si="19"/>
        <v>27388960.936999999</v>
      </c>
      <c r="F46" s="158">
        <f t="shared" si="20"/>
        <v>20647</v>
      </c>
      <c r="G46" s="52">
        <f t="shared" si="21"/>
        <v>2896</v>
      </c>
      <c r="H46" s="158">
        <f t="shared" si="24"/>
        <v>195260721.51299998</v>
      </c>
      <c r="I46" s="52">
        <f t="shared" si="22"/>
        <v>27388960.936999999</v>
      </c>
      <c r="J46" s="158">
        <f t="shared" si="25"/>
        <v>0</v>
      </c>
      <c r="K46" s="54">
        <f t="shared" si="25"/>
        <v>0</v>
      </c>
      <c r="L46" s="218">
        <f t="shared" si="23"/>
        <v>0</v>
      </c>
      <c r="M46" s="219">
        <f>L46*INDEX(NPV!$C$3:$C$42,MATCH('Travel Time'!$A46,NPV!$B$3:$B$42,0))</f>
        <v>0</v>
      </c>
      <c r="N46" s="113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</row>
    <row r="47" spans="1:78">
      <c r="A47" s="53">
        <f t="shared" si="27"/>
        <v>2035</v>
      </c>
      <c r="B47" s="158">
        <f t="shared" si="17"/>
        <v>20969</v>
      </c>
      <c r="C47" s="52">
        <f t="shared" si="17"/>
        <v>2941</v>
      </c>
      <c r="D47" s="158">
        <f t="shared" si="18"/>
        <v>198304542.81</v>
      </c>
      <c r="E47" s="52">
        <f t="shared" si="19"/>
        <v>27815913.690000001</v>
      </c>
      <c r="F47" s="158">
        <f t="shared" si="20"/>
        <v>20969</v>
      </c>
      <c r="G47" s="52">
        <f t="shared" si="21"/>
        <v>2941</v>
      </c>
      <c r="H47" s="158">
        <f t="shared" si="24"/>
        <v>198304542.81</v>
      </c>
      <c r="I47" s="52">
        <f t="shared" si="22"/>
        <v>27815913.690000001</v>
      </c>
      <c r="J47" s="158">
        <f t="shared" si="25"/>
        <v>0</v>
      </c>
      <c r="K47" s="54">
        <f t="shared" si="25"/>
        <v>0</v>
      </c>
      <c r="L47" s="218">
        <f t="shared" si="23"/>
        <v>0</v>
      </c>
      <c r="M47" s="219">
        <f>L47*INDEX(NPV!$C$3:$C$42,MATCH('Travel Time'!$A47,NPV!$B$3:$B$42,0))</f>
        <v>0</v>
      </c>
      <c r="N47" s="113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</row>
    <row r="48" spans="1:78">
      <c r="A48" s="53">
        <f t="shared" si="27"/>
        <v>2036</v>
      </c>
      <c r="B48" s="158">
        <f t="shared" si="17"/>
        <v>21296</v>
      </c>
      <c r="C48" s="52">
        <f t="shared" si="17"/>
        <v>2987</v>
      </c>
      <c r="D48" s="158">
        <f t="shared" si="18"/>
        <v>201398126.85299999</v>
      </c>
      <c r="E48" s="52">
        <f t="shared" si="19"/>
        <v>28249846.596999999</v>
      </c>
      <c r="F48" s="158">
        <f t="shared" si="20"/>
        <v>21296</v>
      </c>
      <c r="G48" s="52">
        <f t="shared" si="21"/>
        <v>2987</v>
      </c>
      <c r="H48" s="158">
        <f t="shared" si="24"/>
        <v>201398126.85300002</v>
      </c>
      <c r="I48" s="52">
        <f t="shared" si="22"/>
        <v>28249846.597000003</v>
      </c>
      <c r="J48" s="158">
        <f t="shared" si="25"/>
        <v>0</v>
      </c>
      <c r="K48" s="54">
        <f t="shared" si="25"/>
        <v>0</v>
      </c>
      <c r="L48" s="218">
        <f t="shared" si="23"/>
        <v>0</v>
      </c>
      <c r="M48" s="219">
        <f>L48*INDEX(NPV!$C$3:$C$42,MATCH('Travel Time'!$A48,NPV!$B$3:$B$42,0))</f>
        <v>0</v>
      </c>
      <c r="N48" s="113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</row>
    <row r="49" spans="1:104">
      <c r="A49" s="53">
        <f t="shared" si="27"/>
        <v>2037</v>
      </c>
      <c r="B49" s="158">
        <f t="shared" si="17"/>
        <v>21627</v>
      </c>
      <c r="C49" s="52">
        <f t="shared" si="17"/>
        <v>3034</v>
      </c>
      <c r="D49" s="158">
        <f t="shared" si="18"/>
        <v>204533179.85100001</v>
      </c>
      <c r="E49" s="52">
        <f t="shared" si="19"/>
        <v>28689596.299000002</v>
      </c>
      <c r="F49" s="158">
        <f t="shared" si="20"/>
        <v>21627</v>
      </c>
      <c r="G49" s="52">
        <f t="shared" si="21"/>
        <v>3034</v>
      </c>
      <c r="H49" s="158">
        <f t="shared" si="24"/>
        <v>204533179.85100001</v>
      </c>
      <c r="I49" s="52">
        <f t="shared" si="22"/>
        <v>28689596.299000002</v>
      </c>
      <c r="J49" s="158">
        <f t="shared" si="25"/>
        <v>0</v>
      </c>
      <c r="K49" s="54">
        <f t="shared" si="25"/>
        <v>0</v>
      </c>
      <c r="L49" s="218">
        <f t="shared" si="23"/>
        <v>0</v>
      </c>
      <c r="M49" s="219">
        <f>L49*INDEX(NPV!$C$3:$C$42,MATCH('Travel Time'!$A49,NPV!$B$3:$B$42,0))</f>
        <v>0</v>
      </c>
      <c r="N49" s="113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</row>
    <row r="50" spans="1:104">
      <c r="A50" s="53">
        <f t="shared" si="27"/>
        <v>2038</v>
      </c>
      <c r="B50" s="158">
        <f t="shared" si="17"/>
        <v>21965</v>
      </c>
      <c r="C50" s="52">
        <f t="shared" si="17"/>
        <v>3081</v>
      </c>
      <c r="D50" s="158">
        <f t="shared" si="18"/>
        <v>207726289.38600001</v>
      </c>
      <c r="E50" s="52">
        <f t="shared" si="19"/>
        <v>29137489.514000002</v>
      </c>
      <c r="F50" s="158">
        <f t="shared" si="20"/>
        <v>21965</v>
      </c>
      <c r="G50" s="52">
        <f t="shared" si="21"/>
        <v>3081</v>
      </c>
      <c r="H50" s="158">
        <f t="shared" si="24"/>
        <v>207726289.38600001</v>
      </c>
      <c r="I50" s="52">
        <f t="shared" si="22"/>
        <v>29137489.514000002</v>
      </c>
      <c r="J50" s="158">
        <f t="shared" si="25"/>
        <v>0</v>
      </c>
      <c r="K50" s="54">
        <f t="shared" si="25"/>
        <v>0</v>
      </c>
      <c r="L50" s="218">
        <f t="shared" si="23"/>
        <v>0</v>
      </c>
      <c r="M50" s="219">
        <f>L50*INDEX(NPV!$C$3:$C$42,MATCH('Travel Time'!$A50,NPV!$B$3:$B$42,0))</f>
        <v>0</v>
      </c>
      <c r="N50" s="113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09"/>
      <c r="BS50" s="109"/>
      <c r="BT50" s="109"/>
      <c r="BU50" s="109"/>
      <c r="BV50" s="109"/>
      <c r="BW50" s="109"/>
      <c r="BX50" s="109"/>
      <c r="BY50" s="109"/>
      <c r="BZ50" s="109"/>
    </row>
    <row r="51" spans="1:104">
      <c r="A51" s="53">
        <f t="shared" si="27"/>
        <v>2039</v>
      </c>
      <c r="B51" s="158">
        <f t="shared" si="17"/>
        <v>22307</v>
      </c>
      <c r="C51" s="52">
        <f t="shared" si="17"/>
        <v>3129</v>
      </c>
      <c r="D51" s="158">
        <f t="shared" si="18"/>
        <v>210960867.87600002</v>
      </c>
      <c r="E51" s="52">
        <f t="shared" si="19"/>
        <v>29591199.524</v>
      </c>
      <c r="F51" s="158">
        <f t="shared" si="20"/>
        <v>22307</v>
      </c>
      <c r="G51" s="52">
        <f t="shared" si="21"/>
        <v>3129</v>
      </c>
      <c r="H51" s="158">
        <f t="shared" si="24"/>
        <v>210960867.87600002</v>
      </c>
      <c r="I51" s="52">
        <f t="shared" si="22"/>
        <v>29591199.524</v>
      </c>
      <c r="J51" s="158">
        <f t="shared" si="25"/>
        <v>0</v>
      </c>
      <c r="K51" s="54">
        <f t="shared" si="25"/>
        <v>0</v>
      </c>
      <c r="L51" s="218">
        <f t="shared" si="23"/>
        <v>0</v>
      </c>
      <c r="M51" s="219">
        <f>L51*INDEX(NPV!$C$3:$C$42,MATCH('Travel Time'!$A51,NPV!$B$3:$B$42,0))</f>
        <v>0</v>
      </c>
      <c r="N51" s="113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 s="109"/>
      <c r="BS51" s="109"/>
      <c r="BT51" s="109"/>
      <c r="BU51" s="109"/>
      <c r="BV51" s="109"/>
      <c r="BW51" s="109"/>
      <c r="BX51" s="109"/>
      <c r="BY51" s="109"/>
      <c r="BZ51" s="109"/>
    </row>
    <row r="52" spans="1:104">
      <c r="A52" s="53">
        <f t="shared" si="27"/>
        <v>2040</v>
      </c>
      <c r="B52" s="158">
        <f t="shared" si="17"/>
        <v>22655</v>
      </c>
      <c r="C52" s="52">
        <f t="shared" si="17"/>
        <v>3178</v>
      </c>
      <c r="D52" s="158">
        <f t="shared" si="18"/>
        <v>214253502.903</v>
      </c>
      <c r="E52" s="52">
        <f t="shared" si="19"/>
        <v>30053053.046999998</v>
      </c>
      <c r="F52" s="158">
        <f t="shared" si="20"/>
        <v>22655</v>
      </c>
      <c r="G52" s="52">
        <f t="shared" si="21"/>
        <v>3178</v>
      </c>
      <c r="H52" s="158">
        <f t="shared" si="24"/>
        <v>214253502.90300003</v>
      </c>
      <c r="I52" s="52">
        <f t="shared" si="22"/>
        <v>30053053.047000002</v>
      </c>
      <c r="J52" s="158">
        <f t="shared" si="25"/>
        <v>0</v>
      </c>
      <c r="K52" s="54">
        <f t="shared" si="25"/>
        <v>0</v>
      </c>
      <c r="L52" s="218">
        <f t="shared" si="23"/>
        <v>0</v>
      </c>
      <c r="M52" s="219">
        <f>L52*INDEX(NPV!$C$3:$C$42,MATCH('Travel Time'!$A52,NPV!$B$3:$B$42,0))</f>
        <v>0</v>
      </c>
      <c r="N52" s="113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/>
    </row>
    <row r="53" spans="1:104">
      <c r="A53" s="53">
        <f t="shared" si="27"/>
        <v>2041</v>
      </c>
      <c r="B53" s="158">
        <f t="shared" si="17"/>
        <v>23009</v>
      </c>
      <c r="C53" s="52">
        <f t="shared" si="17"/>
        <v>3227</v>
      </c>
      <c r="D53" s="158">
        <f t="shared" si="18"/>
        <v>217595900.676</v>
      </c>
      <c r="E53" s="52">
        <f t="shared" si="19"/>
        <v>30521886.724000003</v>
      </c>
      <c r="F53" s="158">
        <f t="shared" si="20"/>
        <v>23009</v>
      </c>
      <c r="G53" s="52">
        <f t="shared" si="21"/>
        <v>3227</v>
      </c>
      <c r="H53" s="158">
        <f t="shared" si="24"/>
        <v>217595900.676</v>
      </c>
      <c r="I53" s="52">
        <f t="shared" si="22"/>
        <v>30521886.724000003</v>
      </c>
      <c r="J53" s="158">
        <f t="shared" si="25"/>
        <v>0</v>
      </c>
      <c r="K53" s="54">
        <f t="shared" si="25"/>
        <v>0</v>
      </c>
      <c r="L53" s="218">
        <f t="shared" si="23"/>
        <v>0</v>
      </c>
      <c r="M53" s="219">
        <f>L53*INDEX(NPV!$C$3:$C$42,MATCH('Travel Time'!$A53,NPV!$B$3:$B$42,0))</f>
        <v>0</v>
      </c>
      <c r="N53" s="113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/>
    </row>
    <row r="54" spans="1:104">
      <c r="A54" s="53">
        <f t="shared" si="27"/>
        <v>2042</v>
      </c>
      <c r="B54" s="158">
        <f t="shared" si="17"/>
        <v>23367</v>
      </c>
      <c r="C54" s="52">
        <f t="shared" si="17"/>
        <v>3278</v>
      </c>
      <c r="D54" s="158">
        <f t="shared" si="18"/>
        <v>220988061.19499999</v>
      </c>
      <c r="E54" s="52">
        <f t="shared" si="19"/>
        <v>30997700.555</v>
      </c>
      <c r="F54" s="158">
        <f t="shared" si="20"/>
        <v>23367</v>
      </c>
      <c r="G54" s="52">
        <f t="shared" si="21"/>
        <v>3278</v>
      </c>
      <c r="H54" s="158">
        <f t="shared" si="24"/>
        <v>220988061.19499996</v>
      </c>
      <c r="I54" s="52">
        <f t="shared" si="22"/>
        <v>30997700.554999996</v>
      </c>
      <c r="J54" s="158">
        <f t="shared" si="25"/>
        <v>0</v>
      </c>
      <c r="K54" s="54">
        <f t="shared" si="25"/>
        <v>0</v>
      </c>
      <c r="L54" s="218">
        <f t="shared" si="23"/>
        <v>0</v>
      </c>
      <c r="M54" s="219">
        <f>L54*INDEX(NPV!$C$3:$C$42,MATCH('Travel Time'!$A54,NPV!$B$3:$B$42,0))</f>
        <v>0</v>
      </c>
      <c r="N54" s="113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09"/>
      <c r="BX54" s="109"/>
      <c r="BY54" s="109"/>
      <c r="BZ54" s="109"/>
    </row>
    <row r="55" spans="1:104">
      <c r="A55" s="53">
        <f t="shared" si="27"/>
        <v>2043</v>
      </c>
      <c r="B55" s="158">
        <f t="shared" si="17"/>
        <v>23732</v>
      </c>
      <c r="C55" s="52">
        <f t="shared" si="17"/>
        <v>3329</v>
      </c>
      <c r="D55" s="158">
        <f t="shared" si="18"/>
        <v>224438278.25100002</v>
      </c>
      <c r="E55" s="52">
        <f t="shared" si="19"/>
        <v>31481657.899</v>
      </c>
      <c r="F55" s="158">
        <f t="shared" si="20"/>
        <v>23732</v>
      </c>
      <c r="G55" s="52">
        <f t="shared" si="21"/>
        <v>3329</v>
      </c>
      <c r="H55" s="158">
        <f t="shared" si="24"/>
        <v>224438278.25100002</v>
      </c>
      <c r="I55" s="52">
        <f t="shared" si="22"/>
        <v>31481657.899</v>
      </c>
      <c r="J55" s="158">
        <f t="shared" si="25"/>
        <v>0</v>
      </c>
      <c r="K55" s="54">
        <f t="shared" si="25"/>
        <v>0</v>
      </c>
      <c r="L55" s="218">
        <f t="shared" si="23"/>
        <v>0</v>
      </c>
      <c r="M55" s="219">
        <f>L55*INDEX(NPV!$C$3:$C$42,MATCH('Travel Time'!$A55,NPV!$B$3:$B$42,0))</f>
        <v>0</v>
      </c>
      <c r="N55" s="113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Q55" s="109"/>
      <c r="BR55" s="109"/>
      <c r="BS55" s="109"/>
      <c r="BT55" s="109"/>
      <c r="BU55" s="109"/>
      <c r="BV55" s="109"/>
      <c r="BW55" s="109"/>
      <c r="BX55" s="109"/>
      <c r="BY55" s="109"/>
      <c r="BZ55" s="109"/>
    </row>
    <row r="56" spans="1:104">
      <c r="A56" s="53">
        <f t="shared" si="27"/>
        <v>2044</v>
      </c>
      <c r="B56" s="158">
        <f t="shared" si="17"/>
        <v>24102</v>
      </c>
      <c r="C56" s="52">
        <f t="shared" si="17"/>
        <v>3381</v>
      </c>
      <c r="D56" s="158">
        <f t="shared" si="18"/>
        <v>227938258.05299997</v>
      </c>
      <c r="E56" s="52">
        <f t="shared" si="19"/>
        <v>31972595.397</v>
      </c>
      <c r="F56" s="158">
        <f t="shared" si="20"/>
        <v>24102</v>
      </c>
      <c r="G56" s="52">
        <f t="shared" si="21"/>
        <v>3381</v>
      </c>
      <c r="H56" s="158">
        <f t="shared" si="24"/>
        <v>227938258.053</v>
      </c>
      <c r="I56" s="52">
        <f t="shared" si="22"/>
        <v>31972595.397000004</v>
      </c>
      <c r="J56" s="158">
        <f t="shared" ref="J56:K60" si="28">D56-H56</f>
        <v>0</v>
      </c>
      <c r="K56" s="54">
        <f t="shared" si="28"/>
        <v>0</v>
      </c>
      <c r="L56" s="218">
        <f t="shared" si="23"/>
        <v>0</v>
      </c>
      <c r="M56" s="219">
        <f>L56*INDEX(NPV!$C$3:$C$42,MATCH('Travel Time'!$A56,NPV!$B$3:$B$42,0))</f>
        <v>0</v>
      </c>
      <c r="N56" s="113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09"/>
      <c r="BR56" s="109"/>
      <c r="BS56" s="109"/>
      <c r="BT56" s="109"/>
      <c r="BU56" s="109"/>
      <c r="BV56" s="109"/>
      <c r="BW56" s="109"/>
      <c r="BX56" s="109"/>
      <c r="BY56" s="109"/>
      <c r="BZ56" s="109"/>
    </row>
    <row r="57" spans="1:104">
      <c r="A57" s="53">
        <f t="shared" si="27"/>
        <v>2045</v>
      </c>
      <c r="B57" s="158">
        <f t="shared" si="17"/>
        <v>24478</v>
      </c>
      <c r="C57" s="52">
        <f t="shared" si="17"/>
        <v>3433</v>
      </c>
      <c r="D57" s="158">
        <f t="shared" si="18"/>
        <v>231488000.60100001</v>
      </c>
      <c r="E57" s="52">
        <f t="shared" si="19"/>
        <v>32470513.049000002</v>
      </c>
      <c r="F57" s="158">
        <f t="shared" si="20"/>
        <v>24478</v>
      </c>
      <c r="G57" s="52">
        <f t="shared" si="21"/>
        <v>3433</v>
      </c>
      <c r="H57" s="158">
        <f t="shared" si="24"/>
        <v>231488000.60100001</v>
      </c>
      <c r="I57" s="52">
        <f t="shared" si="22"/>
        <v>32470513.049000002</v>
      </c>
      <c r="J57" s="158">
        <f t="shared" si="28"/>
        <v>0</v>
      </c>
      <c r="K57" s="54">
        <f t="shared" si="28"/>
        <v>0</v>
      </c>
      <c r="L57" s="218">
        <f t="shared" si="23"/>
        <v>0</v>
      </c>
      <c r="M57" s="219">
        <f>L57*INDEX(NPV!$C$3:$C$42,MATCH('Travel Time'!$A57,NPV!$B$3:$B$42,0))</f>
        <v>0</v>
      </c>
      <c r="N57" s="113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  <c r="BQ57" s="109"/>
      <c r="BR57" s="109"/>
      <c r="BS57" s="109"/>
      <c r="BT57" s="109"/>
      <c r="BU57" s="109"/>
      <c r="BV57" s="109"/>
      <c r="BW57" s="109"/>
      <c r="BX57" s="109"/>
      <c r="BY57" s="109"/>
      <c r="BZ57" s="109"/>
    </row>
    <row r="58" spans="1:104">
      <c r="A58" s="53">
        <f t="shared" si="27"/>
        <v>2046</v>
      </c>
      <c r="B58" s="158">
        <f t="shared" si="17"/>
        <v>24859</v>
      </c>
      <c r="C58" s="52">
        <f t="shared" si="17"/>
        <v>3487</v>
      </c>
      <c r="D58" s="158">
        <f t="shared" si="18"/>
        <v>235095799.68599999</v>
      </c>
      <c r="E58" s="52">
        <f t="shared" si="19"/>
        <v>32976574.214000002</v>
      </c>
      <c r="F58" s="158">
        <f t="shared" si="20"/>
        <v>24859</v>
      </c>
      <c r="G58" s="52">
        <f t="shared" si="21"/>
        <v>3487</v>
      </c>
      <c r="H58" s="158">
        <f t="shared" si="24"/>
        <v>235095799.68599999</v>
      </c>
      <c r="I58" s="52">
        <f t="shared" si="22"/>
        <v>32976574.214000002</v>
      </c>
      <c r="J58" s="158">
        <f t="shared" si="28"/>
        <v>0</v>
      </c>
      <c r="K58" s="54">
        <f t="shared" si="28"/>
        <v>0</v>
      </c>
      <c r="L58" s="218">
        <f t="shared" si="23"/>
        <v>0</v>
      </c>
      <c r="M58" s="219">
        <f>L58*INDEX(NPV!$C$3:$C$42,MATCH('Travel Time'!$A58,NPV!$B$3:$B$42,0))</f>
        <v>0</v>
      </c>
      <c r="N58" s="113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09"/>
      <c r="BR58" s="109"/>
      <c r="BS58" s="109"/>
      <c r="BT58" s="109"/>
      <c r="BU58" s="109"/>
      <c r="BV58" s="109"/>
      <c r="BW58" s="109"/>
      <c r="BX58" s="109"/>
      <c r="BY58" s="109"/>
      <c r="BZ58" s="109"/>
    </row>
    <row r="59" spans="1:104">
      <c r="A59" s="292">
        <f t="shared" si="27"/>
        <v>2047</v>
      </c>
      <c r="B59" s="293">
        <f t="shared" si="17"/>
        <v>25248</v>
      </c>
      <c r="C59" s="294">
        <f t="shared" si="17"/>
        <v>3541</v>
      </c>
      <c r="D59" s="293">
        <f t="shared" si="18"/>
        <v>238769949.09900004</v>
      </c>
      <c r="E59" s="294">
        <f t="shared" si="19"/>
        <v>33491942.251000002</v>
      </c>
      <c r="F59" s="293">
        <f t="shared" si="20"/>
        <v>25248</v>
      </c>
      <c r="G59" s="294">
        <f t="shared" si="21"/>
        <v>3541</v>
      </c>
      <c r="H59" s="293">
        <f t="shared" si="24"/>
        <v>238769949.09900004</v>
      </c>
      <c r="I59" s="294">
        <f t="shared" si="22"/>
        <v>33491942.251000002</v>
      </c>
      <c r="J59" s="293">
        <f t="shared" si="28"/>
        <v>0</v>
      </c>
      <c r="K59" s="295">
        <f t="shared" si="28"/>
        <v>0</v>
      </c>
      <c r="L59" s="296">
        <f t="shared" si="23"/>
        <v>0</v>
      </c>
      <c r="M59" s="297">
        <f>L59*INDEX(NPV!$C$3:$C$42,MATCH('Travel Time'!$A59,NPV!$B$3:$B$42,0))</f>
        <v>0</v>
      </c>
      <c r="N59" s="113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09"/>
      <c r="BS59" s="109"/>
      <c r="BT59" s="109"/>
      <c r="BU59" s="109"/>
      <c r="BV59" s="109"/>
      <c r="BW59" s="109"/>
      <c r="BX59" s="109"/>
      <c r="BY59" s="109"/>
      <c r="BZ59" s="109"/>
    </row>
    <row r="60" spans="1:104" ht="14.4" thickBot="1">
      <c r="A60" s="55">
        <f t="shared" si="27"/>
        <v>2048</v>
      </c>
      <c r="B60" s="159">
        <f t="shared" si="17"/>
        <v>25640</v>
      </c>
      <c r="C60" s="56">
        <f t="shared" si="17"/>
        <v>3597</v>
      </c>
      <c r="D60" s="159">
        <f t="shared" si="18"/>
        <v>242485567.46700001</v>
      </c>
      <c r="E60" s="56">
        <f t="shared" si="19"/>
        <v>34013127.083000004</v>
      </c>
      <c r="F60" s="159">
        <f t="shared" si="20"/>
        <v>25640</v>
      </c>
      <c r="G60" s="56">
        <f t="shared" si="21"/>
        <v>3597</v>
      </c>
      <c r="H60" s="159">
        <f t="shared" si="24"/>
        <v>242485567.46700001</v>
      </c>
      <c r="I60" s="56">
        <f t="shared" si="22"/>
        <v>34013127.083000004</v>
      </c>
      <c r="J60" s="159">
        <f t="shared" si="28"/>
        <v>0</v>
      </c>
      <c r="K60" s="298">
        <f>E60-I60</f>
        <v>0</v>
      </c>
      <c r="L60" s="220">
        <f t="shared" si="23"/>
        <v>0</v>
      </c>
      <c r="M60" s="221">
        <f>L60*INDEX(NPV!$C$3:$C$42,MATCH('Travel Time'!$A60,NPV!$B$3:$B$42,0))</f>
        <v>0</v>
      </c>
      <c r="N60" s="113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</row>
    <row r="61" spans="1:104" ht="14.4" thickTop="1">
      <c r="A61" s="436" t="s">
        <v>16</v>
      </c>
      <c r="B61" s="436"/>
      <c r="C61" s="436"/>
      <c r="D61" s="436"/>
      <c r="E61" s="436"/>
      <c r="F61" s="436"/>
      <c r="G61" s="436"/>
      <c r="H61" s="436"/>
      <c r="I61" s="436"/>
      <c r="J61" s="436"/>
      <c r="K61" s="436"/>
      <c r="L61" s="222">
        <f>SUM(L39:L60)</f>
        <v>0</v>
      </c>
      <c r="M61" s="223">
        <f>SUM(M39:M60)</f>
        <v>0</v>
      </c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09"/>
      <c r="BW61" s="109"/>
      <c r="BX61" s="109"/>
      <c r="BY61" s="109"/>
      <c r="BZ61" s="109"/>
    </row>
    <row r="62" spans="1:104">
      <c r="A62" s="109"/>
      <c r="B62" s="109"/>
      <c r="C62" s="109"/>
      <c r="D62" s="109"/>
      <c r="E62" s="109"/>
      <c r="F62" s="109"/>
      <c r="G62" s="109"/>
      <c r="H62" s="109"/>
      <c r="I62" s="162"/>
      <c r="J62" s="163"/>
      <c r="K62" s="163"/>
      <c r="L62" s="161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09"/>
      <c r="BR62" s="109"/>
      <c r="BS62" s="109"/>
      <c r="BT62" s="109"/>
      <c r="BU62" s="109"/>
      <c r="BV62" s="109"/>
      <c r="BW62" s="109"/>
      <c r="BX62" s="109"/>
      <c r="BY62" s="109"/>
      <c r="BZ62" s="109"/>
    </row>
    <row r="63" spans="1:104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BL63" s="109"/>
      <c r="BM63" s="109"/>
      <c r="BN63" s="109"/>
      <c r="BO63" s="109"/>
      <c r="BP63" s="109"/>
      <c r="BQ63" s="109"/>
      <c r="BR63" s="109"/>
      <c r="BS63" s="109"/>
      <c r="BT63" s="109"/>
      <c r="BU63" s="109"/>
      <c r="BV63" s="109"/>
      <c r="BW63" s="109"/>
      <c r="BX63" s="109"/>
      <c r="BY63" s="109"/>
      <c r="BZ63" s="109"/>
    </row>
    <row r="64" spans="1:104">
      <c r="A64" s="433" t="s">
        <v>39</v>
      </c>
      <c r="B64" s="418" t="s">
        <v>118</v>
      </c>
      <c r="C64" s="418"/>
      <c r="D64" s="418"/>
      <c r="E64" s="418" t="s">
        <v>119</v>
      </c>
      <c r="F64" s="419"/>
      <c r="G64" s="420"/>
      <c r="H64" s="418" t="s">
        <v>120</v>
      </c>
      <c r="I64" s="420"/>
      <c r="J64" s="418" t="s">
        <v>53</v>
      </c>
      <c r="K64" s="420"/>
      <c r="L64" s="418" t="s">
        <v>54</v>
      </c>
      <c r="M64" s="420"/>
      <c r="N64" s="418" t="s">
        <v>121</v>
      </c>
      <c r="O64" s="420"/>
      <c r="P64" s="418" t="s">
        <v>53</v>
      </c>
      <c r="Q64" s="420"/>
      <c r="R64" s="418" t="s">
        <v>54</v>
      </c>
      <c r="S64" s="420"/>
      <c r="T64" s="165"/>
      <c r="U64" s="121"/>
      <c r="V64" s="121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  <c r="BQ64" s="109"/>
      <c r="BR64" s="109"/>
      <c r="BS64" s="109"/>
      <c r="BT64" s="109"/>
      <c r="BU64" s="109"/>
      <c r="BV64" s="109"/>
      <c r="BW64" s="109"/>
      <c r="BX64" s="109"/>
      <c r="BY64" s="109"/>
      <c r="BZ64" s="109"/>
      <c r="CY64" s="49"/>
      <c r="CZ64" s="49"/>
    </row>
    <row r="65" spans="1:104" ht="27.6">
      <c r="A65" s="433"/>
      <c r="B65" s="153" t="s">
        <v>55</v>
      </c>
      <c r="C65" s="153" t="s">
        <v>117</v>
      </c>
      <c r="D65" s="64" t="s">
        <v>94</v>
      </c>
      <c r="E65" s="64" t="s">
        <v>55</v>
      </c>
      <c r="F65" s="153" t="s">
        <v>117</v>
      </c>
      <c r="G65" s="64" t="s">
        <v>94</v>
      </c>
      <c r="H65" s="153" t="s">
        <v>53</v>
      </c>
      <c r="I65" s="153" t="s">
        <v>54</v>
      </c>
      <c r="J65" s="153" t="s">
        <v>122</v>
      </c>
      <c r="K65" s="64" t="s">
        <v>123</v>
      </c>
      <c r="L65" s="153" t="s">
        <v>122</v>
      </c>
      <c r="M65" s="64" t="s">
        <v>123</v>
      </c>
      <c r="N65" s="153" t="s">
        <v>53</v>
      </c>
      <c r="O65" s="64" t="s">
        <v>54</v>
      </c>
      <c r="P65" s="153" t="s">
        <v>124</v>
      </c>
      <c r="Q65" s="64" t="s">
        <v>125</v>
      </c>
      <c r="R65" s="64" t="s">
        <v>124</v>
      </c>
      <c r="S65" s="64" t="s">
        <v>125</v>
      </c>
      <c r="T65" s="165"/>
      <c r="U65" s="121"/>
      <c r="V65" s="121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09"/>
      <c r="BO65" s="109"/>
      <c r="BP65" s="109"/>
      <c r="BQ65" s="109"/>
      <c r="BR65" s="109"/>
      <c r="BS65" s="109"/>
      <c r="BT65" s="109"/>
      <c r="BU65" s="109"/>
      <c r="BV65" s="109"/>
      <c r="BW65" s="109"/>
      <c r="BX65" s="109"/>
      <c r="BY65" s="109"/>
      <c r="BZ65" s="109"/>
      <c r="CY65" s="49"/>
      <c r="CZ65" s="49"/>
    </row>
    <row r="66" spans="1:104">
      <c r="A66" s="51">
        <v>2022</v>
      </c>
      <c r="B66" s="193">
        <f>F98</f>
        <v>19552.862419205907</v>
      </c>
      <c r="C66" s="52">
        <f t="shared" ref="C66:C92" si="29">ROUND(B66*$B$116,0)</f>
        <v>2405</v>
      </c>
      <c r="D66" s="158">
        <f t="shared" ref="D66:D92" si="30">B66-C66</f>
        <v>17147.862419205907</v>
      </c>
      <c r="E66" s="52"/>
      <c r="F66" s="158"/>
      <c r="G66" s="52"/>
      <c r="H66" s="158"/>
      <c r="I66" s="52"/>
      <c r="J66" s="158"/>
      <c r="K66" s="52"/>
      <c r="L66" s="158"/>
      <c r="M66" s="52"/>
      <c r="N66" s="158"/>
      <c r="O66" s="52"/>
      <c r="P66" s="158"/>
      <c r="Q66" s="52"/>
      <c r="R66" s="158"/>
      <c r="S66" s="52"/>
      <c r="T66" s="166"/>
      <c r="U66" s="111"/>
      <c r="V66" s="111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09"/>
      <c r="BS66" s="109"/>
      <c r="BT66" s="109"/>
      <c r="BU66" s="109"/>
      <c r="BV66" s="109"/>
      <c r="BW66" s="109"/>
      <c r="BX66" s="109"/>
      <c r="BY66" s="109"/>
      <c r="BZ66" s="109"/>
      <c r="CY66" s="49"/>
      <c r="CZ66" s="49"/>
    </row>
    <row r="67" spans="1:104">
      <c r="A67" s="53">
        <f>A66+1</f>
        <v>2023</v>
      </c>
      <c r="B67" s="164">
        <f t="shared" ref="B67:B72" si="31">ROUND($B$66*(1+$B$115)^(A67-$A$66),0)</f>
        <v>19858</v>
      </c>
      <c r="C67" s="63">
        <f t="shared" si="29"/>
        <v>2443</v>
      </c>
      <c r="D67" s="164">
        <f t="shared" si="30"/>
        <v>17415</v>
      </c>
      <c r="E67" s="63"/>
      <c r="F67" s="164"/>
      <c r="G67" s="63"/>
      <c r="H67" s="164"/>
      <c r="I67" s="63"/>
      <c r="J67" s="164"/>
      <c r="K67" s="63"/>
      <c r="L67" s="164"/>
      <c r="M67" s="63"/>
      <c r="N67" s="164"/>
      <c r="O67" s="63"/>
      <c r="P67" s="164"/>
      <c r="Q67" s="63"/>
      <c r="R67" s="164"/>
      <c r="S67" s="63"/>
      <c r="T67" s="167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  <c r="BH67" s="109"/>
      <c r="BI67" s="109"/>
      <c r="BJ67" s="109"/>
      <c r="BK67" s="109"/>
      <c r="BL67" s="109"/>
      <c r="BM67" s="109"/>
      <c r="BN67" s="109"/>
      <c r="BO67" s="109"/>
      <c r="BP67" s="109"/>
      <c r="BQ67" s="109"/>
      <c r="BR67" s="109"/>
      <c r="BS67" s="109"/>
      <c r="BT67" s="109"/>
      <c r="BU67" s="109"/>
      <c r="BV67" s="109"/>
      <c r="BW67" s="109"/>
      <c r="BX67" s="109"/>
      <c r="BY67" s="109"/>
      <c r="BZ67" s="109"/>
      <c r="CY67" s="49"/>
      <c r="CZ67" s="49"/>
    </row>
    <row r="68" spans="1:104">
      <c r="A68" s="53">
        <f t="shared" ref="A68:A92" si="32">A67+1</f>
        <v>2024</v>
      </c>
      <c r="B68" s="164">
        <f t="shared" si="31"/>
        <v>20167</v>
      </c>
      <c r="C68" s="63">
        <f t="shared" si="29"/>
        <v>2481</v>
      </c>
      <c r="D68" s="164">
        <f t="shared" si="30"/>
        <v>17686</v>
      </c>
      <c r="E68" s="63"/>
      <c r="F68" s="164"/>
      <c r="G68" s="63"/>
      <c r="H68" s="164"/>
      <c r="I68" s="63"/>
      <c r="J68" s="164"/>
      <c r="K68" s="63"/>
      <c r="L68" s="164"/>
      <c r="M68" s="63"/>
      <c r="N68" s="164"/>
      <c r="O68" s="63"/>
      <c r="P68" s="164"/>
      <c r="Q68" s="63"/>
      <c r="R68" s="164"/>
      <c r="S68" s="63"/>
      <c r="T68" s="168"/>
      <c r="U68" s="111"/>
      <c r="V68" s="111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09"/>
      <c r="BS68" s="109"/>
      <c r="BT68" s="109"/>
      <c r="BU68" s="109"/>
      <c r="BV68" s="109"/>
      <c r="BW68" s="109"/>
      <c r="BX68" s="109"/>
      <c r="BY68" s="109"/>
      <c r="BZ68" s="109"/>
      <c r="CY68" s="49"/>
      <c r="CZ68" s="49"/>
    </row>
    <row r="69" spans="1:104">
      <c r="A69" s="53">
        <f t="shared" si="32"/>
        <v>2025</v>
      </c>
      <c r="B69" s="164">
        <f t="shared" si="31"/>
        <v>20482</v>
      </c>
      <c r="C69" s="63">
        <f t="shared" si="29"/>
        <v>2520</v>
      </c>
      <c r="D69" s="164">
        <f t="shared" si="30"/>
        <v>17962</v>
      </c>
      <c r="E69" s="63"/>
      <c r="F69" s="164"/>
      <c r="G69" s="63"/>
      <c r="H69" s="164"/>
      <c r="I69" s="63"/>
      <c r="J69" s="164"/>
      <c r="K69" s="63"/>
      <c r="L69" s="164"/>
      <c r="M69" s="63"/>
      <c r="N69" s="164"/>
      <c r="O69" s="63"/>
      <c r="P69" s="164"/>
      <c r="Q69" s="63"/>
      <c r="R69" s="164"/>
      <c r="S69" s="63"/>
      <c r="T69" s="160"/>
      <c r="U69" s="160"/>
      <c r="V69" s="160"/>
      <c r="W69" s="160"/>
      <c r="X69" s="160"/>
      <c r="Y69" s="160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09"/>
      <c r="BD69" s="109"/>
      <c r="BE69" s="109"/>
      <c r="BF69" s="109"/>
      <c r="BG69" s="109"/>
      <c r="BH69" s="109"/>
      <c r="BI69" s="109"/>
      <c r="BJ69" s="109"/>
      <c r="BK69" s="109"/>
      <c r="BL69" s="109"/>
      <c r="BM69" s="109"/>
      <c r="BN69" s="109"/>
      <c r="BO69" s="109"/>
      <c r="BP69" s="109"/>
      <c r="BQ69" s="109"/>
      <c r="BR69" s="109"/>
      <c r="BS69" s="109"/>
      <c r="BT69" s="109"/>
      <c r="BU69" s="109"/>
      <c r="BV69" s="109"/>
      <c r="BW69" s="109"/>
      <c r="BX69" s="109"/>
      <c r="BY69" s="109"/>
      <c r="BZ69" s="109"/>
      <c r="CY69" s="49"/>
      <c r="CZ69" s="49"/>
    </row>
    <row r="70" spans="1:104">
      <c r="A70" s="53">
        <f t="shared" si="32"/>
        <v>2026</v>
      </c>
      <c r="B70" s="164">
        <f t="shared" si="31"/>
        <v>20801</v>
      </c>
      <c r="C70" s="63">
        <f t="shared" si="29"/>
        <v>2559</v>
      </c>
      <c r="D70" s="164">
        <f t="shared" si="30"/>
        <v>18242</v>
      </c>
      <c r="E70" s="63"/>
      <c r="F70" s="164"/>
      <c r="G70" s="63"/>
      <c r="H70" s="164"/>
      <c r="I70" s="63"/>
      <c r="J70" s="164"/>
      <c r="K70" s="63"/>
      <c r="L70" s="164"/>
      <c r="M70" s="63"/>
      <c r="N70" s="164"/>
      <c r="O70" s="63"/>
      <c r="P70" s="164"/>
      <c r="Q70" s="63"/>
      <c r="R70" s="164"/>
      <c r="S70" s="63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109"/>
      <c r="BQ70" s="109"/>
      <c r="BR70" s="109"/>
      <c r="BS70" s="109"/>
      <c r="BT70" s="109"/>
      <c r="BU70" s="109"/>
      <c r="BV70" s="109"/>
      <c r="BW70" s="109"/>
      <c r="BX70" s="109"/>
      <c r="BY70" s="109"/>
      <c r="BZ70" s="109"/>
      <c r="CY70" s="49"/>
      <c r="CZ70" s="49"/>
    </row>
    <row r="71" spans="1:104">
      <c r="A71" s="53">
        <f t="shared" si="32"/>
        <v>2027</v>
      </c>
      <c r="B71" s="164">
        <f t="shared" si="31"/>
        <v>21126</v>
      </c>
      <c r="C71" s="63">
        <f t="shared" si="29"/>
        <v>2599</v>
      </c>
      <c r="D71" s="164">
        <f t="shared" si="30"/>
        <v>18527</v>
      </c>
      <c r="E71" s="63">
        <f t="shared" ref="E71:E92" si="33">ROUND($B$66*(1+$B$115)^(A71-$A$66),0)</f>
        <v>21126</v>
      </c>
      <c r="F71" s="164">
        <f t="shared" ref="F71:F92" si="34">ROUND((E71*$B$117),0)</f>
        <v>2599</v>
      </c>
      <c r="G71" s="63">
        <f t="shared" ref="G71:G92" si="35">(E71)-F71</f>
        <v>18527</v>
      </c>
      <c r="H71" s="164">
        <f t="shared" ref="H71:H92" si="36">B71*$B$125</f>
        <v>8450.4</v>
      </c>
      <c r="I71" s="63">
        <f t="shared" ref="I71:I92" si="37">(E71*$C$125)</f>
        <v>7819.6380000000008</v>
      </c>
      <c r="J71" s="164">
        <f t="shared" ref="J71:J92" si="38">$H71*$B$116</f>
        <v>1039.5149589041096</v>
      </c>
      <c r="K71" s="63">
        <f t="shared" ref="K71:K92" si="39">$H71-J71</f>
        <v>7410.8850410958903</v>
      </c>
      <c r="L71" s="164">
        <f t="shared" ref="L71:L92" si="40">$I71*$B$117</f>
        <v>961.92259232876722</v>
      </c>
      <c r="M71" s="63">
        <f t="shared" ref="M71:M92" si="41">$I71-L71</f>
        <v>6857.7154076712341</v>
      </c>
      <c r="N71" s="164">
        <f t="shared" ref="N71:N92" si="42">B71*365*$B$123</f>
        <v>199791750.90000001</v>
      </c>
      <c r="O71" s="63">
        <f>365*((E71*$C$123))</f>
        <v>199791750.90000001</v>
      </c>
      <c r="P71" s="164">
        <f t="shared" ref="P71:P92" si="43">$N71*$B$116</f>
        <v>24577122.234000001</v>
      </c>
      <c r="Q71" s="63">
        <f t="shared" ref="Q71:Q92" si="44">$N71-P71</f>
        <v>175214628.66600001</v>
      </c>
      <c r="R71" s="164">
        <f t="shared" ref="R71:R92" si="45">($O71)*$B$117</f>
        <v>24577122.234000001</v>
      </c>
      <c r="S71" s="63">
        <f>($O71)-R71</f>
        <v>175214628.66600001</v>
      </c>
      <c r="T71" s="109"/>
      <c r="U71" s="112"/>
      <c r="V71" s="112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  <c r="BQ71" s="109"/>
      <c r="BR71" s="109"/>
      <c r="BS71" s="109"/>
      <c r="BT71" s="109"/>
      <c r="BU71" s="109"/>
      <c r="BV71" s="109"/>
      <c r="BW71" s="109"/>
      <c r="BX71" s="109"/>
      <c r="BY71" s="109"/>
      <c r="BZ71" s="109"/>
      <c r="CY71" s="49"/>
      <c r="CZ71" s="49"/>
    </row>
    <row r="72" spans="1:104">
      <c r="A72" s="53">
        <f t="shared" si="32"/>
        <v>2028</v>
      </c>
      <c r="B72" s="164">
        <f t="shared" si="31"/>
        <v>21455</v>
      </c>
      <c r="C72" s="63">
        <f t="shared" si="29"/>
        <v>2639</v>
      </c>
      <c r="D72" s="164">
        <f t="shared" si="30"/>
        <v>18816</v>
      </c>
      <c r="E72" s="63">
        <f t="shared" si="33"/>
        <v>21455</v>
      </c>
      <c r="F72" s="164">
        <f t="shared" si="34"/>
        <v>2639</v>
      </c>
      <c r="G72" s="63">
        <f t="shared" si="35"/>
        <v>18816</v>
      </c>
      <c r="H72" s="164">
        <f t="shared" si="36"/>
        <v>8582</v>
      </c>
      <c r="I72" s="63">
        <f t="shared" si="37"/>
        <v>7941.415</v>
      </c>
      <c r="J72" s="164">
        <f t="shared" si="38"/>
        <v>1055.7035616438357</v>
      </c>
      <c r="K72" s="63">
        <f t="shared" si="39"/>
        <v>7526.2964383561648</v>
      </c>
      <c r="L72" s="164">
        <f t="shared" si="40"/>
        <v>976.90283150684934</v>
      </c>
      <c r="M72" s="63">
        <f t="shared" si="41"/>
        <v>6964.512168493151</v>
      </c>
      <c r="N72" s="164">
        <f t="shared" si="42"/>
        <v>202903153.25</v>
      </c>
      <c r="O72" s="63">
        <f t="shared" ref="O72:O92" si="46">365*((E72*$C$123))</f>
        <v>202903153.25000003</v>
      </c>
      <c r="P72" s="164">
        <f t="shared" si="43"/>
        <v>24959867.344999999</v>
      </c>
      <c r="Q72" s="63">
        <f t="shared" si="44"/>
        <v>177943285.905</v>
      </c>
      <c r="R72" s="164">
        <f t="shared" si="45"/>
        <v>24959867.345000003</v>
      </c>
      <c r="S72" s="63">
        <f t="shared" ref="S72:S92" si="47">($O72)-R72</f>
        <v>177943285.90500003</v>
      </c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109"/>
      <c r="BQ72" s="109"/>
      <c r="BR72" s="109"/>
      <c r="BS72" s="109"/>
      <c r="BT72" s="109"/>
      <c r="BU72" s="109"/>
      <c r="BV72" s="109"/>
      <c r="BW72" s="109"/>
      <c r="BX72" s="109"/>
      <c r="BY72" s="109"/>
      <c r="BZ72" s="109"/>
      <c r="CY72" s="49"/>
      <c r="CZ72" s="49"/>
    </row>
    <row r="73" spans="1:104">
      <c r="A73" s="53">
        <f t="shared" si="32"/>
        <v>2029</v>
      </c>
      <c r="B73" s="164">
        <f>ROUND($F$98*(1+$B$115)^(A73-$A$66),0)</f>
        <v>21790</v>
      </c>
      <c r="C73" s="63">
        <f t="shared" si="29"/>
        <v>2680</v>
      </c>
      <c r="D73" s="164">
        <f>B73-C73</f>
        <v>19110</v>
      </c>
      <c r="E73" s="63">
        <f t="shared" si="33"/>
        <v>21790</v>
      </c>
      <c r="F73" s="164">
        <f t="shared" si="34"/>
        <v>2680</v>
      </c>
      <c r="G73" s="63">
        <f t="shared" si="35"/>
        <v>19110</v>
      </c>
      <c r="H73" s="164">
        <f t="shared" si="36"/>
        <v>8716</v>
      </c>
      <c r="I73" s="63">
        <f t="shared" si="37"/>
        <v>8065.4128571428573</v>
      </c>
      <c r="J73" s="164">
        <f t="shared" si="38"/>
        <v>1072.1873972602739</v>
      </c>
      <c r="K73" s="63">
        <f t="shared" si="39"/>
        <v>7643.8126027397266</v>
      </c>
      <c r="L73" s="164">
        <f t="shared" si="40"/>
        <v>992.15626653620359</v>
      </c>
      <c r="M73" s="63">
        <f t="shared" si="41"/>
        <v>7073.2565906066538</v>
      </c>
      <c r="N73" s="164">
        <f t="shared" si="42"/>
        <v>206071298.5</v>
      </c>
      <c r="O73" s="63">
        <f t="shared" si="46"/>
        <v>206071298.5</v>
      </c>
      <c r="P73" s="164">
        <f t="shared" si="43"/>
        <v>25349592.609999999</v>
      </c>
      <c r="Q73" s="63">
        <f t="shared" si="44"/>
        <v>180721705.88999999</v>
      </c>
      <c r="R73" s="164">
        <f t="shared" si="45"/>
        <v>25349592.609999999</v>
      </c>
      <c r="S73" s="63">
        <f t="shared" si="47"/>
        <v>180721705.88999999</v>
      </c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109"/>
      <c r="BR73" s="109"/>
      <c r="BS73" s="109"/>
      <c r="BT73" s="109"/>
      <c r="BU73" s="109"/>
      <c r="BV73" s="109"/>
      <c r="BW73" s="109"/>
      <c r="BX73" s="109"/>
      <c r="BY73" s="109"/>
      <c r="BZ73" s="109"/>
      <c r="CY73" s="49"/>
      <c r="CZ73" s="49"/>
    </row>
    <row r="74" spans="1:104">
      <c r="A74" s="53">
        <f t="shared" si="32"/>
        <v>2030</v>
      </c>
      <c r="B74" s="164">
        <f t="shared" ref="B74:B92" si="48">ROUND($F$98*(1+$B$115)^(A74-2022),0)</f>
        <v>22130</v>
      </c>
      <c r="C74" s="63">
        <f t="shared" si="29"/>
        <v>2722</v>
      </c>
      <c r="D74" s="164">
        <f>B74-C74</f>
        <v>19408</v>
      </c>
      <c r="E74" s="63">
        <f t="shared" si="33"/>
        <v>22130</v>
      </c>
      <c r="F74" s="164">
        <f t="shared" si="34"/>
        <v>2722</v>
      </c>
      <c r="G74" s="63">
        <f t="shared" si="35"/>
        <v>19408</v>
      </c>
      <c r="H74" s="164">
        <f t="shared" si="36"/>
        <v>8852</v>
      </c>
      <c r="I74" s="63">
        <f t="shared" si="37"/>
        <v>8191.261428571429</v>
      </c>
      <c r="J74" s="164">
        <f t="shared" si="38"/>
        <v>1088.9172602739727</v>
      </c>
      <c r="K74" s="63">
        <f t="shared" si="39"/>
        <v>7763.0827397260273</v>
      </c>
      <c r="L74" s="164">
        <f t="shared" si="40"/>
        <v>1007.6373647749512</v>
      </c>
      <c r="M74" s="63">
        <f t="shared" si="41"/>
        <v>7183.6240637964775</v>
      </c>
      <c r="N74" s="164">
        <f t="shared" si="42"/>
        <v>209286729.5</v>
      </c>
      <c r="O74" s="63">
        <f t="shared" si="46"/>
        <v>209286729.50000003</v>
      </c>
      <c r="P74" s="164">
        <f t="shared" si="43"/>
        <v>25745134.670000002</v>
      </c>
      <c r="Q74" s="63">
        <f t="shared" si="44"/>
        <v>183541594.82999998</v>
      </c>
      <c r="R74" s="164">
        <f t="shared" si="45"/>
        <v>25745134.670000006</v>
      </c>
      <c r="S74" s="63">
        <f t="shared" si="47"/>
        <v>183541594.83000001</v>
      </c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  <c r="BI74" s="109"/>
      <c r="BJ74" s="109"/>
      <c r="BK74" s="109"/>
      <c r="BL74" s="109"/>
      <c r="BM74" s="109"/>
      <c r="BN74" s="109"/>
      <c r="BO74" s="109"/>
      <c r="BP74" s="109"/>
      <c r="BQ74" s="109"/>
      <c r="BR74" s="109"/>
      <c r="BS74" s="109"/>
      <c r="BT74" s="109"/>
      <c r="BU74" s="109"/>
      <c r="BV74" s="109"/>
      <c r="BW74" s="109"/>
      <c r="BX74" s="109"/>
      <c r="BY74" s="109"/>
      <c r="BZ74" s="109"/>
      <c r="CY74" s="49"/>
      <c r="CZ74" s="49"/>
    </row>
    <row r="75" spans="1:104">
      <c r="A75" s="53">
        <f t="shared" si="32"/>
        <v>2031</v>
      </c>
      <c r="B75" s="164">
        <f t="shared" si="48"/>
        <v>22475</v>
      </c>
      <c r="C75" s="63">
        <f t="shared" si="29"/>
        <v>2765</v>
      </c>
      <c r="D75" s="164">
        <f>B75-C75</f>
        <v>19710</v>
      </c>
      <c r="E75" s="63">
        <f t="shared" si="33"/>
        <v>22475</v>
      </c>
      <c r="F75" s="164">
        <f t="shared" si="34"/>
        <v>2765</v>
      </c>
      <c r="G75" s="63">
        <f t="shared" si="35"/>
        <v>19710</v>
      </c>
      <c r="H75" s="164">
        <f t="shared" si="36"/>
        <v>8990</v>
      </c>
      <c r="I75" s="63">
        <f t="shared" si="37"/>
        <v>8318.9607142857149</v>
      </c>
      <c r="J75" s="164">
        <f t="shared" si="38"/>
        <v>1105.8931506849315</v>
      </c>
      <c r="K75" s="63">
        <f t="shared" si="39"/>
        <v>7884.1068493150688</v>
      </c>
      <c r="L75" s="164">
        <f t="shared" si="40"/>
        <v>1023.346126223092</v>
      </c>
      <c r="M75" s="63">
        <f t="shared" si="41"/>
        <v>7295.6145880626227</v>
      </c>
      <c r="N75" s="164">
        <f t="shared" si="42"/>
        <v>212549446.25</v>
      </c>
      <c r="O75" s="63">
        <f t="shared" si="46"/>
        <v>212549446.25</v>
      </c>
      <c r="P75" s="164">
        <f t="shared" si="43"/>
        <v>26146493.525000002</v>
      </c>
      <c r="Q75" s="63">
        <f t="shared" si="44"/>
        <v>186402952.72499999</v>
      </c>
      <c r="R75" s="164">
        <f t="shared" si="45"/>
        <v>26146493.525000002</v>
      </c>
      <c r="S75" s="63">
        <f t="shared" si="47"/>
        <v>186402952.72499999</v>
      </c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09"/>
      <c r="BJ75" s="109"/>
      <c r="BK75" s="109"/>
      <c r="BL75" s="109"/>
      <c r="BM75" s="109"/>
      <c r="BN75" s="109"/>
      <c r="BO75" s="109"/>
      <c r="BP75" s="109"/>
      <c r="BQ75" s="109"/>
      <c r="BR75" s="109"/>
      <c r="BS75" s="109"/>
      <c r="BT75" s="109"/>
      <c r="BU75" s="109"/>
      <c r="BV75" s="109"/>
      <c r="BW75" s="109"/>
      <c r="BX75" s="109"/>
      <c r="BY75" s="109"/>
      <c r="BZ75" s="109"/>
      <c r="CY75" s="49"/>
      <c r="CZ75" s="49"/>
    </row>
    <row r="76" spans="1:104">
      <c r="A76" s="53">
        <f t="shared" si="32"/>
        <v>2032</v>
      </c>
      <c r="B76" s="164">
        <f t="shared" si="48"/>
        <v>22825</v>
      </c>
      <c r="C76" s="63">
        <f t="shared" si="29"/>
        <v>2808</v>
      </c>
      <c r="D76" s="164">
        <f t="shared" si="30"/>
        <v>20017</v>
      </c>
      <c r="E76" s="63">
        <f t="shared" si="33"/>
        <v>22825</v>
      </c>
      <c r="F76" s="164">
        <f t="shared" si="34"/>
        <v>2808</v>
      </c>
      <c r="G76" s="63">
        <f t="shared" si="35"/>
        <v>20017</v>
      </c>
      <c r="H76" s="164">
        <f t="shared" si="36"/>
        <v>9130</v>
      </c>
      <c r="I76" s="63">
        <f t="shared" si="37"/>
        <v>8448.5107142857141</v>
      </c>
      <c r="J76" s="164">
        <f t="shared" si="38"/>
        <v>1123.1150684931506</v>
      </c>
      <c r="K76" s="63">
        <f t="shared" si="39"/>
        <v>8006.8849315068492</v>
      </c>
      <c r="L76" s="164">
        <f t="shared" si="40"/>
        <v>1039.2825508806263</v>
      </c>
      <c r="M76" s="63">
        <f t="shared" si="41"/>
        <v>7409.2281634050878</v>
      </c>
      <c r="N76" s="164">
        <f t="shared" si="42"/>
        <v>215859448.75</v>
      </c>
      <c r="O76" s="63">
        <f t="shared" si="46"/>
        <v>215859448.75</v>
      </c>
      <c r="P76" s="164">
        <f t="shared" si="43"/>
        <v>26553669.175000001</v>
      </c>
      <c r="Q76" s="63">
        <f t="shared" si="44"/>
        <v>189305779.57499999</v>
      </c>
      <c r="R76" s="164">
        <f t="shared" si="45"/>
        <v>26553669.175000001</v>
      </c>
      <c r="S76" s="63">
        <f t="shared" si="47"/>
        <v>189305779.57499999</v>
      </c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09"/>
      <c r="BR76" s="109"/>
      <c r="BS76" s="109"/>
      <c r="BT76" s="109"/>
      <c r="BU76" s="109"/>
      <c r="BV76" s="109"/>
      <c r="BW76" s="109"/>
      <c r="BX76" s="109"/>
      <c r="BY76" s="109"/>
      <c r="BZ76" s="109"/>
      <c r="CY76" s="49"/>
      <c r="CZ76" s="49"/>
    </row>
    <row r="77" spans="1:104">
      <c r="A77" s="53">
        <f t="shared" si="32"/>
        <v>2033</v>
      </c>
      <c r="B77" s="164">
        <f t="shared" si="48"/>
        <v>23181</v>
      </c>
      <c r="C77" s="63">
        <f t="shared" si="29"/>
        <v>2852</v>
      </c>
      <c r="D77" s="164">
        <f t="shared" si="30"/>
        <v>20329</v>
      </c>
      <c r="E77" s="63">
        <f t="shared" si="33"/>
        <v>23181</v>
      </c>
      <c r="F77" s="164">
        <f t="shared" si="34"/>
        <v>2852</v>
      </c>
      <c r="G77" s="63">
        <f t="shared" si="35"/>
        <v>20329</v>
      </c>
      <c r="H77" s="164">
        <f t="shared" si="36"/>
        <v>9272.4</v>
      </c>
      <c r="I77" s="63">
        <f t="shared" si="37"/>
        <v>8580.2815714285716</v>
      </c>
      <c r="J77" s="164">
        <f t="shared" si="38"/>
        <v>1140.6322191780821</v>
      </c>
      <c r="K77" s="63">
        <f t="shared" si="39"/>
        <v>8131.7677808219178</v>
      </c>
      <c r="L77" s="164">
        <f t="shared" si="40"/>
        <v>1055.4921713894325</v>
      </c>
      <c r="M77" s="63">
        <f t="shared" si="41"/>
        <v>7524.7894000391389</v>
      </c>
      <c r="N77" s="164">
        <f t="shared" si="42"/>
        <v>219226194.15000001</v>
      </c>
      <c r="O77" s="63">
        <f t="shared" si="46"/>
        <v>219226194.14999998</v>
      </c>
      <c r="P77" s="164">
        <f t="shared" si="43"/>
        <v>26967824.979000002</v>
      </c>
      <c r="Q77" s="63">
        <f t="shared" si="44"/>
        <v>192258369.171</v>
      </c>
      <c r="R77" s="164">
        <f t="shared" si="45"/>
        <v>26967824.978999998</v>
      </c>
      <c r="S77" s="63">
        <f t="shared" si="47"/>
        <v>192258369.17099997</v>
      </c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  <c r="BH77" s="109"/>
      <c r="BI77" s="109"/>
      <c r="BJ77" s="109"/>
      <c r="BK77" s="109"/>
      <c r="BL77" s="109"/>
      <c r="BM77" s="109"/>
      <c r="BN77" s="109"/>
      <c r="BO77" s="109"/>
      <c r="BP77" s="109"/>
      <c r="BQ77" s="109"/>
      <c r="BR77" s="109"/>
      <c r="BS77" s="109"/>
      <c r="BT77" s="109"/>
      <c r="BU77" s="109"/>
      <c r="BV77" s="109"/>
      <c r="BW77" s="109"/>
      <c r="BX77" s="109"/>
      <c r="BY77" s="109"/>
      <c r="BZ77" s="109"/>
      <c r="CY77" s="49"/>
      <c r="CZ77" s="49"/>
    </row>
    <row r="78" spans="1:104">
      <c r="A78" s="53">
        <f t="shared" si="32"/>
        <v>2034</v>
      </c>
      <c r="B78" s="164">
        <f t="shared" si="48"/>
        <v>23543</v>
      </c>
      <c r="C78" s="63">
        <f t="shared" si="29"/>
        <v>2896</v>
      </c>
      <c r="D78" s="164">
        <f t="shared" si="30"/>
        <v>20647</v>
      </c>
      <c r="E78" s="63">
        <f t="shared" si="33"/>
        <v>23543</v>
      </c>
      <c r="F78" s="164">
        <f t="shared" si="34"/>
        <v>2896</v>
      </c>
      <c r="G78" s="63">
        <f t="shared" si="35"/>
        <v>20647</v>
      </c>
      <c r="H78" s="164">
        <f t="shared" si="36"/>
        <v>9417.2000000000007</v>
      </c>
      <c r="I78" s="63">
        <f t="shared" si="37"/>
        <v>8714.2732857142855</v>
      </c>
      <c r="J78" s="164">
        <f t="shared" si="38"/>
        <v>1158.4446027397262</v>
      </c>
      <c r="K78" s="63">
        <f t="shared" si="39"/>
        <v>8258.7553972602745</v>
      </c>
      <c r="L78" s="164">
        <f t="shared" si="40"/>
        <v>1071.9749877495108</v>
      </c>
      <c r="M78" s="63">
        <f t="shared" si="41"/>
        <v>7642.298297964775</v>
      </c>
      <c r="N78" s="164">
        <f t="shared" si="42"/>
        <v>222649682.44999999</v>
      </c>
      <c r="O78" s="63">
        <f t="shared" si="46"/>
        <v>222649682.44999999</v>
      </c>
      <c r="P78" s="164">
        <f t="shared" si="43"/>
        <v>27388960.936999999</v>
      </c>
      <c r="Q78" s="63">
        <f t="shared" si="44"/>
        <v>195260721.51299998</v>
      </c>
      <c r="R78" s="164">
        <f t="shared" si="45"/>
        <v>27388960.936999999</v>
      </c>
      <c r="S78" s="63">
        <f t="shared" si="47"/>
        <v>195260721.51299998</v>
      </c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09"/>
      <c r="BQ78" s="109"/>
      <c r="BR78" s="109"/>
      <c r="BS78" s="109"/>
      <c r="BT78" s="109"/>
      <c r="BU78" s="109"/>
      <c r="BV78" s="109"/>
      <c r="BW78" s="109"/>
      <c r="BX78" s="109"/>
      <c r="BY78" s="109"/>
      <c r="BZ78" s="109"/>
      <c r="CY78" s="49"/>
      <c r="CZ78" s="49"/>
    </row>
    <row r="79" spans="1:104">
      <c r="A79" s="53">
        <f t="shared" si="32"/>
        <v>2035</v>
      </c>
      <c r="B79" s="164">
        <f t="shared" si="48"/>
        <v>23910</v>
      </c>
      <c r="C79" s="63">
        <f t="shared" si="29"/>
        <v>2941</v>
      </c>
      <c r="D79" s="164">
        <f t="shared" si="30"/>
        <v>20969</v>
      </c>
      <c r="E79" s="63">
        <f t="shared" si="33"/>
        <v>23910</v>
      </c>
      <c r="F79" s="164">
        <f t="shared" si="34"/>
        <v>2941</v>
      </c>
      <c r="G79" s="63">
        <f t="shared" si="35"/>
        <v>20969</v>
      </c>
      <c r="H79" s="164">
        <f t="shared" si="36"/>
        <v>9564</v>
      </c>
      <c r="I79" s="63">
        <f t="shared" si="37"/>
        <v>8850.1157142857155</v>
      </c>
      <c r="J79" s="164">
        <f t="shared" si="38"/>
        <v>1176.5030136986302</v>
      </c>
      <c r="K79" s="63">
        <f t="shared" si="39"/>
        <v>8387.4969863013703</v>
      </c>
      <c r="L79" s="164">
        <f t="shared" si="40"/>
        <v>1088.6854673189825</v>
      </c>
      <c r="M79" s="63">
        <f t="shared" si="41"/>
        <v>7761.4302469667327</v>
      </c>
      <c r="N79" s="164">
        <f t="shared" si="42"/>
        <v>226120456.5</v>
      </c>
      <c r="O79" s="63">
        <f t="shared" si="46"/>
        <v>226120456.5</v>
      </c>
      <c r="P79" s="164">
        <f t="shared" si="43"/>
        <v>27815913.690000001</v>
      </c>
      <c r="Q79" s="63">
        <f t="shared" si="44"/>
        <v>198304542.81</v>
      </c>
      <c r="R79" s="164">
        <f t="shared" si="45"/>
        <v>27815913.690000001</v>
      </c>
      <c r="S79" s="63">
        <f t="shared" si="47"/>
        <v>198304542.81</v>
      </c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  <c r="BH79" s="109"/>
      <c r="BI79" s="109"/>
      <c r="BJ79" s="109"/>
      <c r="BK79" s="109"/>
      <c r="BL79" s="109"/>
      <c r="BM79" s="109"/>
      <c r="BN79" s="109"/>
      <c r="BO79" s="109"/>
      <c r="BP79" s="109"/>
      <c r="BQ79" s="109"/>
      <c r="BR79" s="109"/>
      <c r="BS79" s="109"/>
      <c r="BT79" s="109"/>
      <c r="BU79" s="109"/>
      <c r="BV79" s="109"/>
      <c r="BW79" s="109"/>
      <c r="BX79" s="109"/>
      <c r="BY79" s="109"/>
      <c r="BZ79" s="109"/>
      <c r="CY79" s="49"/>
      <c r="CZ79" s="49"/>
    </row>
    <row r="80" spans="1:104">
      <c r="A80" s="53">
        <f t="shared" si="32"/>
        <v>2036</v>
      </c>
      <c r="B80" s="164">
        <f t="shared" si="48"/>
        <v>24283</v>
      </c>
      <c r="C80" s="63">
        <f t="shared" si="29"/>
        <v>2987</v>
      </c>
      <c r="D80" s="164">
        <f t="shared" si="30"/>
        <v>21296</v>
      </c>
      <c r="E80" s="63">
        <f t="shared" si="33"/>
        <v>24283</v>
      </c>
      <c r="F80" s="164">
        <f t="shared" si="34"/>
        <v>2987</v>
      </c>
      <c r="G80" s="63">
        <f t="shared" si="35"/>
        <v>21296</v>
      </c>
      <c r="H80" s="164">
        <f t="shared" si="36"/>
        <v>9713.2000000000007</v>
      </c>
      <c r="I80" s="63">
        <f t="shared" si="37"/>
        <v>8988.1790000000001</v>
      </c>
      <c r="J80" s="164">
        <f t="shared" si="38"/>
        <v>1194.8566575342468</v>
      </c>
      <c r="K80" s="63">
        <f t="shared" si="39"/>
        <v>8518.3433424657542</v>
      </c>
      <c r="L80" s="164">
        <f t="shared" si="40"/>
        <v>1105.6691427397261</v>
      </c>
      <c r="M80" s="63">
        <f t="shared" si="41"/>
        <v>7882.5098572602737</v>
      </c>
      <c r="N80" s="164">
        <f t="shared" si="42"/>
        <v>229647973.44999999</v>
      </c>
      <c r="O80" s="63">
        <f t="shared" si="46"/>
        <v>229647973.45000002</v>
      </c>
      <c r="P80" s="164">
        <f t="shared" si="43"/>
        <v>28249846.596999999</v>
      </c>
      <c r="Q80" s="63">
        <f t="shared" si="44"/>
        <v>201398126.85299999</v>
      </c>
      <c r="R80" s="164">
        <f t="shared" si="45"/>
        <v>28249846.597000003</v>
      </c>
      <c r="S80" s="63">
        <f t="shared" si="47"/>
        <v>201398126.85300002</v>
      </c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09"/>
      <c r="CY80" s="49"/>
      <c r="CZ80" s="49"/>
    </row>
    <row r="81" spans="1:104">
      <c r="A81" s="53">
        <f t="shared" si="32"/>
        <v>2037</v>
      </c>
      <c r="B81" s="164">
        <f t="shared" si="48"/>
        <v>24661</v>
      </c>
      <c r="C81" s="63">
        <f t="shared" si="29"/>
        <v>3034</v>
      </c>
      <c r="D81" s="164">
        <f t="shared" si="30"/>
        <v>21627</v>
      </c>
      <c r="E81" s="63">
        <f t="shared" si="33"/>
        <v>24661</v>
      </c>
      <c r="F81" s="164">
        <f t="shared" si="34"/>
        <v>3034</v>
      </c>
      <c r="G81" s="63">
        <f t="shared" si="35"/>
        <v>21627</v>
      </c>
      <c r="H81" s="164">
        <f t="shared" si="36"/>
        <v>9864.4000000000015</v>
      </c>
      <c r="I81" s="63">
        <f t="shared" si="37"/>
        <v>9128.0930000000008</v>
      </c>
      <c r="J81" s="164">
        <f t="shared" si="38"/>
        <v>1213.4563287671235</v>
      </c>
      <c r="K81" s="63">
        <f t="shared" si="39"/>
        <v>8650.9436712328788</v>
      </c>
      <c r="L81" s="164">
        <f t="shared" si="40"/>
        <v>1122.8804813698632</v>
      </c>
      <c r="M81" s="63">
        <f t="shared" si="41"/>
        <v>8005.2125186301373</v>
      </c>
      <c r="N81" s="164">
        <f t="shared" si="42"/>
        <v>233222776.15000001</v>
      </c>
      <c r="O81" s="63">
        <f t="shared" si="46"/>
        <v>233222776.15000001</v>
      </c>
      <c r="P81" s="164">
        <f t="shared" si="43"/>
        <v>28689596.299000002</v>
      </c>
      <c r="Q81" s="63">
        <f t="shared" si="44"/>
        <v>204533179.85100001</v>
      </c>
      <c r="R81" s="164">
        <f t="shared" si="45"/>
        <v>28689596.299000002</v>
      </c>
      <c r="S81" s="63">
        <f t="shared" si="47"/>
        <v>204533179.85100001</v>
      </c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09"/>
      <c r="BO81" s="109"/>
      <c r="BP81" s="109"/>
      <c r="BQ81" s="109"/>
      <c r="BR81" s="109"/>
      <c r="BS81" s="109"/>
      <c r="BT81" s="109"/>
      <c r="BU81" s="109"/>
      <c r="BV81" s="109"/>
      <c r="BW81" s="109"/>
      <c r="BX81" s="109"/>
      <c r="BY81" s="109"/>
      <c r="BZ81" s="109"/>
      <c r="CY81" s="49"/>
      <c r="CZ81" s="49"/>
    </row>
    <row r="82" spans="1:104">
      <c r="A82" s="53">
        <f t="shared" si="32"/>
        <v>2038</v>
      </c>
      <c r="B82" s="164">
        <f t="shared" si="48"/>
        <v>25046</v>
      </c>
      <c r="C82" s="63">
        <f t="shared" si="29"/>
        <v>3081</v>
      </c>
      <c r="D82" s="164">
        <f t="shared" si="30"/>
        <v>21965</v>
      </c>
      <c r="E82" s="63">
        <f t="shared" si="33"/>
        <v>25046</v>
      </c>
      <c r="F82" s="164">
        <f t="shared" si="34"/>
        <v>3081</v>
      </c>
      <c r="G82" s="63">
        <f t="shared" si="35"/>
        <v>21965</v>
      </c>
      <c r="H82" s="164">
        <f t="shared" si="36"/>
        <v>10018.400000000001</v>
      </c>
      <c r="I82" s="63">
        <f t="shared" si="37"/>
        <v>9270.598</v>
      </c>
      <c r="J82" s="164">
        <f t="shared" si="38"/>
        <v>1232.4004383561646</v>
      </c>
      <c r="K82" s="63">
        <f t="shared" si="39"/>
        <v>8785.9995616438373</v>
      </c>
      <c r="L82" s="164">
        <f t="shared" si="40"/>
        <v>1140.4105484931506</v>
      </c>
      <c r="M82" s="63">
        <f t="shared" si="41"/>
        <v>8130.1874515068494</v>
      </c>
      <c r="N82" s="164">
        <f t="shared" si="42"/>
        <v>236863778.90000001</v>
      </c>
      <c r="O82" s="63">
        <f t="shared" si="46"/>
        <v>236863778.90000001</v>
      </c>
      <c r="P82" s="164">
        <f t="shared" si="43"/>
        <v>29137489.514000002</v>
      </c>
      <c r="Q82" s="63">
        <f t="shared" si="44"/>
        <v>207726289.38600001</v>
      </c>
      <c r="R82" s="164">
        <f t="shared" si="45"/>
        <v>29137489.514000002</v>
      </c>
      <c r="S82" s="63">
        <f t="shared" si="47"/>
        <v>207726289.38600001</v>
      </c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  <c r="BQ82" s="109"/>
      <c r="BR82" s="109"/>
      <c r="BS82" s="109"/>
      <c r="BT82" s="109"/>
      <c r="BU82" s="109"/>
      <c r="BV82" s="109"/>
      <c r="BW82" s="109"/>
      <c r="BX82" s="109"/>
      <c r="BY82" s="109"/>
      <c r="BZ82" s="109"/>
      <c r="CY82" s="49"/>
      <c r="CZ82" s="49"/>
    </row>
    <row r="83" spans="1:104">
      <c r="A83" s="53">
        <f t="shared" si="32"/>
        <v>2039</v>
      </c>
      <c r="B83" s="164">
        <f t="shared" si="48"/>
        <v>25436</v>
      </c>
      <c r="C83" s="63">
        <f t="shared" si="29"/>
        <v>3129</v>
      </c>
      <c r="D83" s="164">
        <f t="shared" si="30"/>
        <v>22307</v>
      </c>
      <c r="E83" s="63">
        <f t="shared" si="33"/>
        <v>25436</v>
      </c>
      <c r="F83" s="164">
        <f t="shared" si="34"/>
        <v>3129</v>
      </c>
      <c r="G83" s="63">
        <f t="shared" si="35"/>
        <v>22307</v>
      </c>
      <c r="H83" s="164">
        <f t="shared" si="36"/>
        <v>10174.400000000001</v>
      </c>
      <c r="I83" s="63">
        <f t="shared" si="37"/>
        <v>9414.9537142857153</v>
      </c>
      <c r="J83" s="164">
        <f t="shared" si="38"/>
        <v>1251.5905753424659</v>
      </c>
      <c r="K83" s="63">
        <f t="shared" si="39"/>
        <v>8922.8094246575347</v>
      </c>
      <c r="L83" s="164">
        <f t="shared" si="40"/>
        <v>1158.1682788258317</v>
      </c>
      <c r="M83" s="63">
        <f t="shared" si="41"/>
        <v>8256.785435459884</v>
      </c>
      <c r="N83" s="164">
        <f t="shared" si="42"/>
        <v>240552067.40000001</v>
      </c>
      <c r="O83" s="63">
        <f t="shared" si="46"/>
        <v>240552067.40000001</v>
      </c>
      <c r="P83" s="164">
        <f t="shared" si="43"/>
        <v>29591199.524</v>
      </c>
      <c r="Q83" s="63">
        <f t="shared" si="44"/>
        <v>210960867.87600002</v>
      </c>
      <c r="R83" s="164">
        <f t="shared" si="45"/>
        <v>29591199.524</v>
      </c>
      <c r="S83" s="63">
        <f t="shared" si="47"/>
        <v>210960867.87600002</v>
      </c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  <c r="BO83" s="109"/>
      <c r="BP83" s="109"/>
      <c r="BQ83" s="109"/>
      <c r="BR83" s="109"/>
      <c r="BS83" s="109"/>
      <c r="BT83" s="109"/>
      <c r="BU83" s="109"/>
      <c r="BV83" s="109"/>
      <c r="BW83" s="109"/>
      <c r="BX83" s="109"/>
      <c r="BY83" s="109"/>
      <c r="BZ83" s="109"/>
      <c r="CY83" s="49"/>
      <c r="CZ83" s="49"/>
    </row>
    <row r="84" spans="1:104">
      <c r="A84" s="53">
        <f t="shared" si="32"/>
        <v>2040</v>
      </c>
      <c r="B84" s="164">
        <f t="shared" si="48"/>
        <v>25833</v>
      </c>
      <c r="C84" s="63">
        <f t="shared" si="29"/>
        <v>3178</v>
      </c>
      <c r="D84" s="164">
        <f t="shared" si="30"/>
        <v>22655</v>
      </c>
      <c r="E84" s="63">
        <f t="shared" si="33"/>
        <v>25833</v>
      </c>
      <c r="F84" s="164">
        <f t="shared" si="34"/>
        <v>3178</v>
      </c>
      <c r="G84" s="63">
        <f t="shared" si="35"/>
        <v>22655</v>
      </c>
      <c r="H84" s="164">
        <f t="shared" si="36"/>
        <v>10333.200000000001</v>
      </c>
      <c r="I84" s="63">
        <f t="shared" si="37"/>
        <v>9561.9004285714291</v>
      </c>
      <c r="J84" s="164">
        <f t="shared" si="38"/>
        <v>1271.1251506849317</v>
      </c>
      <c r="K84" s="63">
        <f t="shared" si="39"/>
        <v>9062.0748493150695</v>
      </c>
      <c r="L84" s="164">
        <f t="shared" si="40"/>
        <v>1176.2447376516634</v>
      </c>
      <c r="M84" s="63">
        <f t="shared" si="41"/>
        <v>8385.6556909197661</v>
      </c>
      <c r="N84" s="164">
        <f t="shared" si="42"/>
        <v>244306555.94999999</v>
      </c>
      <c r="O84" s="63">
        <f t="shared" si="46"/>
        <v>244306555.95000002</v>
      </c>
      <c r="P84" s="164">
        <f t="shared" si="43"/>
        <v>30053053.046999998</v>
      </c>
      <c r="Q84" s="63">
        <f t="shared" si="44"/>
        <v>214253502.903</v>
      </c>
      <c r="R84" s="164">
        <f t="shared" si="45"/>
        <v>30053053.047000002</v>
      </c>
      <c r="S84" s="63">
        <f t="shared" si="47"/>
        <v>214253502.90300003</v>
      </c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09"/>
      <c r="BW84" s="109"/>
      <c r="BX84" s="109"/>
      <c r="BY84" s="109"/>
      <c r="BZ84" s="109"/>
      <c r="CY84" s="49"/>
      <c r="CZ84" s="49"/>
    </row>
    <row r="85" spans="1:104">
      <c r="A85" s="53">
        <f t="shared" si="32"/>
        <v>2041</v>
      </c>
      <c r="B85" s="164">
        <f t="shared" si="48"/>
        <v>26236</v>
      </c>
      <c r="C85" s="63">
        <f t="shared" si="29"/>
        <v>3227</v>
      </c>
      <c r="D85" s="164">
        <f t="shared" si="30"/>
        <v>23009</v>
      </c>
      <c r="E85" s="63">
        <f t="shared" si="33"/>
        <v>26236</v>
      </c>
      <c r="F85" s="164">
        <f t="shared" si="34"/>
        <v>3227</v>
      </c>
      <c r="G85" s="63">
        <f t="shared" si="35"/>
        <v>23009</v>
      </c>
      <c r="H85" s="164">
        <f t="shared" si="36"/>
        <v>10494.400000000001</v>
      </c>
      <c r="I85" s="63">
        <f t="shared" si="37"/>
        <v>9711.0680000000011</v>
      </c>
      <c r="J85" s="164">
        <f t="shared" si="38"/>
        <v>1290.9549589041098</v>
      </c>
      <c r="K85" s="63">
        <f t="shared" si="39"/>
        <v>9203.4450410958925</v>
      </c>
      <c r="L85" s="164">
        <f t="shared" si="40"/>
        <v>1194.5943923287673</v>
      </c>
      <c r="M85" s="63">
        <f t="shared" si="41"/>
        <v>8516.4736076712343</v>
      </c>
      <c r="N85" s="164">
        <f t="shared" si="42"/>
        <v>248117787.40000001</v>
      </c>
      <c r="O85" s="63">
        <f t="shared" si="46"/>
        <v>248117787.40000001</v>
      </c>
      <c r="P85" s="164">
        <f t="shared" si="43"/>
        <v>30521886.724000003</v>
      </c>
      <c r="Q85" s="63">
        <f t="shared" si="44"/>
        <v>217595900.676</v>
      </c>
      <c r="R85" s="164">
        <f t="shared" si="45"/>
        <v>30521886.724000003</v>
      </c>
      <c r="S85" s="63">
        <f t="shared" si="47"/>
        <v>217595900.676</v>
      </c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  <c r="BH85" s="109"/>
      <c r="BI85" s="109"/>
      <c r="BJ85" s="109"/>
      <c r="BK85" s="109"/>
      <c r="BL85" s="109"/>
      <c r="BM85" s="109"/>
      <c r="BN85" s="109"/>
      <c r="BO85" s="109"/>
      <c r="BP85" s="109"/>
      <c r="BQ85" s="109"/>
      <c r="BR85" s="109"/>
      <c r="BS85" s="109"/>
      <c r="BT85" s="109"/>
      <c r="BU85" s="109"/>
      <c r="BV85" s="109"/>
      <c r="BW85" s="109"/>
      <c r="BX85" s="109"/>
      <c r="BY85" s="109"/>
      <c r="BZ85" s="109"/>
      <c r="CY85" s="49"/>
      <c r="CZ85" s="49"/>
    </row>
    <row r="86" spans="1:104">
      <c r="A86" s="53">
        <f t="shared" si="32"/>
        <v>2042</v>
      </c>
      <c r="B86" s="164">
        <f t="shared" si="48"/>
        <v>26645</v>
      </c>
      <c r="C86" s="63">
        <f t="shared" si="29"/>
        <v>3278</v>
      </c>
      <c r="D86" s="164">
        <f t="shared" si="30"/>
        <v>23367</v>
      </c>
      <c r="E86" s="63">
        <f t="shared" si="33"/>
        <v>26645</v>
      </c>
      <c r="F86" s="164">
        <f t="shared" si="34"/>
        <v>3278</v>
      </c>
      <c r="G86" s="63">
        <f t="shared" si="35"/>
        <v>23367</v>
      </c>
      <c r="H86" s="164">
        <f t="shared" si="36"/>
        <v>10658</v>
      </c>
      <c r="I86" s="63">
        <f t="shared" si="37"/>
        <v>9862.4564285714296</v>
      </c>
      <c r="J86" s="164">
        <f t="shared" si="38"/>
        <v>1311.08</v>
      </c>
      <c r="K86" s="63">
        <f t="shared" si="39"/>
        <v>9346.92</v>
      </c>
      <c r="L86" s="164">
        <f t="shared" si="40"/>
        <v>1213.217242857143</v>
      </c>
      <c r="M86" s="63">
        <f t="shared" si="41"/>
        <v>8649.2391857142866</v>
      </c>
      <c r="N86" s="164">
        <f t="shared" si="42"/>
        <v>251985761.75</v>
      </c>
      <c r="O86" s="63">
        <f t="shared" si="46"/>
        <v>251985761.74999997</v>
      </c>
      <c r="P86" s="164">
        <f t="shared" si="43"/>
        <v>30997700.555</v>
      </c>
      <c r="Q86" s="63">
        <f t="shared" si="44"/>
        <v>220988061.19499999</v>
      </c>
      <c r="R86" s="164">
        <f t="shared" si="45"/>
        <v>30997700.554999996</v>
      </c>
      <c r="S86" s="63">
        <f t="shared" si="47"/>
        <v>220988061.19499996</v>
      </c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09"/>
      <c r="BP86" s="109"/>
      <c r="BQ86" s="109"/>
      <c r="BR86" s="109"/>
      <c r="BS86" s="109"/>
      <c r="BT86" s="109"/>
      <c r="BU86" s="109"/>
      <c r="BV86" s="109"/>
      <c r="BW86" s="109"/>
      <c r="BX86" s="109"/>
      <c r="BY86" s="109"/>
      <c r="BZ86" s="109"/>
      <c r="CY86" s="49"/>
      <c r="CZ86" s="49"/>
    </row>
    <row r="87" spans="1:104">
      <c r="A87" s="53">
        <f t="shared" si="32"/>
        <v>2043</v>
      </c>
      <c r="B87" s="164">
        <f t="shared" si="48"/>
        <v>27061</v>
      </c>
      <c r="C87" s="63">
        <f t="shared" si="29"/>
        <v>3329</v>
      </c>
      <c r="D87" s="164">
        <f t="shared" si="30"/>
        <v>23732</v>
      </c>
      <c r="E87" s="63">
        <f t="shared" si="33"/>
        <v>27061</v>
      </c>
      <c r="F87" s="164">
        <f t="shared" si="34"/>
        <v>3329</v>
      </c>
      <c r="G87" s="63">
        <f t="shared" si="35"/>
        <v>23732</v>
      </c>
      <c r="H87" s="164">
        <f t="shared" si="36"/>
        <v>10824.400000000001</v>
      </c>
      <c r="I87" s="63">
        <f t="shared" si="37"/>
        <v>10016.435857142858</v>
      </c>
      <c r="J87" s="164">
        <f t="shared" si="38"/>
        <v>1331.549479452055</v>
      </c>
      <c r="K87" s="63">
        <f t="shared" si="39"/>
        <v>9492.8505205479469</v>
      </c>
      <c r="L87" s="164">
        <f t="shared" si="40"/>
        <v>1232.1588218786694</v>
      </c>
      <c r="M87" s="63">
        <f t="shared" si="41"/>
        <v>8784.2770352641892</v>
      </c>
      <c r="N87" s="164">
        <f t="shared" si="42"/>
        <v>255919936.15000001</v>
      </c>
      <c r="O87" s="63">
        <f t="shared" si="46"/>
        <v>255919936.15000001</v>
      </c>
      <c r="P87" s="164">
        <f t="shared" si="43"/>
        <v>31481657.899</v>
      </c>
      <c r="Q87" s="63">
        <f t="shared" si="44"/>
        <v>224438278.25100002</v>
      </c>
      <c r="R87" s="164">
        <f t="shared" si="45"/>
        <v>31481657.899</v>
      </c>
      <c r="S87" s="63">
        <f t="shared" si="47"/>
        <v>224438278.25100002</v>
      </c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  <c r="BC87" s="109"/>
      <c r="BD87" s="109"/>
      <c r="BE87" s="109"/>
      <c r="BF87" s="109"/>
      <c r="BG87" s="109"/>
      <c r="BH87" s="109"/>
      <c r="BI87" s="109"/>
      <c r="BJ87" s="109"/>
      <c r="BK87" s="109"/>
      <c r="BL87" s="109"/>
      <c r="BM87" s="109"/>
      <c r="BN87" s="109"/>
      <c r="BO87" s="109"/>
      <c r="BP87" s="109"/>
      <c r="BQ87" s="109"/>
      <c r="BR87" s="109"/>
      <c r="BS87" s="109"/>
      <c r="BT87" s="109"/>
      <c r="BU87" s="109"/>
      <c r="BV87" s="109"/>
      <c r="BW87" s="109"/>
      <c r="BX87" s="109"/>
      <c r="BY87" s="109"/>
      <c r="BZ87" s="109"/>
      <c r="CY87" s="49"/>
      <c r="CZ87" s="49"/>
    </row>
    <row r="88" spans="1:104">
      <c r="A88" s="53">
        <f t="shared" si="32"/>
        <v>2044</v>
      </c>
      <c r="B88" s="164">
        <f t="shared" si="48"/>
        <v>27483</v>
      </c>
      <c r="C88" s="63">
        <f t="shared" si="29"/>
        <v>3381</v>
      </c>
      <c r="D88" s="164">
        <f t="shared" si="30"/>
        <v>24102</v>
      </c>
      <c r="E88" s="63">
        <f t="shared" si="33"/>
        <v>27483</v>
      </c>
      <c r="F88" s="164">
        <f t="shared" si="34"/>
        <v>3381</v>
      </c>
      <c r="G88" s="63">
        <f t="shared" si="35"/>
        <v>24102</v>
      </c>
      <c r="H88" s="164">
        <f t="shared" si="36"/>
        <v>10993.2</v>
      </c>
      <c r="I88" s="63">
        <f t="shared" si="37"/>
        <v>10172.636142857144</v>
      </c>
      <c r="J88" s="164">
        <f t="shared" si="38"/>
        <v>1352.3141917808221</v>
      </c>
      <c r="K88" s="63">
        <f t="shared" si="39"/>
        <v>9640.8858082191782</v>
      </c>
      <c r="L88" s="164">
        <f t="shared" si="40"/>
        <v>1251.3735967514679</v>
      </c>
      <c r="M88" s="63">
        <f t="shared" si="41"/>
        <v>8921.2625461056759</v>
      </c>
      <c r="N88" s="164">
        <f t="shared" si="42"/>
        <v>259910853.44999999</v>
      </c>
      <c r="O88" s="63">
        <f t="shared" si="46"/>
        <v>259910853.45000002</v>
      </c>
      <c r="P88" s="164">
        <f t="shared" si="43"/>
        <v>31972595.397</v>
      </c>
      <c r="Q88" s="63">
        <f t="shared" si="44"/>
        <v>227938258.05299997</v>
      </c>
      <c r="R88" s="164">
        <f t="shared" si="45"/>
        <v>31972595.397000004</v>
      </c>
      <c r="S88" s="63">
        <f t="shared" si="47"/>
        <v>227938258.053</v>
      </c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  <c r="BI88" s="109"/>
      <c r="BJ88" s="109"/>
      <c r="BK88" s="109"/>
      <c r="BL88" s="109"/>
      <c r="BM88" s="109"/>
      <c r="BN88" s="109"/>
      <c r="BO88" s="109"/>
      <c r="BP88" s="109"/>
      <c r="BQ88" s="109"/>
      <c r="BR88" s="109"/>
      <c r="BS88" s="109"/>
      <c r="BT88" s="109"/>
      <c r="BU88" s="109"/>
      <c r="BV88" s="109"/>
      <c r="BW88" s="109"/>
      <c r="BX88" s="109"/>
      <c r="BY88" s="109"/>
      <c r="BZ88" s="109"/>
      <c r="CY88" s="49"/>
      <c r="CZ88" s="49"/>
    </row>
    <row r="89" spans="1:104">
      <c r="A89" s="53">
        <f t="shared" si="32"/>
        <v>2045</v>
      </c>
      <c r="B89" s="164">
        <f t="shared" si="48"/>
        <v>27911</v>
      </c>
      <c r="C89" s="63">
        <f t="shared" si="29"/>
        <v>3433</v>
      </c>
      <c r="D89" s="164">
        <f t="shared" si="30"/>
        <v>24478</v>
      </c>
      <c r="E89" s="63">
        <f t="shared" si="33"/>
        <v>27911</v>
      </c>
      <c r="F89" s="164">
        <f t="shared" si="34"/>
        <v>3433</v>
      </c>
      <c r="G89" s="63">
        <f t="shared" si="35"/>
        <v>24478</v>
      </c>
      <c r="H89" s="164">
        <f t="shared" si="36"/>
        <v>11164.400000000001</v>
      </c>
      <c r="I89" s="63">
        <f t="shared" si="37"/>
        <v>10331.057285714287</v>
      </c>
      <c r="J89" s="164">
        <f t="shared" si="38"/>
        <v>1373.3741369863017</v>
      </c>
      <c r="K89" s="63">
        <f t="shared" si="39"/>
        <v>9791.0258630136996</v>
      </c>
      <c r="L89" s="164">
        <f t="shared" si="40"/>
        <v>1270.8615674755383</v>
      </c>
      <c r="M89" s="63">
        <f t="shared" si="41"/>
        <v>9060.1957182387487</v>
      </c>
      <c r="N89" s="164">
        <f t="shared" si="42"/>
        <v>263958513.65000001</v>
      </c>
      <c r="O89" s="63">
        <f t="shared" si="46"/>
        <v>263958513.65000001</v>
      </c>
      <c r="P89" s="164">
        <f t="shared" si="43"/>
        <v>32470513.049000002</v>
      </c>
      <c r="Q89" s="63">
        <f t="shared" si="44"/>
        <v>231488000.60100001</v>
      </c>
      <c r="R89" s="164">
        <f t="shared" si="45"/>
        <v>32470513.049000002</v>
      </c>
      <c r="S89" s="63">
        <f t="shared" si="47"/>
        <v>231488000.60100001</v>
      </c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  <c r="BL89" s="109"/>
      <c r="BM89" s="109"/>
      <c r="BN89" s="109"/>
      <c r="BO89" s="109"/>
      <c r="BP89" s="109"/>
      <c r="BQ89" s="109"/>
      <c r="BR89" s="109"/>
      <c r="BS89" s="109"/>
      <c r="BT89" s="109"/>
      <c r="BU89" s="109"/>
      <c r="BV89" s="109"/>
      <c r="BW89" s="109"/>
      <c r="BX89" s="109"/>
      <c r="BY89" s="109"/>
      <c r="BZ89" s="109"/>
      <c r="CY89" s="49"/>
      <c r="CZ89" s="49"/>
    </row>
    <row r="90" spans="1:104">
      <c r="A90" s="53">
        <f t="shared" si="32"/>
        <v>2046</v>
      </c>
      <c r="B90" s="164">
        <f t="shared" si="48"/>
        <v>28346</v>
      </c>
      <c r="C90" s="63">
        <f t="shared" si="29"/>
        <v>3487</v>
      </c>
      <c r="D90" s="164">
        <f>B90-C90</f>
        <v>24859</v>
      </c>
      <c r="E90" s="63">
        <f t="shared" si="33"/>
        <v>28346</v>
      </c>
      <c r="F90" s="164">
        <f t="shared" si="34"/>
        <v>3487</v>
      </c>
      <c r="G90" s="63">
        <f t="shared" si="35"/>
        <v>24859</v>
      </c>
      <c r="H90" s="164">
        <f t="shared" si="36"/>
        <v>11338.400000000001</v>
      </c>
      <c r="I90" s="63">
        <f t="shared" si="37"/>
        <v>10492.069428571429</v>
      </c>
      <c r="J90" s="164">
        <f t="shared" si="38"/>
        <v>1394.7785205479454</v>
      </c>
      <c r="K90" s="63">
        <f t="shared" si="39"/>
        <v>9943.6214794520565</v>
      </c>
      <c r="L90" s="164">
        <f t="shared" si="40"/>
        <v>1290.6682666927593</v>
      </c>
      <c r="M90" s="63">
        <f t="shared" si="41"/>
        <v>9201.4011618786699</v>
      </c>
      <c r="N90" s="164">
        <f t="shared" si="42"/>
        <v>268072373.90000001</v>
      </c>
      <c r="O90" s="63">
        <f t="shared" si="46"/>
        <v>268072373.90000001</v>
      </c>
      <c r="P90" s="164">
        <f t="shared" si="43"/>
        <v>32976574.214000002</v>
      </c>
      <c r="Q90" s="63">
        <f t="shared" si="44"/>
        <v>235095799.68599999</v>
      </c>
      <c r="R90" s="164">
        <f t="shared" si="45"/>
        <v>32976574.214000002</v>
      </c>
      <c r="S90" s="63">
        <f t="shared" si="47"/>
        <v>235095799.68599999</v>
      </c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  <c r="BD90" s="109"/>
      <c r="BE90" s="109"/>
      <c r="BF90" s="109"/>
      <c r="BG90" s="109"/>
      <c r="BH90" s="109"/>
      <c r="BI90" s="109"/>
      <c r="BJ90" s="109"/>
      <c r="BK90" s="109"/>
      <c r="BL90" s="109"/>
      <c r="BM90" s="109"/>
      <c r="BN90" s="109"/>
      <c r="BO90" s="109"/>
      <c r="BP90" s="109"/>
      <c r="BQ90" s="109"/>
      <c r="BR90" s="109"/>
      <c r="BS90" s="109"/>
      <c r="BT90" s="109"/>
      <c r="BU90" s="109"/>
      <c r="BV90" s="109"/>
      <c r="BW90" s="109"/>
      <c r="BX90" s="109"/>
      <c r="BY90" s="109"/>
      <c r="BZ90" s="109"/>
      <c r="CY90" s="49"/>
      <c r="CZ90" s="49"/>
    </row>
    <row r="91" spans="1:104">
      <c r="A91" s="53">
        <f t="shared" si="32"/>
        <v>2047</v>
      </c>
      <c r="B91" s="164">
        <f t="shared" si="48"/>
        <v>28789</v>
      </c>
      <c r="C91" s="63">
        <f t="shared" si="29"/>
        <v>3541</v>
      </c>
      <c r="D91" s="164">
        <f t="shared" si="30"/>
        <v>25248</v>
      </c>
      <c r="E91" s="63">
        <f t="shared" si="33"/>
        <v>28789</v>
      </c>
      <c r="F91" s="164">
        <f t="shared" si="34"/>
        <v>3541</v>
      </c>
      <c r="G91" s="63">
        <f t="shared" si="35"/>
        <v>25248</v>
      </c>
      <c r="H91" s="164">
        <f t="shared" si="36"/>
        <v>11515.6</v>
      </c>
      <c r="I91" s="63">
        <f t="shared" si="37"/>
        <v>10656.042714285715</v>
      </c>
      <c r="J91" s="164">
        <f t="shared" si="38"/>
        <v>1416.5765479452054</v>
      </c>
      <c r="K91" s="63">
        <f t="shared" si="39"/>
        <v>10099.023452054795</v>
      </c>
      <c r="L91" s="164">
        <f t="shared" si="40"/>
        <v>1310.8392270450099</v>
      </c>
      <c r="M91" s="63">
        <f t="shared" si="41"/>
        <v>9345.2034872407057</v>
      </c>
      <c r="N91" s="164">
        <f t="shared" si="42"/>
        <v>272261891.35000002</v>
      </c>
      <c r="O91" s="63">
        <f t="shared" si="46"/>
        <v>272261891.35000002</v>
      </c>
      <c r="P91" s="164">
        <f t="shared" si="43"/>
        <v>33491942.251000002</v>
      </c>
      <c r="Q91" s="63">
        <f t="shared" si="44"/>
        <v>238769949.09900004</v>
      </c>
      <c r="R91" s="164">
        <f t="shared" si="45"/>
        <v>33491942.251000002</v>
      </c>
      <c r="S91" s="63">
        <f t="shared" si="47"/>
        <v>238769949.09900004</v>
      </c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  <c r="BH91" s="109"/>
      <c r="BI91" s="109"/>
      <c r="BJ91" s="109"/>
      <c r="BK91" s="109"/>
      <c r="BL91" s="109"/>
      <c r="BM91" s="109"/>
      <c r="BN91" s="109"/>
      <c r="BO91" s="109"/>
      <c r="BP91" s="109"/>
      <c r="BQ91" s="109"/>
      <c r="BR91" s="109"/>
      <c r="BS91" s="109"/>
      <c r="BT91" s="109"/>
      <c r="BU91" s="109"/>
      <c r="BV91" s="109"/>
      <c r="BW91" s="109"/>
      <c r="BX91" s="109"/>
      <c r="BY91" s="109"/>
      <c r="BZ91" s="109"/>
      <c r="CY91" s="49"/>
      <c r="CZ91" s="49"/>
    </row>
    <row r="92" spans="1:104">
      <c r="A92" s="331">
        <f t="shared" si="32"/>
        <v>2048</v>
      </c>
      <c r="B92" s="332">
        <f t="shared" si="48"/>
        <v>29237</v>
      </c>
      <c r="C92" s="333">
        <f t="shared" si="29"/>
        <v>3597</v>
      </c>
      <c r="D92" s="332">
        <f t="shared" si="30"/>
        <v>25640</v>
      </c>
      <c r="E92" s="333">
        <f t="shared" si="33"/>
        <v>29237</v>
      </c>
      <c r="F92" s="332">
        <f t="shared" si="34"/>
        <v>3597</v>
      </c>
      <c r="G92" s="333">
        <f t="shared" si="35"/>
        <v>25640</v>
      </c>
      <c r="H92" s="332">
        <f t="shared" si="36"/>
        <v>11694.800000000001</v>
      </c>
      <c r="I92" s="333">
        <f t="shared" si="37"/>
        <v>10821.866714285716</v>
      </c>
      <c r="J92" s="332">
        <f t="shared" si="38"/>
        <v>1438.6206027397261</v>
      </c>
      <c r="K92" s="333">
        <f t="shared" si="39"/>
        <v>10256.179397260275</v>
      </c>
      <c r="L92" s="332">
        <f t="shared" si="40"/>
        <v>1331.2378506066539</v>
      </c>
      <c r="M92" s="333">
        <f t="shared" si="41"/>
        <v>9490.6288636790614</v>
      </c>
      <c r="N92" s="332">
        <f t="shared" si="42"/>
        <v>276498694.55000001</v>
      </c>
      <c r="O92" s="333">
        <f t="shared" si="46"/>
        <v>276498694.55000001</v>
      </c>
      <c r="P92" s="332">
        <f t="shared" si="43"/>
        <v>34013127.083000004</v>
      </c>
      <c r="Q92" s="333">
        <f t="shared" si="44"/>
        <v>242485567.46700001</v>
      </c>
      <c r="R92" s="332">
        <f t="shared" si="45"/>
        <v>34013127.083000004</v>
      </c>
      <c r="S92" s="333">
        <f t="shared" si="47"/>
        <v>242485567.46700001</v>
      </c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09"/>
      <c r="BC92" s="109"/>
      <c r="BD92" s="109"/>
      <c r="BE92" s="109"/>
      <c r="BF92" s="109"/>
      <c r="BG92" s="109"/>
      <c r="BH92" s="109"/>
      <c r="BI92" s="109"/>
      <c r="BJ92" s="109"/>
      <c r="BK92" s="109"/>
      <c r="BL92" s="109"/>
      <c r="BM92" s="109"/>
      <c r="BN92" s="109"/>
      <c r="BO92" s="109"/>
      <c r="BP92" s="109"/>
      <c r="BQ92" s="109"/>
      <c r="BR92" s="109"/>
      <c r="BS92" s="109"/>
      <c r="BT92" s="109"/>
      <c r="BU92" s="109"/>
      <c r="BV92" s="109"/>
      <c r="BW92" s="109"/>
      <c r="BX92" s="109"/>
      <c r="BY92" s="109"/>
      <c r="BZ92" s="109"/>
      <c r="CY92" s="49"/>
      <c r="CZ92" s="49"/>
    </row>
    <row r="93" spans="1:104">
      <c r="A93" s="111"/>
      <c r="B93" s="121"/>
      <c r="C93" s="169"/>
      <c r="D93" s="165"/>
      <c r="E93" s="165"/>
      <c r="F93" s="121"/>
      <c r="G93" s="169"/>
      <c r="H93" s="165"/>
      <c r="I93" s="165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  <c r="AR93" s="109"/>
      <c r="AS93" s="109"/>
      <c r="AT93" s="109"/>
      <c r="AU93" s="109"/>
      <c r="AV93" s="109"/>
      <c r="AW93" s="109"/>
      <c r="AX93" s="109"/>
      <c r="AY93" s="109"/>
      <c r="AZ93" s="109"/>
      <c r="BA93" s="109"/>
      <c r="BB93" s="109"/>
      <c r="BC93" s="109"/>
      <c r="BD93" s="109"/>
      <c r="BE93" s="109"/>
      <c r="BF93" s="109"/>
      <c r="BG93" s="109"/>
      <c r="BH93" s="109"/>
      <c r="BI93" s="109"/>
      <c r="BJ93" s="109"/>
      <c r="BK93" s="109"/>
      <c r="BL93" s="109"/>
      <c r="BM93" s="109"/>
      <c r="BN93" s="109"/>
      <c r="BO93" s="109"/>
      <c r="BP93" s="109"/>
      <c r="BQ93" s="109"/>
      <c r="BR93" s="109"/>
      <c r="BS93" s="109"/>
      <c r="BT93" s="109"/>
      <c r="BU93" s="109"/>
      <c r="BV93" s="109"/>
      <c r="BW93" s="109"/>
      <c r="BX93" s="109"/>
      <c r="BY93" s="109"/>
      <c r="BZ93" s="109"/>
    </row>
    <row r="94" spans="1:104">
      <c r="A94" s="170"/>
      <c r="B94" s="170"/>
      <c r="C94" s="171"/>
      <c r="D94" s="165"/>
      <c r="E94" s="165"/>
      <c r="F94" s="121"/>
      <c r="G94" s="172"/>
      <c r="H94" s="120"/>
      <c r="I94" s="65"/>
      <c r="J94" s="65"/>
      <c r="K94" s="65"/>
      <c r="L94" s="172"/>
      <c r="M94" s="172"/>
      <c r="N94" s="172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09"/>
      <c r="BC94" s="109"/>
      <c r="BD94" s="109"/>
      <c r="BE94" s="109"/>
      <c r="BF94" s="109"/>
      <c r="BG94" s="109"/>
      <c r="BH94" s="109"/>
      <c r="BI94" s="109"/>
      <c r="BJ94" s="109"/>
      <c r="BK94" s="109"/>
      <c r="BL94" s="109"/>
      <c r="BM94" s="109"/>
      <c r="BN94" s="109"/>
      <c r="BO94" s="109"/>
      <c r="BP94" s="109"/>
      <c r="BQ94" s="109"/>
      <c r="BR94" s="109"/>
      <c r="BS94" s="109"/>
      <c r="BT94" s="109"/>
      <c r="BU94" s="109"/>
      <c r="BV94" s="109"/>
      <c r="BW94" s="109"/>
      <c r="BX94" s="109"/>
      <c r="BY94" s="109"/>
      <c r="BZ94" s="109"/>
    </row>
    <row r="95" spans="1:104" ht="13.95" customHeight="1">
      <c r="A95" s="421" t="s">
        <v>126</v>
      </c>
      <c r="B95" s="422"/>
      <c r="C95" s="422"/>
      <c r="D95" s="422"/>
      <c r="E95" s="422"/>
      <c r="F95" s="422"/>
      <c r="G95" s="172"/>
      <c r="H95" s="120"/>
      <c r="I95" s="65"/>
      <c r="J95" s="65"/>
      <c r="K95" s="65"/>
      <c r="L95" s="172"/>
      <c r="M95" s="172"/>
      <c r="N95" s="172"/>
      <c r="O95" s="65"/>
      <c r="P95" s="120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109"/>
      <c r="BO95" s="109"/>
      <c r="BP95" s="109"/>
      <c r="BQ95" s="109"/>
      <c r="BR95" s="109"/>
      <c r="BS95" s="109"/>
      <c r="BT95" s="109"/>
      <c r="BU95" s="109"/>
      <c r="BV95" s="109"/>
      <c r="BW95" s="109"/>
      <c r="BX95" s="109"/>
      <c r="BY95" s="109"/>
      <c r="BZ95" s="109"/>
    </row>
    <row r="96" spans="1:104" ht="13.95" customHeight="1">
      <c r="A96" s="428"/>
      <c r="B96" s="423" t="s">
        <v>128</v>
      </c>
      <c r="C96" s="424"/>
      <c r="D96" s="424"/>
      <c r="E96" s="424"/>
      <c r="F96" s="424"/>
      <c r="G96" s="172"/>
      <c r="H96" s="120"/>
      <c r="I96" s="120"/>
      <c r="J96" s="65"/>
      <c r="K96" s="65"/>
      <c r="L96" s="172"/>
      <c r="M96" s="172"/>
      <c r="N96" s="172"/>
      <c r="O96" s="65"/>
      <c r="P96" s="65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09"/>
      <c r="BC96" s="109"/>
      <c r="BD96" s="109"/>
      <c r="BE96" s="109"/>
      <c r="BF96" s="109"/>
      <c r="BG96" s="109"/>
      <c r="BH96" s="109"/>
      <c r="BI96" s="109"/>
      <c r="BJ96" s="109"/>
      <c r="BK96" s="109"/>
      <c r="BL96" s="109"/>
      <c r="BM96" s="109"/>
      <c r="BN96" s="109"/>
      <c r="BO96" s="109"/>
      <c r="BP96" s="109"/>
      <c r="BQ96" s="109"/>
      <c r="BR96" s="109"/>
      <c r="BS96" s="109"/>
      <c r="BT96" s="109"/>
      <c r="BU96" s="109"/>
      <c r="BV96" s="109"/>
      <c r="BW96" s="109"/>
      <c r="BX96" s="109"/>
      <c r="BY96" s="109"/>
      <c r="BZ96" s="109"/>
    </row>
    <row r="97" spans="1:104" ht="27" customHeight="1">
      <c r="A97" s="428"/>
      <c r="B97" s="152">
        <v>1</v>
      </c>
      <c r="C97" s="152">
        <v>2</v>
      </c>
      <c r="D97" s="152">
        <v>3</v>
      </c>
      <c r="E97" s="152">
        <v>4</v>
      </c>
      <c r="F97" s="115" t="s">
        <v>116</v>
      </c>
      <c r="G97" s="172"/>
      <c r="H97" s="120" t="s">
        <v>127</v>
      </c>
      <c r="I97" s="120"/>
      <c r="J97" s="65"/>
      <c r="K97" s="65"/>
      <c r="L97" s="109"/>
      <c r="M97" s="172"/>
      <c r="N97" s="172"/>
      <c r="O97" s="65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T97" s="109"/>
      <c r="AU97" s="109"/>
      <c r="AV97" s="109"/>
      <c r="AW97" s="109"/>
      <c r="AX97" s="109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109"/>
      <c r="BQ97" s="109"/>
      <c r="BR97" s="109"/>
      <c r="BS97" s="109"/>
      <c r="BT97" s="109"/>
      <c r="BU97" s="109"/>
      <c r="BV97" s="109"/>
      <c r="BW97" s="109"/>
      <c r="BX97" s="109"/>
      <c r="BY97" s="109"/>
      <c r="BZ97" s="109"/>
      <c r="CV97" s="49"/>
      <c r="CW97" s="49"/>
      <c r="CX97" s="49"/>
      <c r="CY97" s="49"/>
      <c r="CZ97" s="49"/>
    </row>
    <row r="98" spans="1:104" ht="13.95" customHeight="1">
      <c r="A98" s="173" t="s">
        <v>129</v>
      </c>
      <c r="B98" s="174">
        <f>B100-B99</f>
        <v>21047.671232876713</v>
      </c>
      <c r="C98" s="175">
        <f t="shared" ref="C98:E98" si="49">C100-C99</f>
        <v>19732.191780821919</v>
      </c>
      <c r="D98" s="174">
        <f t="shared" si="49"/>
        <v>15785.753424657534</v>
      </c>
      <c r="E98" s="175">
        <f t="shared" si="49"/>
        <v>12277.808219178081</v>
      </c>
      <c r="F98" s="429">
        <f>SUM(B103:E103)</f>
        <v>19552.862419205907</v>
      </c>
      <c r="G98" s="172"/>
      <c r="H98" s="120">
        <v>1</v>
      </c>
      <c r="I98" s="65" t="s">
        <v>181</v>
      </c>
      <c r="J98" s="65"/>
      <c r="K98" s="65"/>
      <c r="L98" s="109"/>
      <c r="M98" s="172"/>
      <c r="N98" s="172"/>
      <c r="O98" s="65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109"/>
      <c r="AS98" s="109"/>
      <c r="AT98" s="109"/>
      <c r="AU98" s="109"/>
      <c r="AV98" s="109"/>
      <c r="AW98" s="109"/>
      <c r="AX98" s="109"/>
      <c r="AY98" s="109"/>
      <c r="AZ98" s="109"/>
      <c r="BA98" s="109"/>
      <c r="BB98" s="109"/>
      <c r="BC98" s="109"/>
      <c r="BD98" s="109"/>
      <c r="BE98" s="109"/>
      <c r="BF98" s="109"/>
      <c r="BG98" s="109"/>
      <c r="BH98" s="109"/>
      <c r="BI98" s="109"/>
      <c r="BJ98" s="109"/>
      <c r="BK98" s="109"/>
      <c r="BL98" s="109"/>
      <c r="BM98" s="109"/>
      <c r="BN98" s="109"/>
      <c r="BO98" s="109"/>
      <c r="BP98" s="109"/>
      <c r="BQ98" s="109"/>
      <c r="BR98" s="109"/>
      <c r="BS98" s="109"/>
      <c r="BT98" s="109"/>
      <c r="BU98" s="109"/>
      <c r="BV98" s="109"/>
      <c r="BW98" s="109"/>
      <c r="BX98" s="109"/>
      <c r="BY98" s="109"/>
      <c r="BZ98" s="109"/>
      <c r="CV98" s="49"/>
      <c r="CW98" s="49"/>
      <c r="CX98" s="49"/>
      <c r="CY98" s="49"/>
      <c r="CZ98" s="49"/>
    </row>
    <row r="99" spans="1:104" ht="13.95" customHeight="1">
      <c r="A99" s="173" t="s">
        <v>130</v>
      </c>
      <c r="B99" s="174">
        <f t="shared" ref="B99:E99" si="50">B100*$B$116</f>
        <v>2952.3287671232879</v>
      </c>
      <c r="C99" s="175">
        <f t="shared" si="50"/>
        <v>2767.8082191780823</v>
      </c>
      <c r="D99" s="174">
        <f t="shared" si="50"/>
        <v>2214.2465753424658</v>
      </c>
      <c r="E99" s="175">
        <f t="shared" si="50"/>
        <v>1722.1917808219177</v>
      </c>
      <c r="F99" s="429"/>
      <c r="G99" s="172"/>
      <c r="H99" s="120">
        <v>2</v>
      </c>
      <c r="I99" s="65" t="s">
        <v>182</v>
      </c>
      <c r="J99" s="65"/>
      <c r="K99" s="65"/>
      <c r="L99" s="109"/>
      <c r="M99" s="172"/>
      <c r="N99" s="172"/>
      <c r="O99" s="65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109"/>
      <c r="AT99" s="109"/>
      <c r="AU99" s="109"/>
      <c r="AV99" s="109"/>
      <c r="AW99" s="109"/>
      <c r="AX99" s="109"/>
      <c r="AY99" s="109"/>
      <c r="AZ99" s="109"/>
      <c r="BA99" s="109"/>
      <c r="BB99" s="109"/>
      <c r="BC99" s="109"/>
      <c r="BD99" s="109"/>
      <c r="BE99" s="109"/>
      <c r="BF99" s="109"/>
      <c r="BG99" s="109"/>
      <c r="BH99" s="109"/>
      <c r="BI99" s="109"/>
      <c r="BJ99" s="109"/>
      <c r="BK99" s="109"/>
      <c r="BL99" s="109"/>
      <c r="BM99" s="109"/>
      <c r="BN99" s="109"/>
      <c r="BO99" s="109"/>
      <c r="BP99" s="109"/>
      <c r="BQ99" s="109"/>
      <c r="BR99" s="109"/>
      <c r="BS99" s="109"/>
      <c r="BT99" s="109"/>
      <c r="BU99" s="109"/>
      <c r="BV99" s="109"/>
      <c r="BW99" s="109"/>
      <c r="BX99" s="109"/>
      <c r="BY99" s="109"/>
      <c r="BZ99" s="109"/>
      <c r="CV99" s="49"/>
      <c r="CW99" s="49"/>
      <c r="CX99" s="49"/>
      <c r="CY99" s="49"/>
      <c r="CZ99" s="49"/>
    </row>
    <row r="100" spans="1:104" ht="13.95" customHeight="1">
      <c r="A100" s="173" t="s">
        <v>131</v>
      </c>
      <c r="B100" s="255">
        <v>24000</v>
      </c>
      <c r="C100" s="255">
        <v>22500</v>
      </c>
      <c r="D100" s="255">
        <v>18000</v>
      </c>
      <c r="E100" s="255">
        <v>14000</v>
      </c>
      <c r="F100" s="429"/>
      <c r="G100" s="172"/>
      <c r="H100" s="120">
        <v>3</v>
      </c>
      <c r="I100" s="65" t="s">
        <v>189</v>
      </c>
      <c r="J100" s="65"/>
      <c r="K100" s="65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09"/>
      <c r="BQ100" s="109"/>
      <c r="BR100" s="109"/>
      <c r="BS100" s="109"/>
      <c r="BT100" s="109"/>
      <c r="BU100" s="109"/>
      <c r="BV100" s="109"/>
      <c r="BW100" s="109"/>
      <c r="BX100" s="109"/>
      <c r="BY100" s="109"/>
      <c r="BZ100" s="109"/>
      <c r="CV100" s="49"/>
      <c r="CW100" s="49"/>
      <c r="CX100" s="49"/>
      <c r="CY100" s="49"/>
      <c r="CZ100" s="49"/>
    </row>
    <row r="101" spans="1:104" ht="13.95" customHeight="1">
      <c r="A101" s="173" t="s">
        <v>132</v>
      </c>
      <c r="B101" s="192">
        <v>5.01</v>
      </c>
      <c r="C101" s="155">
        <v>6.59</v>
      </c>
      <c r="D101" s="192">
        <v>3.54</v>
      </c>
      <c r="E101" s="155">
        <v>6.52</v>
      </c>
      <c r="F101" s="429"/>
      <c r="G101" s="109"/>
      <c r="H101" s="120">
        <v>4</v>
      </c>
      <c r="I101" s="65" t="s">
        <v>183</v>
      </c>
      <c r="J101" s="65"/>
      <c r="K101" s="65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109"/>
      <c r="BI101" s="109"/>
      <c r="BJ101" s="109"/>
      <c r="BK101" s="109"/>
      <c r="BL101" s="109"/>
      <c r="BM101" s="109"/>
      <c r="BN101" s="109"/>
      <c r="BO101" s="109"/>
      <c r="BP101" s="109"/>
      <c r="BQ101" s="109"/>
      <c r="BR101" s="109"/>
      <c r="BS101" s="109"/>
      <c r="BT101" s="109"/>
      <c r="BU101" s="109"/>
      <c r="BV101" s="109"/>
      <c r="BW101" s="109"/>
      <c r="BX101" s="109"/>
      <c r="BY101" s="109"/>
      <c r="BZ101" s="109"/>
      <c r="CV101" s="49"/>
      <c r="CW101" s="49"/>
      <c r="CX101" s="49"/>
      <c r="CY101" s="49"/>
      <c r="CZ101" s="49"/>
    </row>
    <row r="102" spans="1:104" ht="13.95" customHeight="1">
      <c r="A102" s="173" t="s">
        <v>133</v>
      </c>
      <c r="B102" s="176">
        <f>B101/SUM($B$101:$E$101)</f>
        <v>0.23130193905817173</v>
      </c>
      <c r="C102" s="154">
        <f>C101/SUM($B$101:$E$101)</f>
        <v>0.30424746075715603</v>
      </c>
      <c r="D102" s="176">
        <f>D101/SUM($B$101:$E$101)</f>
        <v>0.16343490304709141</v>
      </c>
      <c r="E102" s="154">
        <f>E101/SUM($B$101:$E$101)</f>
        <v>0.30101569713758075</v>
      </c>
      <c r="F102" s="429"/>
      <c r="G102" s="109"/>
      <c r="H102" s="291" t="s">
        <v>188</v>
      </c>
      <c r="I102" s="65"/>
      <c r="J102" s="65"/>
      <c r="K102" s="65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09"/>
      <c r="BQ102" s="109"/>
      <c r="BR102" s="109"/>
      <c r="BS102" s="109"/>
      <c r="BT102" s="109"/>
      <c r="BU102" s="109"/>
      <c r="BV102" s="109"/>
      <c r="BW102" s="109"/>
      <c r="BX102" s="109"/>
      <c r="BY102" s="109"/>
      <c r="BZ102" s="109"/>
      <c r="CV102" s="49"/>
      <c r="CW102" s="49"/>
      <c r="CX102" s="49"/>
      <c r="CY102" s="49"/>
      <c r="CZ102" s="49"/>
    </row>
    <row r="103" spans="1:104" ht="13.95" customHeight="1">
      <c r="A103" s="173" t="s">
        <v>134</v>
      </c>
      <c r="B103" s="174">
        <f>B100*B102</f>
        <v>5551.2465373961213</v>
      </c>
      <c r="C103" s="175">
        <f>C100*C102</f>
        <v>6845.5678670360103</v>
      </c>
      <c r="D103" s="174">
        <f t="shared" ref="D103:E103" si="51">D100*D102</f>
        <v>2941.8282548476454</v>
      </c>
      <c r="E103" s="175">
        <f t="shared" si="51"/>
        <v>4214.2197599261308</v>
      </c>
      <c r="F103" s="429"/>
      <c r="G103" s="109"/>
      <c r="H103" s="120"/>
      <c r="I103" s="65"/>
      <c r="J103" s="65"/>
      <c r="K103" s="65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9"/>
      <c r="BA103" s="109"/>
      <c r="BB103" s="109"/>
      <c r="BC103" s="109"/>
      <c r="BD103" s="109"/>
      <c r="BE103" s="109"/>
      <c r="BF103" s="109"/>
      <c r="BG103" s="109"/>
      <c r="BH103" s="109"/>
      <c r="BI103" s="109"/>
      <c r="BJ103" s="109"/>
      <c r="BK103" s="109"/>
      <c r="BL103" s="109"/>
      <c r="BM103" s="109"/>
      <c r="BN103" s="109"/>
      <c r="BO103" s="109"/>
      <c r="BP103" s="109"/>
      <c r="BQ103" s="109"/>
      <c r="BR103" s="109"/>
      <c r="BS103" s="109"/>
      <c r="BT103" s="109"/>
      <c r="BU103" s="109"/>
      <c r="BV103" s="109"/>
      <c r="BW103" s="109"/>
      <c r="BX103" s="109"/>
      <c r="BY103" s="109"/>
      <c r="BZ103" s="109"/>
      <c r="CV103" s="49"/>
      <c r="CW103" s="49"/>
      <c r="CX103" s="49"/>
      <c r="CY103" s="49"/>
      <c r="CZ103" s="49"/>
    </row>
    <row r="104" spans="1:104" ht="13.95" customHeight="1">
      <c r="A104" s="428"/>
      <c r="B104" s="417" t="s">
        <v>180</v>
      </c>
      <c r="C104" s="425"/>
      <c r="D104" s="425"/>
      <c r="E104" s="425"/>
      <c r="F104" s="426"/>
      <c r="G104" s="109"/>
      <c r="H104" s="120"/>
      <c r="I104" s="65"/>
      <c r="J104" s="65"/>
      <c r="K104" s="65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109"/>
      <c r="BC104" s="109"/>
      <c r="BD104" s="109"/>
      <c r="BE104" s="109"/>
      <c r="BF104" s="109"/>
      <c r="BG104" s="109"/>
      <c r="BH104" s="109"/>
      <c r="BI104" s="109"/>
      <c r="BJ104" s="109"/>
      <c r="BK104" s="109"/>
      <c r="BL104" s="109"/>
      <c r="BM104" s="109"/>
      <c r="BN104" s="109"/>
      <c r="BO104" s="109"/>
      <c r="BP104" s="109"/>
      <c r="BQ104" s="109"/>
      <c r="BR104" s="109"/>
      <c r="BS104" s="109"/>
      <c r="BT104" s="109"/>
      <c r="BU104" s="109"/>
      <c r="BV104" s="109"/>
      <c r="BW104" s="109"/>
      <c r="BX104" s="109"/>
      <c r="BY104" s="109"/>
      <c r="BZ104" s="109"/>
      <c r="CV104" s="49"/>
      <c r="CW104" s="49"/>
      <c r="CX104" s="49"/>
      <c r="CY104" s="49"/>
      <c r="CZ104" s="49"/>
    </row>
    <row r="105" spans="1:104" ht="27" customHeight="1">
      <c r="A105" s="428"/>
      <c r="B105" s="152">
        <v>1</v>
      </c>
      <c r="C105" s="152">
        <v>2</v>
      </c>
      <c r="D105" s="273">
        <v>3</v>
      </c>
      <c r="E105" s="273">
        <v>4</v>
      </c>
      <c r="F105" s="115" t="s">
        <v>116</v>
      </c>
      <c r="G105" s="109"/>
      <c r="H105" s="120"/>
      <c r="I105" s="65"/>
      <c r="J105" s="65"/>
      <c r="K105" s="65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09"/>
      <c r="BA105" s="109"/>
      <c r="BB105" s="109"/>
      <c r="BC105" s="109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09"/>
      <c r="BO105" s="109"/>
      <c r="BP105" s="109"/>
      <c r="BQ105" s="109"/>
      <c r="BR105" s="109"/>
      <c r="BS105" s="109"/>
      <c r="BT105" s="109"/>
      <c r="BU105" s="109"/>
      <c r="BV105" s="109"/>
      <c r="BW105" s="109"/>
      <c r="BX105" s="109"/>
      <c r="BY105" s="109"/>
      <c r="BZ105" s="109"/>
      <c r="CV105" s="49"/>
      <c r="CW105" s="49"/>
      <c r="CX105" s="49"/>
      <c r="CY105" s="49"/>
      <c r="CZ105" s="49"/>
    </row>
    <row r="106" spans="1:104" ht="13.95" customHeight="1">
      <c r="A106" s="173" t="s">
        <v>129</v>
      </c>
      <c r="B106" s="174">
        <f t="shared" ref="B106:D106" si="52">B108-B107</f>
        <v>33325.479452054795</v>
      </c>
      <c r="C106" s="188">
        <f t="shared" si="52"/>
        <v>31571.506849315068</v>
      </c>
      <c r="D106" s="281">
        <f t="shared" si="52"/>
        <v>25432.602739726026</v>
      </c>
      <c r="E106" s="188">
        <f>E108-E107</f>
        <v>19293.698630136987</v>
      </c>
      <c r="F106" s="429">
        <f>SUM(B111:E111)</f>
        <v>31104.339796860571</v>
      </c>
      <c r="G106" s="109"/>
      <c r="H106" s="120"/>
      <c r="I106" s="65"/>
      <c r="J106" s="65"/>
      <c r="K106" s="65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109"/>
      <c r="AN106" s="109"/>
      <c r="AO106" s="109"/>
      <c r="AP106" s="109"/>
      <c r="AQ106" s="109"/>
      <c r="AR106" s="109"/>
      <c r="AS106" s="109"/>
      <c r="AT106" s="109"/>
      <c r="AU106" s="109"/>
      <c r="AV106" s="109"/>
      <c r="AW106" s="109"/>
      <c r="AX106" s="109"/>
      <c r="AY106" s="109"/>
      <c r="AZ106" s="109"/>
      <c r="BA106" s="109"/>
      <c r="BB106" s="109"/>
      <c r="BC106" s="109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09"/>
      <c r="BO106" s="109"/>
      <c r="BP106" s="109"/>
      <c r="BQ106" s="109"/>
      <c r="BR106" s="109"/>
      <c r="BS106" s="109"/>
      <c r="BT106" s="109"/>
      <c r="BU106" s="109"/>
      <c r="BV106" s="109"/>
      <c r="BW106" s="109"/>
      <c r="BX106" s="109"/>
      <c r="BY106" s="109"/>
      <c r="BZ106" s="109"/>
      <c r="CV106" s="49"/>
      <c r="CW106" s="49"/>
      <c r="CX106" s="49"/>
      <c r="CY106" s="49"/>
      <c r="CZ106" s="49"/>
    </row>
    <row r="107" spans="1:104" ht="13.95" customHeight="1">
      <c r="A107" s="173" t="s">
        <v>130</v>
      </c>
      <c r="B107" s="174">
        <f>B108*$B$117</f>
        <v>4674.5205479452052</v>
      </c>
      <c r="C107" s="188">
        <f>C108*$B$117</f>
        <v>4428.4931506849316</v>
      </c>
      <c r="D107" s="281">
        <f>D108*$B$117</f>
        <v>3567.3972602739727</v>
      </c>
      <c r="E107" s="188">
        <f>E108*$B$117</f>
        <v>2706.3013698630139</v>
      </c>
      <c r="F107" s="429"/>
      <c r="G107" s="109"/>
      <c r="H107" s="120"/>
      <c r="I107" s="65"/>
      <c r="J107" s="65"/>
      <c r="K107" s="65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109"/>
      <c r="AT107" s="109"/>
      <c r="AU107" s="109"/>
      <c r="AV107" s="109"/>
      <c r="AW107" s="109"/>
      <c r="AX107" s="109"/>
      <c r="AY107" s="109"/>
      <c r="AZ107" s="109"/>
      <c r="BA107" s="109"/>
      <c r="BB107" s="109"/>
      <c r="BC107" s="109"/>
      <c r="BD107" s="109"/>
      <c r="BE107" s="109"/>
      <c r="BF107" s="109"/>
      <c r="BG107" s="109"/>
      <c r="BH107" s="109"/>
      <c r="BI107" s="109"/>
      <c r="BJ107" s="109"/>
      <c r="BK107" s="109"/>
      <c r="BL107" s="109"/>
      <c r="BM107" s="109"/>
      <c r="BN107" s="109"/>
      <c r="BO107" s="109"/>
      <c r="BP107" s="109"/>
      <c r="BQ107" s="109"/>
      <c r="BR107" s="109"/>
      <c r="BS107" s="109"/>
      <c r="BT107" s="109"/>
      <c r="BU107" s="109"/>
      <c r="BV107" s="109"/>
      <c r="BW107" s="109"/>
      <c r="BX107" s="109"/>
      <c r="BY107" s="109"/>
      <c r="BZ107" s="109"/>
      <c r="CV107" s="49"/>
      <c r="CW107" s="49"/>
      <c r="CX107" s="49"/>
      <c r="CY107" s="49"/>
      <c r="CZ107" s="49"/>
    </row>
    <row r="108" spans="1:104" ht="13.95" customHeight="1">
      <c r="A108" s="173" t="s">
        <v>131</v>
      </c>
      <c r="B108" s="255">
        <v>38000</v>
      </c>
      <c r="C108" s="256">
        <v>36000</v>
      </c>
      <c r="D108" s="282">
        <v>29000</v>
      </c>
      <c r="E108" s="256">
        <v>22000</v>
      </c>
      <c r="F108" s="429"/>
      <c r="G108" s="109"/>
      <c r="H108" s="120"/>
      <c r="I108" s="65"/>
      <c r="J108" s="65"/>
      <c r="K108" s="65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09"/>
      <c r="BA108" s="109"/>
      <c r="BB108" s="109"/>
      <c r="BC108" s="109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109"/>
      <c r="BO108" s="109"/>
      <c r="BP108" s="109"/>
      <c r="BQ108" s="109"/>
      <c r="BR108" s="109"/>
      <c r="BS108" s="109"/>
      <c r="BT108" s="109"/>
      <c r="BU108" s="109"/>
      <c r="BV108" s="109"/>
      <c r="BW108" s="109"/>
      <c r="BX108" s="109"/>
      <c r="BY108" s="109"/>
      <c r="BZ108" s="109"/>
      <c r="CV108" s="49"/>
      <c r="CW108" s="49"/>
      <c r="CX108" s="49"/>
      <c r="CY108" s="49"/>
      <c r="CZ108" s="49"/>
    </row>
    <row r="109" spans="1:104" ht="13.95" customHeight="1">
      <c r="A109" s="173" t="s">
        <v>132</v>
      </c>
      <c r="B109" s="192">
        <v>5.01</v>
      </c>
      <c r="C109" s="155">
        <v>6.59</v>
      </c>
      <c r="D109" s="192">
        <v>3.54</v>
      </c>
      <c r="E109" s="155">
        <v>6.52</v>
      </c>
      <c r="F109" s="429"/>
      <c r="G109" s="109"/>
      <c r="H109" s="120"/>
      <c r="I109" s="65"/>
      <c r="J109" s="65"/>
      <c r="K109" s="65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09"/>
      <c r="BJ109" s="109"/>
      <c r="BK109" s="109"/>
      <c r="BL109" s="109"/>
      <c r="BM109" s="109"/>
      <c r="BN109" s="109"/>
      <c r="BO109" s="109"/>
      <c r="BP109" s="109"/>
      <c r="BQ109" s="109"/>
      <c r="BR109" s="109"/>
      <c r="BS109" s="109"/>
      <c r="BT109" s="109"/>
      <c r="BU109" s="109"/>
      <c r="BV109" s="109"/>
      <c r="BW109" s="109"/>
      <c r="BX109" s="109"/>
      <c r="BY109" s="109"/>
      <c r="BZ109" s="109"/>
      <c r="CV109" s="49"/>
      <c r="CW109" s="49"/>
      <c r="CX109" s="49"/>
      <c r="CY109" s="49"/>
      <c r="CZ109" s="49"/>
    </row>
    <row r="110" spans="1:104" ht="13.95" customHeight="1">
      <c r="A110" s="173" t="s">
        <v>133</v>
      </c>
      <c r="B110" s="176">
        <f>B109/SUM($B$109:$E$109)</f>
        <v>0.23130193905817173</v>
      </c>
      <c r="C110" s="187">
        <f>C109/SUM($B$109:$E$109)</f>
        <v>0.30424746075715603</v>
      </c>
      <c r="D110" s="283">
        <f>D109/SUM($B$109:$E$109)</f>
        <v>0.16343490304709141</v>
      </c>
      <c r="E110" s="187">
        <f>E109/SUM($B$109:$E$109)</f>
        <v>0.30101569713758075</v>
      </c>
      <c r="F110" s="429"/>
      <c r="G110" s="109"/>
      <c r="H110" s="120"/>
      <c r="I110" s="65"/>
      <c r="J110" s="65"/>
      <c r="K110" s="65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  <c r="AV110" s="109"/>
      <c r="AW110" s="109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  <c r="BI110" s="109"/>
      <c r="BJ110" s="109"/>
      <c r="BK110" s="109"/>
      <c r="BL110" s="109"/>
      <c r="BM110" s="109"/>
      <c r="BN110" s="109"/>
      <c r="BO110" s="109"/>
      <c r="BP110" s="109"/>
      <c r="BQ110" s="109"/>
      <c r="BR110" s="109"/>
      <c r="BS110" s="109"/>
      <c r="BT110" s="109"/>
      <c r="BU110" s="109"/>
      <c r="BV110" s="109"/>
      <c r="BW110" s="109"/>
      <c r="BX110" s="109"/>
      <c r="BY110" s="109"/>
      <c r="BZ110" s="109"/>
      <c r="CV110" s="49"/>
      <c r="CW110" s="49"/>
      <c r="CX110" s="49"/>
      <c r="CY110" s="49"/>
      <c r="CZ110" s="49"/>
    </row>
    <row r="111" spans="1:104" ht="13.95" customHeight="1">
      <c r="A111" s="173" t="s">
        <v>134</v>
      </c>
      <c r="B111" s="174">
        <f>B108*B110</f>
        <v>8789.4736842105249</v>
      </c>
      <c r="C111" s="175">
        <f>C108*C110</f>
        <v>10952.908587257618</v>
      </c>
      <c r="D111" s="281">
        <f>D108*D110</f>
        <v>4739.6121883656506</v>
      </c>
      <c r="E111" s="188">
        <f>E108*E110</f>
        <v>6622.3453370267762</v>
      </c>
      <c r="F111" s="429"/>
      <c r="G111" s="109"/>
      <c r="H111" s="120"/>
      <c r="I111" s="65"/>
      <c r="J111" s="65"/>
      <c r="K111" s="65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09"/>
      <c r="BJ111" s="109"/>
      <c r="BK111" s="109"/>
      <c r="BL111" s="109"/>
      <c r="BM111" s="109"/>
      <c r="BN111" s="109"/>
      <c r="BO111" s="109"/>
      <c r="BP111" s="109"/>
      <c r="BQ111" s="109"/>
      <c r="BR111" s="109"/>
      <c r="BS111" s="109"/>
      <c r="BT111" s="109"/>
      <c r="BU111" s="109"/>
      <c r="BV111" s="109"/>
      <c r="BW111" s="109"/>
      <c r="BX111" s="109"/>
      <c r="BY111" s="109"/>
      <c r="BZ111" s="109"/>
      <c r="CV111" s="49"/>
      <c r="CW111" s="49"/>
      <c r="CX111" s="49"/>
      <c r="CY111" s="49"/>
      <c r="CZ111" s="49"/>
    </row>
    <row r="112" spans="1:104" ht="13.95" customHeight="1">
      <c r="A112" s="252" t="s">
        <v>135</v>
      </c>
      <c r="B112" s="252"/>
      <c r="C112" s="252"/>
      <c r="D112" s="252"/>
      <c r="E112" s="252"/>
      <c r="F112" s="252"/>
      <c r="G112" s="109"/>
      <c r="H112" s="120"/>
      <c r="I112" s="65"/>
      <c r="J112" s="65"/>
      <c r="K112" s="65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09"/>
      <c r="BJ112" s="109"/>
      <c r="BK112" s="109"/>
      <c r="BL112" s="109"/>
      <c r="BM112" s="109"/>
      <c r="BN112" s="109"/>
      <c r="BO112" s="109"/>
      <c r="BP112" s="109"/>
      <c r="BQ112" s="109"/>
      <c r="BR112" s="109"/>
      <c r="BS112" s="109"/>
      <c r="BT112" s="109"/>
      <c r="BU112" s="109"/>
      <c r="BV112" s="109"/>
      <c r="BW112" s="109"/>
      <c r="BX112" s="109"/>
      <c r="BY112" s="109"/>
      <c r="BZ112" s="109"/>
    </row>
    <row r="113" spans="1:105" ht="13.95" customHeight="1">
      <c r="A113" s="136"/>
      <c r="B113" s="136"/>
      <c r="C113" s="136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09"/>
      <c r="BJ113" s="109"/>
      <c r="BK113" s="109"/>
      <c r="BL113" s="109"/>
      <c r="BM113" s="109"/>
      <c r="BN113" s="109"/>
      <c r="BO113" s="109"/>
      <c r="BP113" s="109"/>
      <c r="BQ113" s="109"/>
      <c r="BR113" s="109"/>
      <c r="BS113" s="109"/>
      <c r="BT113" s="109"/>
      <c r="BU113" s="109"/>
      <c r="BV113" s="109"/>
      <c r="BW113" s="109"/>
      <c r="BX113" s="109"/>
      <c r="BY113" s="109"/>
      <c r="BZ113" s="109"/>
    </row>
    <row r="114" spans="1:105" ht="13.95" customHeight="1">
      <c r="A114" s="417" t="s">
        <v>136</v>
      </c>
      <c r="B114" s="417"/>
      <c r="C114" s="135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  <c r="R114" s="170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09"/>
      <c r="AS114" s="109"/>
      <c r="AT114" s="109"/>
      <c r="AU114" s="109"/>
      <c r="AV114" s="109"/>
      <c r="AW114" s="109"/>
      <c r="AX114" s="109"/>
      <c r="AY114" s="109"/>
      <c r="AZ114" s="109"/>
      <c r="BA114" s="109"/>
      <c r="BB114" s="109"/>
      <c r="BC114" s="109"/>
      <c r="BD114" s="109"/>
      <c r="BE114" s="109"/>
      <c r="BF114" s="109"/>
      <c r="BG114" s="109"/>
      <c r="BH114" s="109"/>
      <c r="BI114" s="109"/>
      <c r="BJ114" s="109"/>
      <c r="BK114" s="109"/>
      <c r="BL114" s="109"/>
      <c r="BM114" s="109"/>
      <c r="BN114" s="109"/>
      <c r="BO114" s="109"/>
      <c r="BP114" s="109"/>
      <c r="BQ114" s="109"/>
      <c r="BR114" s="109"/>
      <c r="BS114" s="109"/>
      <c r="BT114" s="109"/>
      <c r="BU114" s="109"/>
      <c r="BV114" s="109"/>
      <c r="BW114" s="109"/>
      <c r="BX114" s="109"/>
      <c r="BY114" s="109"/>
      <c r="BZ114" s="109"/>
    </row>
    <row r="115" spans="1:105" ht="13.95" customHeight="1">
      <c r="A115" s="173" t="s">
        <v>187</v>
      </c>
      <c r="B115" s="177">
        <f>(F106/F98)^(1/(2052-2022))-1</f>
        <v>1.5594533929825793E-2</v>
      </c>
      <c r="C115" s="135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09"/>
      <c r="BC115" s="109"/>
      <c r="BD115" s="109"/>
      <c r="BE115" s="109"/>
      <c r="BF115" s="109"/>
      <c r="BG115" s="109"/>
      <c r="BH115" s="109"/>
      <c r="BI115" s="109"/>
      <c r="BJ115" s="109"/>
      <c r="BK115" s="109"/>
      <c r="BL115" s="109"/>
      <c r="BM115" s="109"/>
      <c r="BN115" s="109"/>
      <c r="BO115" s="109"/>
      <c r="BP115" s="109"/>
      <c r="BQ115" s="109"/>
      <c r="BR115" s="109"/>
      <c r="BS115" s="109"/>
      <c r="BT115" s="109"/>
      <c r="BU115" s="109"/>
      <c r="BV115" s="109"/>
      <c r="BW115" s="109"/>
      <c r="BX115" s="109"/>
      <c r="BY115" s="109"/>
      <c r="BZ115" s="109"/>
    </row>
    <row r="116" spans="1:105" ht="13.95" customHeight="1">
      <c r="A116" s="173" t="s">
        <v>137</v>
      </c>
      <c r="B116" s="177">
        <f>(0.1*22500+0.16*14000)/(22500+14000)</f>
        <v>0.12301369863013699</v>
      </c>
      <c r="C116" s="135"/>
      <c r="D116" s="170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  <c r="R116" s="170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09"/>
      <c r="BC116" s="109"/>
      <c r="BD116" s="109"/>
      <c r="BE116" s="109"/>
      <c r="BF116" s="109"/>
      <c r="BG116" s="109"/>
      <c r="BH116" s="109"/>
      <c r="BI116" s="109"/>
      <c r="BJ116" s="109"/>
      <c r="BK116" s="109"/>
      <c r="BL116" s="109"/>
      <c r="BM116" s="109"/>
      <c r="BN116" s="109"/>
      <c r="BO116" s="109"/>
      <c r="BP116" s="109"/>
      <c r="BQ116" s="109"/>
      <c r="BR116" s="109"/>
      <c r="BS116" s="109"/>
      <c r="BT116" s="109"/>
      <c r="BU116" s="109"/>
      <c r="BV116" s="109"/>
      <c r="BW116" s="109"/>
      <c r="BX116" s="109"/>
      <c r="BY116" s="109"/>
      <c r="BZ116" s="109"/>
    </row>
    <row r="117" spans="1:105" ht="13.95" customHeight="1">
      <c r="A117" s="173" t="s">
        <v>138</v>
      </c>
      <c r="B117" s="177">
        <f>B116</f>
        <v>0.12301369863013699</v>
      </c>
      <c r="C117" s="135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09"/>
      <c r="BC117" s="109"/>
      <c r="BD117" s="109"/>
      <c r="BE117" s="109"/>
      <c r="BF117" s="109"/>
      <c r="BG117" s="109"/>
      <c r="BH117" s="109"/>
      <c r="BI117" s="109"/>
      <c r="BJ117" s="109"/>
      <c r="BK117" s="109"/>
      <c r="BL117" s="109"/>
      <c r="BM117" s="109"/>
      <c r="BN117" s="109"/>
      <c r="BO117" s="109"/>
      <c r="BP117" s="109"/>
      <c r="BQ117" s="109"/>
      <c r="BR117" s="109"/>
      <c r="BS117" s="109"/>
      <c r="BT117" s="109"/>
      <c r="BU117" s="109"/>
      <c r="BV117" s="109"/>
      <c r="BW117" s="109"/>
      <c r="BX117" s="109"/>
      <c r="BY117" s="109"/>
      <c r="BZ117" s="109"/>
    </row>
    <row r="118" spans="1:105" ht="13.95" customHeight="1">
      <c r="A118" s="415" t="s">
        <v>48</v>
      </c>
      <c r="B118" s="415"/>
      <c r="C118" s="135"/>
      <c r="D118" s="170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  <c r="R118" s="170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  <c r="BH118" s="109"/>
      <c r="BI118" s="109"/>
      <c r="BJ118" s="109"/>
      <c r="BK118" s="109"/>
      <c r="BL118" s="109"/>
      <c r="BM118" s="109"/>
      <c r="BN118" s="109"/>
      <c r="BO118" s="109"/>
      <c r="BP118" s="109"/>
      <c r="BQ118" s="109"/>
      <c r="BR118" s="109"/>
      <c r="BS118" s="109"/>
      <c r="BT118" s="109"/>
      <c r="BU118" s="109"/>
      <c r="BV118" s="109"/>
      <c r="BW118" s="109"/>
      <c r="BX118" s="109"/>
      <c r="BY118" s="109"/>
      <c r="BZ118" s="109"/>
    </row>
    <row r="119" spans="1:105" ht="13.95" customHeight="1">
      <c r="A119" s="170"/>
      <c r="B119" s="170"/>
      <c r="C119" s="170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09"/>
      <c r="BC119" s="109"/>
      <c r="BD119" s="109"/>
      <c r="BE119" s="109"/>
      <c r="BF119" s="109"/>
      <c r="BG119" s="109"/>
      <c r="BH119" s="109"/>
      <c r="BI119" s="109"/>
      <c r="BJ119" s="109"/>
      <c r="BK119" s="109"/>
      <c r="BL119" s="109"/>
      <c r="BM119" s="109"/>
      <c r="BN119" s="109"/>
      <c r="BO119" s="109"/>
      <c r="BP119" s="109"/>
      <c r="BQ119" s="109"/>
      <c r="BR119" s="109"/>
      <c r="BS119" s="109"/>
      <c r="BT119" s="109"/>
      <c r="BU119" s="109"/>
      <c r="BV119" s="109"/>
      <c r="BW119" s="109"/>
      <c r="BX119" s="109"/>
      <c r="BY119" s="109"/>
      <c r="BZ119" s="109"/>
    </row>
    <row r="120" spans="1:105" ht="13.95" customHeight="1">
      <c r="A120" s="170"/>
      <c r="B120" s="170"/>
      <c r="C120" s="170"/>
      <c r="D120" s="170"/>
      <c r="E120" s="170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  <c r="R120" s="170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09"/>
      <c r="BC120" s="109"/>
      <c r="BD120" s="109"/>
      <c r="BE120" s="109"/>
      <c r="BF120" s="109"/>
      <c r="BG120" s="109"/>
      <c r="BH120" s="109"/>
      <c r="BI120" s="109"/>
      <c r="BJ120" s="109"/>
      <c r="BK120" s="109"/>
      <c r="BL120" s="109"/>
      <c r="BM120" s="109"/>
      <c r="BN120" s="109"/>
      <c r="BO120" s="109"/>
      <c r="BP120" s="109"/>
      <c r="BQ120" s="109"/>
      <c r="BR120" s="109"/>
      <c r="BS120" s="109"/>
      <c r="BT120" s="109"/>
      <c r="BU120" s="109"/>
      <c r="BV120" s="109"/>
      <c r="BW120" s="109"/>
      <c r="BX120" s="109"/>
      <c r="BY120" s="109"/>
      <c r="BZ120" s="109"/>
    </row>
    <row r="121" spans="1:105" ht="13.95" customHeight="1">
      <c r="A121" s="417" t="s">
        <v>139</v>
      </c>
      <c r="B121" s="417"/>
      <c r="C121" s="417"/>
      <c r="D121" s="170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  <c r="AT121" s="109"/>
      <c r="AU121" s="109"/>
      <c r="AV121" s="109"/>
      <c r="AW121" s="109"/>
      <c r="AX121" s="109"/>
      <c r="AY121" s="109"/>
      <c r="AZ121" s="109"/>
      <c r="BA121" s="109"/>
      <c r="BB121" s="109"/>
      <c r="BC121" s="109"/>
      <c r="BD121" s="109"/>
      <c r="BE121" s="109"/>
      <c r="BF121" s="109"/>
      <c r="BG121" s="109"/>
      <c r="BH121" s="109"/>
      <c r="BI121" s="109"/>
      <c r="BJ121" s="109"/>
      <c r="BK121" s="109"/>
      <c r="BL121" s="109"/>
      <c r="BM121" s="109"/>
      <c r="BN121" s="109"/>
      <c r="BO121" s="109"/>
      <c r="BP121" s="109"/>
      <c r="BQ121" s="109"/>
      <c r="BR121" s="109"/>
      <c r="BS121" s="109"/>
      <c r="BT121" s="109"/>
      <c r="BU121" s="109"/>
      <c r="BV121" s="109"/>
      <c r="BW121" s="109"/>
      <c r="BX121" s="109"/>
      <c r="BY121" s="109"/>
      <c r="BZ121" s="109"/>
    </row>
    <row r="122" spans="1:105" ht="13.95" customHeight="1">
      <c r="A122" s="181"/>
      <c r="B122" s="152" t="s">
        <v>105</v>
      </c>
      <c r="C122" s="152" t="s">
        <v>54</v>
      </c>
      <c r="D122" s="170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  <c r="AV122" s="109"/>
      <c r="AW122" s="109"/>
      <c r="AX122" s="109"/>
      <c r="AY122" s="109"/>
      <c r="AZ122" s="109"/>
      <c r="BA122" s="109"/>
      <c r="BB122" s="109"/>
      <c r="BC122" s="109"/>
      <c r="BD122" s="109"/>
      <c r="BE122" s="109"/>
      <c r="BF122" s="109"/>
      <c r="BG122" s="109"/>
      <c r="BH122" s="109"/>
      <c r="BI122" s="109"/>
      <c r="BJ122" s="109"/>
      <c r="BK122" s="109"/>
      <c r="BL122" s="109"/>
      <c r="BM122" s="109"/>
      <c r="BN122" s="109"/>
      <c r="BO122" s="109"/>
      <c r="BP122" s="109"/>
      <c r="BQ122" s="109"/>
      <c r="BR122" s="109"/>
      <c r="BS122" s="109"/>
      <c r="BT122" s="109"/>
      <c r="BU122" s="109"/>
      <c r="BV122" s="109"/>
      <c r="BW122" s="109"/>
      <c r="BX122" s="109"/>
      <c r="BY122" s="109"/>
      <c r="BZ122" s="109"/>
    </row>
    <row r="123" spans="1:105" ht="13.95" customHeight="1">
      <c r="A123" s="178" t="s">
        <v>140</v>
      </c>
      <c r="B123" s="179">
        <v>25.91</v>
      </c>
      <c r="C123" s="179">
        <v>25.91</v>
      </c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09"/>
      <c r="AX123" s="109"/>
      <c r="AY123" s="109"/>
      <c r="AZ123" s="109"/>
      <c r="BA123" s="109"/>
      <c r="BB123" s="109"/>
      <c r="BC123" s="109"/>
      <c r="BD123" s="109"/>
      <c r="BE123" s="109"/>
      <c r="BF123" s="109"/>
      <c r="BG123" s="109"/>
      <c r="BH123" s="109"/>
      <c r="BI123" s="109"/>
      <c r="BJ123" s="109"/>
      <c r="BK123" s="109"/>
      <c r="BL123" s="109"/>
      <c r="BM123" s="109"/>
      <c r="BN123" s="109"/>
      <c r="BO123" s="109"/>
      <c r="BP123" s="109"/>
      <c r="BQ123" s="109"/>
      <c r="BR123" s="109"/>
      <c r="BS123" s="109"/>
      <c r="BT123" s="109"/>
      <c r="BU123" s="109"/>
      <c r="BV123" s="109"/>
      <c r="BW123" s="109"/>
      <c r="BX123" s="109"/>
      <c r="BY123" s="109"/>
      <c r="BZ123" s="109"/>
    </row>
    <row r="124" spans="1:105" ht="13.95" customHeight="1">
      <c r="A124" s="178" t="s">
        <v>141</v>
      </c>
      <c r="B124" s="179">
        <v>65</v>
      </c>
      <c r="C124" s="179">
        <v>70</v>
      </c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09"/>
      <c r="AK124" s="109"/>
      <c r="AL124" s="109"/>
      <c r="AM124" s="109"/>
      <c r="AN124" s="109"/>
      <c r="AO124" s="109"/>
      <c r="AP124" s="109"/>
      <c r="AQ124" s="109"/>
      <c r="AR124" s="109"/>
      <c r="AS124" s="109"/>
      <c r="AT124" s="109"/>
      <c r="AU124" s="109"/>
      <c r="AV124" s="109"/>
      <c r="AW124" s="109"/>
      <c r="AX124" s="109"/>
      <c r="AY124" s="109"/>
      <c r="AZ124" s="109"/>
      <c r="BA124" s="109"/>
      <c r="BB124" s="109"/>
      <c r="BC124" s="109"/>
      <c r="BD124" s="109"/>
      <c r="BE124" s="109"/>
      <c r="BF124" s="109"/>
      <c r="BG124" s="109"/>
      <c r="BH124" s="109"/>
      <c r="BI124" s="109"/>
      <c r="BJ124" s="109"/>
      <c r="BK124" s="109"/>
      <c r="BL124" s="109"/>
      <c r="BM124" s="109"/>
      <c r="BN124" s="109"/>
      <c r="BO124" s="109"/>
      <c r="BP124" s="109"/>
      <c r="BQ124" s="109"/>
      <c r="BR124" s="109"/>
      <c r="BS124" s="109"/>
      <c r="BT124" s="109"/>
      <c r="BU124" s="109"/>
      <c r="BV124" s="109"/>
      <c r="BW124" s="109"/>
      <c r="BX124" s="109"/>
      <c r="BY124" s="109"/>
      <c r="BZ124" s="109"/>
    </row>
    <row r="125" spans="1:105" ht="13.95" customHeight="1">
      <c r="A125" s="178" t="s">
        <v>142</v>
      </c>
      <c r="B125" s="179">
        <f>24/60</f>
        <v>0.4</v>
      </c>
      <c r="C125" s="179">
        <f>C123/C124</f>
        <v>0.37014285714285716</v>
      </c>
      <c r="D125" s="170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  <c r="AG125" s="109"/>
      <c r="AH125" s="109"/>
      <c r="AI125" s="109"/>
      <c r="AJ125" s="109"/>
      <c r="AK125" s="109"/>
      <c r="AL125" s="109"/>
      <c r="AM125" s="109"/>
      <c r="AN125" s="109"/>
      <c r="AO125" s="109"/>
      <c r="AP125" s="109"/>
      <c r="AQ125" s="109"/>
      <c r="AR125" s="109"/>
      <c r="AS125" s="109"/>
      <c r="AT125" s="109"/>
      <c r="AU125" s="109"/>
      <c r="AV125" s="109"/>
      <c r="AW125" s="109"/>
      <c r="AX125" s="109"/>
      <c r="AY125" s="109"/>
      <c r="AZ125" s="109"/>
      <c r="BA125" s="109"/>
      <c r="BB125" s="109"/>
      <c r="BC125" s="109"/>
      <c r="BD125" s="109"/>
      <c r="BE125" s="109"/>
      <c r="BF125" s="109"/>
      <c r="BG125" s="109"/>
      <c r="BH125" s="109"/>
      <c r="BI125" s="109"/>
      <c r="BJ125" s="109"/>
      <c r="BK125" s="109"/>
      <c r="BL125" s="109"/>
      <c r="BM125" s="109"/>
      <c r="BN125" s="109"/>
      <c r="BO125" s="109"/>
      <c r="BP125" s="109"/>
      <c r="BQ125" s="109"/>
      <c r="BR125" s="109"/>
      <c r="BS125" s="109"/>
      <c r="BT125" s="109"/>
      <c r="BU125" s="109"/>
      <c r="BV125" s="109"/>
      <c r="BW125" s="109"/>
      <c r="BX125" s="109"/>
      <c r="BY125" s="109"/>
      <c r="BZ125" s="109"/>
    </row>
    <row r="126" spans="1:105" ht="13.95" customHeight="1">
      <c r="A126" s="289" t="s">
        <v>190</v>
      </c>
      <c r="B126" s="290"/>
      <c r="C126" s="290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09"/>
      <c r="BQ126" s="109"/>
      <c r="BR126" s="109"/>
      <c r="BS126" s="109"/>
      <c r="BT126" s="109"/>
      <c r="BU126" s="109"/>
      <c r="BV126" s="109"/>
      <c r="BW126" s="109"/>
      <c r="BX126" s="109"/>
      <c r="BY126" s="109"/>
      <c r="BZ126" s="109"/>
    </row>
    <row r="127" spans="1:105" ht="13.95" customHeight="1">
      <c r="A127" s="170"/>
      <c r="B127" s="170"/>
      <c r="C127" s="170"/>
      <c r="D127" s="170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9"/>
      <c r="AO127" s="109"/>
      <c r="AP127" s="109"/>
      <c r="AQ127" s="109"/>
      <c r="AR127" s="109"/>
      <c r="AS127" s="109"/>
      <c r="AT127" s="109"/>
      <c r="AU127" s="109"/>
      <c r="AV127" s="109"/>
      <c r="AW127" s="109"/>
      <c r="AX127" s="109"/>
      <c r="AY127" s="109"/>
      <c r="AZ127" s="109"/>
      <c r="BA127" s="109"/>
      <c r="BB127" s="109"/>
      <c r="BC127" s="109"/>
      <c r="BD127" s="109"/>
      <c r="BE127" s="109"/>
      <c r="BF127" s="109"/>
      <c r="BG127" s="109"/>
      <c r="BH127" s="109"/>
      <c r="BI127" s="109"/>
      <c r="BJ127" s="109"/>
      <c r="BK127" s="109"/>
      <c r="BL127" s="109"/>
      <c r="BM127" s="109"/>
      <c r="BN127" s="109"/>
      <c r="BO127" s="109"/>
      <c r="BP127" s="109"/>
      <c r="BQ127" s="109"/>
      <c r="BR127" s="109"/>
      <c r="BS127" s="109"/>
      <c r="BT127" s="109"/>
      <c r="BU127" s="109"/>
      <c r="BV127" s="109"/>
      <c r="BW127" s="109"/>
      <c r="BX127" s="109"/>
      <c r="BY127" s="109"/>
      <c r="BZ127" s="109"/>
    </row>
    <row r="128" spans="1:105" ht="13.95" customHeight="1">
      <c r="A128" s="435" t="s">
        <v>143</v>
      </c>
      <c r="B128" s="435"/>
      <c r="C128" s="251"/>
      <c r="D128" s="169"/>
      <c r="E128" s="182"/>
      <c r="F128" s="121"/>
      <c r="G128" s="121"/>
      <c r="H128" s="183"/>
      <c r="I128" s="121"/>
      <c r="J128" s="121"/>
      <c r="K128" s="170"/>
      <c r="L128" s="170"/>
      <c r="M128" s="170"/>
      <c r="N128" s="170"/>
      <c r="O128" s="172"/>
      <c r="P128" s="172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09"/>
      <c r="BH128" s="109"/>
      <c r="BI128" s="109"/>
      <c r="BJ128" s="109"/>
      <c r="BK128" s="109"/>
      <c r="BL128" s="109"/>
      <c r="BM128" s="109"/>
      <c r="BN128" s="109"/>
      <c r="BO128" s="109"/>
      <c r="BP128" s="109"/>
      <c r="BQ128" s="109"/>
      <c r="BR128" s="109"/>
      <c r="BS128" s="109"/>
      <c r="BT128" s="109"/>
      <c r="BU128" s="109"/>
      <c r="BV128" s="109"/>
      <c r="BW128" s="109"/>
      <c r="BX128" s="109"/>
      <c r="BY128" s="109"/>
      <c r="BZ128" s="109"/>
      <c r="DA128" s="109"/>
    </row>
    <row r="129" spans="1:105" ht="13.95" customHeight="1">
      <c r="A129" s="178" t="s">
        <v>144</v>
      </c>
      <c r="B129" s="264">
        <v>33.6</v>
      </c>
      <c r="C129" s="251"/>
      <c r="D129" s="182"/>
      <c r="E129" s="183"/>
      <c r="F129" s="121"/>
      <c r="G129" s="121"/>
      <c r="H129" s="183"/>
      <c r="I129" s="121"/>
      <c r="J129" s="121"/>
      <c r="K129" s="170"/>
      <c r="L129" s="170"/>
      <c r="M129" s="170"/>
      <c r="N129" s="170"/>
      <c r="O129" s="172"/>
      <c r="P129" s="172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  <c r="AG129" s="109"/>
      <c r="AH129" s="109"/>
      <c r="AI129" s="109"/>
      <c r="AJ129" s="109"/>
      <c r="AK129" s="109"/>
      <c r="AL129" s="109"/>
      <c r="AM129" s="109"/>
      <c r="AN129" s="109"/>
      <c r="AO129" s="109"/>
      <c r="AP129" s="109"/>
      <c r="AQ129" s="109"/>
      <c r="AR129" s="109"/>
      <c r="AS129" s="109"/>
      <c r="AT129" s="109"/>
      <c r="AU129" s="109"/>
      <c r="AV129" s="109"/>
      <c r="AW129" s="109"/>
      <c r="AX129" s="109"/>
      <c r="AY129" s="109"/>
      <c r="AZ129" s="109"/>
      <c r="BA129" s="109"/>
      <c r="BB129" s="109"/>
      <c r="BC129" s="109"/>
      <c r="BD129" s="109"/>
      <c r="BE129" s="109"/>
      <c r="BF129" s="109"/>
      <c r="BG129" s="109"/>
      <c r="BH129" s="109"/>
      <c r="BI129" s="109"/>
      <c r="BJ129" s="109"/>
      <c r="BK129" s="109"/>
      <c r="BL129" s="109"/>
      <c r="BM129" s="109"/>
      <c r="BN129" s="109"/>
      <c r="BO129" s="109"/>
      <c r="BP129" s="109"/>
      <c r="BQ129" s="109"/>
      <c r="BR129" s="109"/>
      <c r="BS129" s="109"/>
      <c r="BT129" s="109"/>
      <c r="BU129" s="109"/>
      <c r="BV129" s="109"/>
      <c r="BW129" s="109"/>
      <c r="BX129" s="109"/>
      <c r="BY129" s="109"/>
      <c r="BZ129" s="109"/>
      <c r="DA129" s="109"/>
    </row>
    <row r="130" spans="1:105" ht="13.95" customHeight="1">
      <c r="A130" s="178" t="s">
        <v>145</v>
      </c>
      <c r="B130" s="264">
        <v>17.8</v>
      </c>
      <c r="C130" s="251"/>
      <c r="D130" s="182"/>
      <c r="E130" s="182"/>
      <c r="F130" s="121"/>
      <c r="G130" s="121"/>
      <c r="H130" s="183"/>
      <c r="I130" s="121"/>
      <c r="J130" s="121"/>
      <c r="K130" s="170"/>
      <c r="L130" s="170"/>
      <c r="M130" s="170"/>
      <c r="N130" s="170"/>
      <c r="O130" s="170"/>
      <c r="P130" s="170"/>
      <c r="Q130" s="170"/>
      <c r="R130" s="184"/>
      <c r="S130" s="171"/>
      <c r="T130" s="171"/>
      <c r="U130" s="171"/>
      <c r="V130" s="172"/>
      <c r="W130" s="172"/>
      <c r="X130" s="172"/>
      <c r="Y130" s="109"/>
      <c r="Z130" s="109"/>
      <c r="AA130" s="109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9"/>
      <c r="AO130" s="109"/>
      <c r="AP130" s="109"/>
      <c r="AQ130" s="109"/>
      <c r="AR130" s="109"/>
      <c r="AS130" s="109"/>
      <c r="AT130" s="109"/>
      <c r="AU130" s="109"/>
      <c r="AV130" s="109"/>
      <c r="AW130" s="109"/>
      <c r="AX130" s="109"/>
      <c r="AY130" s="109"/>
      <c r="AZ130" s="109"/>
      <c r="BA130" s="109"/>
      <c r="BB130" s="109"/>
      <c r="BC130" s="109"/>
      <c r="BD130" s="109"/>
      <c r="BE130" s="109"/>
      <c r="BF130" s="109"/>
      <c r="BG130" s="109"/>
      <c r="BH130" s="109"/>
      <c r="BI130" s="109"/>
      <c r="BJ130" s="109"/>
      <c r="BK130" s="109"/>
      <c r="BL130" s="109"/>
      <c r="BM130" s="109"/>
      <c r="BN130" s="109"/>
      <c r="BO130" s="109"/>
      <c r="BP130" s="109"/>
      <c r="BQ130" s="109"/>
      <c r="BR130" s="109"/>
      <c r="BS130" s="109"/>
      <c r="BT130" s="109"/>
      <c r="BU130" s="109"/>
      <c r="BV130" s="109"/>
      <c r="BW130" s="109"/>
      <c r="BX130" s="109"/>
      <c r="BY130" s="109"/>
      <c r="BZ130" s="109"/>
      <c r="DA130" s="109"/>
    </row>
    <row r="131" spans="1:105">
      <c r="A131" s="430"/>
      <c r="B131" s="430"/>
      <c r="C131" s="185"/>
      <c r="D131" s="180"/>
      <c r="E131" s="182"/>
      <c r="F131" s="167"/>
      <c r="G131" s="165"/>
      <c r="H131" s="183"/>
      <c r="I131" s="121"/>
      <c r="J131" s="121"/>
      <c r="K131" s="170"/>
      <c r="L131" s="170"/>
      <c r="M131" s="170"/>
      <c r="N131" s="170"/>
      <c r="O131" s="110"/>
      <c r="P131" s="186"/>
      <c r="Q131" s="110"/>
      <c r="R131" s="186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/>
      <c r="AL131" s="109"/>
      <c r="AM131" s="109"/>
      <c r="AN131" s="109"/>
      <c r="AO131" s="109"/>
      <c r="AP131" s="109"/>
      <c r="AQ131" s="109"/>
      <c r="AR131" s="109"/>
      <c r="AS131" s="109"/>
      <c r="AT131" s="109"/>
      <c r="AU131" s="109"/>
      <c r="AV131" s="109"/>
      <c r="AW131" s="109"/>
      <c r="AX131" s="109"/>
      <c r="AY131" s="109"/>
      <c r="AZ131" s="109"/>
      <c r="BA131" s="109"/>
      <c r="BB131" s="109"/>
      <c r="BC131" s="109"/>
      <c r="BD131" s="109"/>
      <c r="BE131" s="109"/>
      <c r="BF131" s="109"/>
      <c r="BG131" s="109"/>
      <c r="BH131" s="109"/>
      <c r="BI131" s="109"/>
      <c r="BJ131" s="109"/>
      <c r="BK131" s="109"/>
      <c r="BL131" s="109"/>
      <c r="BM131" s="109"/>
      <c r="BN131" s="109"/>
      <c r="BO131" s="109"/>
      <c r="BP131" s="109"/>
      <c r="BQ131" s="109"/>
      <c r="BR131" s="109"/>
      <c r="BS131" s="109"/>
      <c r="BT131" s="109"/>
      <c r="BU131" s="109"/>
      <c r="BV131" s="109"/>
      <c r="BW131" s="109"/>
      <c r="BX131" s="109"/>
      <c r="BY131" s="109"/>
      <c r="BZ131" s="109"/>
      <c r="DA131" s="109"/>
    </row>
    <row r="132" spans="1:105">
      <c r="A132" s="178" t="s">
        <v>146</v>
      </c>
      <c r="B132" s="264">
        <v>0.94</v>
      </c>
      <c r="C132" s="251"/>
      <c r="D132" s="182"/>
      <c r="E132" s="109"/>
      <c r="F132" s="121"/>
      <c r="G132" s="121"/>
      <c r="H132" s="183"/>
      <c r="I132" s="121"/>
      <c r="J132" s="121"/>
      <c r="K132" s="170"/>
      <c r="L132" s="170"/>
      <c r="M132" s="170"/>
      <c r="N132" s="170"/>
      <c r="O132" s="110"/>
      <c r="P132" s="186"/>
      <c r="Q132" s="110"/>
      <c r="R132" s="186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  <c r="AG132" s="109"/>
      <c r="AH132" s="109"/>
      <c r="AI132" s="109"/>
      <c r="AJ132" s="109"/>
      <c r="AK132" s="109"/>
      <c r="AL132" s="109"/>
      <c r="AM132" s="109"/>
      <c r="AN132" s="109"/>
      <c r="AO132" s="109"/>
      <c r="AP132" s="109"/>
      <c r="AQ132" s="109"/>
      <c r="AR132" s="109"/>
      <c r="AS132" s="109"/>
      <c r="AT132" s="109"/>
      <c r="AU132" s="109"/>
      <c r="AV132" s="109"/>
      <c r="AW132" s="109"/>
      <c r="AX132" s="109"/>
      <c r="AY132" s="109"/>
      <c r="AZ132" s="109"/>
      <c r="BA132" s="109"/>
      <c r="BB132" s="109"/>
      <c r="BC132" s="109"/>
      <c r="BD132" s="109"/>
      <c r="BE132" s="109"/>
      <c r="BF132" s="109"/>
      <c r="BG132" s="109"/>
      <c r="BH132" s="109"/>
      <c r="BI132" s="109"/>
      <c r="BJ132" s="109"/>
      <c r="BK132" s="109"/>
      <c r="BL132" s="109"/>
      <c r="BM132" s="109"/>
      <c r="BN132" s="109"/>
      <c r="BO132" s="109"/>
      <c r="BP132" s="109"/>
      <c r="BQ132" s="109"/>
      <c r="BR132" s="109"/>
      <c r="BS132" s="109"/>
      <c r="BT132" s="109"/>
      <c r="BU132" s="109"/>
      <c r="BV132" s="109"/>
      <c r="BW132" s="109"/>
      <c r="BX132" s="109"/>
      <c r="BY132" s="109"/>
      <c r="BZ132" s="109"/>
      <c r="DA132" s="109"/>
    </row>
    <row r="133" spans="1:105">
      <c r="A133" s="178" t="s">
        <v>147</v>
      </c>
      <c r="B133" s="264">
        <v>0.45</v>
      </c>
      <c r="C133" s="251"/>
      <c r="D133" s="182"/>
      <c r="E133" s="109"/>
      <c r="F133" s="109"/>
      <c r="G133" s="109"/>
      <c r="H133" s="183"/>
      <c r="I133" s="167"/>
      <c r="J133" s="165"/>
      <c r="K133" s="170"/>
      <c r="L133" s="170"/>
      <c r="M133" s="170"/>
      <c r="N133" s="170"/>
      <c r="O133" s="110"/>
      <c r="P133" s="186"/>
      <c r="Q133" s="110"/>
      <c r="R133" s="186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/>
      <c r="AL133" s="109"/>
      <c r="AM133" s="109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109"/>
      <c r="BD133" s="109"/>
      <c r="BE133" s="109"/>
      <c r="BF133" s="109"/>
      <c r="BG133" s="109"/>
      <c r="BH133" s="109"/>
      <c r="BI133" s="109"/>
      <c r="BJ133" s="109"/>
      <c r="BK133" s="109"/>
      <c r="BL133" s="109"/>
      <c r="BM133" s="109"/>
      <c r="BN133" s="109"/>
      <c r="BO133" s="109"/>
      <c r="BP133" s="109"/>
      <c r="BQ133" s="109"/>
      <c r="BR133" s="109"/>
      <c r="BS133" s="109"/>
      <c r="BT133" s="109"/>
      <c r="BU133" s="109"/>
      <c r="BV133" s="109"/>
      <c r="BW133" s="109"/>
      <c r="BX133" s="109"/>
      <c r="BY133" s="109"/>
      <c r="BZ133" s="109"/>
      <c r="DA133" s="109"/>
    </row>
    <row r="134" spans="1:105">
      <c r="A134" s="109" t="s">
        <v>148</v>
      </c>
      <c r="B134" s="109"/>
      <c r="C134" s="109"/>
      <c r="D134" s="109"/>
      <c r="E134" s="109"/>
      <c r="F134" s="109"/>
      <c r="G134" s="109"/>
      <c r="H134" s="121"/>
      <c r="I134" s="121"/>
      <c r="J134" s="121"/>
      <c r="K134" s="170"/>
      <c r="L134" s="170"/>
      <c r="M134" s="170"/>
      <c r="N134" s="170"/>
      <c r="O134" s="186"/>
      <c r="P134" s="110"/>
      <c r="Q134" s="186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109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09"/>
      <c r="AX134" s="109"/>
      <c r="AY134" s="109"/>
      <c r="AZ134" s="109"/>
      <c r="BA134" s="109"/>
      <c r="BB134" s="109"/>
      <c r="BC134" s="109"/>
      <c r="BD134" s="109"/>
      <c r="BE134" s="109"/>
      <c r="BF134" s="109"/>
      <c r="BG134" s="109"/>
      <c r="BH134" s="109"/>
      <c r="BI134" s="109"/>
      <c r="BJ134" s="109"/>
      <c r="BK134" s="109"/>
      <c r="BL134" s="109"/>
      <c r="BM134" s="109"/>
      <c r="BN134" s="109"/>
      <c r="BO134" s="109"/>
      <c r="BP134" s="109"/>
      <c r="BQ134" s="109"/>
      <c r="BR134" s="109"/>
      <c r="BS134" s="109"/>
      <c r="BT134" s="109"/>
      <c r="BU134" s="109"/>
      <c r="BV134" s="109"/>
      <c r="BW134" s="109"/>
      <c r="BX134" s="109"/>
      <c r="BY134" s="109"/>
      <c r="BZ134" s="109"/>
    </row>
    <row r="135" spans="1:105" ht="13.2" customHeight="1">
      <c r="A135" s="109"/>
      <c r="B135" s="109"/>
      <c r="C135" s="109"/>
      <c r="D135" s="109"/>
      <c r="E135" s="109"/>
      <c r="F135" s="109"/>
      <c r="G135" s="109"/>
      <c r="H135" s="109"/>
      <c r="I135" s="109"/>
      <c r="J135" s="109"/>
      <c r="K135" s="121"/>
      <c r="L135" s="180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  <c r="AG135" s="109"/>
      <c r="AH135" s="109"/>
      <c r="AI135" s="109"/>
      <c r="AJ135" s="109"/>
      <c r="AK135" s="109"/>
      <c r="AL135" s="109"/>
      <c r="AM135" s="109"/>
      <c r="AN135" s="109"/>
      <c r="AO135" s="109"/>
      <c r="AP135" s="109"/>
      <c r="AQ135" s="109"/>
      <c r="AR135" s="109"/>
      <c r="AS135" s="109"/>
      <c r="AT135" s="109"/>
      <c r="AU135" s="109"/>
      <c r="AV135" s="109"/>
      <c r="AW135" s="109"/>
      <c r="AX135" s="109"/>
      <c r="AY135" s="109"/>
      <c r="AZ135" s="109"/>
      <c r="BA135" s="109"/>
      <c r="BB135" s="109"/>
      <c r="BC135" s="109"/>
      <c r="BD135" s="109"/>
      <c r="BE135" s="109"/>
      <c r="BF135" s="109"/>
      <c r="BG135" s="109"/>
      <c r="BH135" s="109"/>
      <c r="BI135" s="109"/>
      <c r="BJ135" s="109"/>
      <c r="BK135" s="109"/>
      <c r="BL135" s="109"/>
      <c r="BM135" s="109"/>
      <c r="BN135" s="109"/>
      <c r="BO135" s="109"/>
      <c r="BP135" s="109"/>
      <c r="BQ135" s="109"/>
      <c r="BR135" s="109"/>
      <c r="BS135" s="109"/>
      <c r="BT135" s="109"/>
      <c r="BU135" s="109"/>
      <c r="BV135" s="109"/>
      <c r="BW135" s="109"/>
      <c r="BX135" s="109"/>
      <c r="BY135" s="109"/>
      <c r="BZ135" s="109"/>
    </row>
    <row r="136" spans="1:105" ht="13.2" customHeight="1">
      <c r="A136" s="109"/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80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  <c r="AG136" s="109"/>
      <c r="AH136" s="109"/>
      <c r="AI136" s="109"/>
      <c r="AJ136" s="109"/>
      <c r="AK136" s="109"/>
      <c r="AL136" s="109"/>
      <c r="AM136" s="109"/>
      <c r="AN136" s="109"/>
      <c r="AO136" s="109"/>
      <c r="AP136" s="109"/>
      <c r="AQ136" s="109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09"/>
      <c r="BC136" s="109"/>
      <c r="BD136" s="109"/>
      <c r="BE136" s="109"/>
      <c r="BF136" s="109"/>
      <c r="BG136" s="109"/>
      <c r="BH136" s="109"/>
      <c r="BI136" s="109"/>
      <c r="BJ136" s="109"/>
      <c r="BK136" s="109"/>
      <c r="BL136" s="109"/>
      <c r="BM136" s="109"/>
      <c r="BN136" s="109"/>
      <c r="BO136" s="109"/>
      <c r="BP136" s="109"/>
      <c r="BQ136" s="109"/>
      <c r="BR136" s="109"/>
      <c r="BS136" s="109"/>
      <c r="BT136" s="109"/>
      <c r="BU136" s="109"/>
      <c r="BV136" s="109"/>
      <c r="BW136" s="109"/>
      <c r="BX136" s="109"/>
      <c r="BY136" s="109"/>
      <c r="BZ136" s="109"/>
    </row>
    <row r="137" spans="1:105">
      <c r="A137" s="109"/>
      <c r="B137" s="109"/>
      <c r="C137" s="109"/>
      <c r="D137" s="109"/>
      <c r="E137" s="109"/>
      <c r="F137" s="109"/>
      <c r="G137" s="109"/>
      <c r="H137" s="109"/>
      <c r="I137" s="109"/>
      <c r="J137" s="109"/>
      <c r="K137" s="121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  <c r="AG137" s="109"/>
      <c r="AH137" s="109"/>
      <c r="AI137" s="109"/>
      <c r="AJ137" s="109"/>
      <c r="AK137" s="109"/>
      <c r="AL137" s="109"/>
      <c r="AM137" s="109"/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109"/>
      <c r="AY137" s="109"/>
      <c r="AZ137" s="109"/>
      <c r="BA137" s="109"/>
      <c r="BB137" s="109"/>
      <c r="BC137" s="109"/>
      <c r="BD137" s="109"/>
      <c r="BE137" s="109"/>
      <c r="BF137" s="109"/>
      <c r="BG137" s="109"/>
      <c r="BH137" s="109"/>
      <c r="BI137" s="109"/>
      <c r="BJ137" s="109"/>
      <c r="BK137" s="109"/>
      <c r="BL137" s="109"/>
      <c r="BM137" s="109"/>
      <c r="BN137" s="109"/>
      <c r="BO137" s="109"/>
      <c r="BP137" s="109"/>
      <c r="BQ137" s="109"/>
      <c r="BR137" s="109"/>
      <c r="BS137" s="109"/>
      <c r="BT137" s="109"/>
      <c r="BU137" s="109"/>
      <c r="BV137" s="109"/>
      <c r="BW137" s="109"/>
      <c r="BX137" s="109"/>
      <c r="BY137" s="109"/>
      <c r="BZ137" s="109"/>
    </row>
    <row r="138" spans="1:105">
      <c r="A138" s="109"/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9"/>
      <c r="AG138" s="109"/>
      <c r="AH138" s="109"/>
      <c r="AI138" s="109"/>
      <c r="AJ138" s="109"/>
      <c r="AK138" s="109"/>
      <c r="AL138" s="109"/>
      <c r="AM138" s="109"/>
      <c r="AN138" s="109"/>
      <c r="AO138" s="109"/>
      <c r="AP138" s="109"/>
      <c r="AQ138" s="109"/>
      <c r="AR138" s="109"/>
      <c r="AS138" s="109"/>
      <c r="AT138" s="109"/>
      <c r="AU138" s="109"/>
      <c r="AV138" s="109"/>
      <c r="AW138" s="109"/>
      <c r="AX138" s="109"/>
      <c r="AY138" s="109"/>
      <c r="AZ138" s="109"/>
      <c r="BA138" s="109"/>
      <c r="BB138" s="109"/>
      <c r="BC138" s="109"/>
      <c r="BD138" s="109"/>
      <c r="BE138" s="109"/>
      <c r="BF138" s="109"/>
      <c r="BG138" s="109"/>
      <c r="BH138" s="109"/>
      <c r="BI138" s="109"/>
      <c r="BJ138" s="109"/>
      <c r="BK138" s="109"/>
      <c r="BL138" s="109"/>
      <c r="BM138" s="109"/>
      <c r="BN138" s="109"/>
      <c r="BO138" s="109"/>
      <c r="BP138" s="109"/>
      <c r="BQ138" s="109"/>
      <c r="BR138" s="109"/>
      <c r="BS138" s="109"/>
      <c r="BT138" s="109"/>
      <c r="BU138" s="109"/>
      <c r="BV138" s="109"/>
      <c r="BW138" s="109"/>
      <c r="BX138" s="109"/>
      <c r="BY138" s="109"/>
      <c r="BZ138" s="109"/>
    </row>
    <row r="139" spans="1:105">
      <c r="A139" s="109"/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09"/>
      <c r="AG139" s="109"/>
      <c r="AH139" s="109"/>
      <c r="AI139" s="109"/>
      <c r="AJ139" s="109"/>
      <c r="AK139" s="109"/>
      <c r="AL139" s="109"/>
      <c r="AM139" s="109"/>
      <c r="AN139" s="109"/>
      <c r="AO139" s="109"/>
      <c r="AP139" s="109"/>
      <c r="AQ139" s="109"/>
      <c r="AR139" s="109"/>
      <c r="AS139" s="109"/>
      <c r="AT139" s="109"/>
      <c r="AU139" s="109"/>
      <c r="AV139" s="109"/>
      <c r="AW139" s="109"/>
      <c r="AX139" s="109"/>
      <c r="AY139" s="109"/>
      <c r="AZ139" s="109"/>
      <c r="BA139" s="109"/>
      <c r="BB139" s="109"/>
      <c r="BC139" s="109"/>
      <c r="BD139" s="109"/>
      <c r="BE139" s="109"/>
      <c r="BF139" s="109"/>
      <c r="BG139" s="109"/>
      <c r="BH139" s="109"/>
      <c r="BI139" s="109"/>
      <c r="BJ139" s="109"/>
      <c r="BK139" s="109"/>
      <c r="BL139" s="109"/>
      <c r="BM139" s="109"/>
      <c r="BN139" s="109"/>
      <c r="BO139" s="109"/>
      <c r="BP139" s="109"/>
      <c r="BQ139" s="109"/>
      <c r="BR139" s="109"/>
      <c r="BS139" s="109"/>
      <c r="BT139" s="109"/>
      <c r="BU139" s="109"/>
      <c r="BV139" s="109"/>
      <c r="BW139" s="109"/>
      <c r="BX139" s="109"/>
      <c r="BY139" s="109"/>
      <c r="BZ139" s="109"/>
    </row>
    <row r="140" spans="1:105">
      <c r="A140" s="109"/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  <c r="AB140" s="109"/>
      <c r="AC140" s="109"/>
      <c r="AD140" s="109"/>
      <c r="AE140" s="109"/>
      <c r="AF140" s="109"/>
      <c r="AG140" s="109"/>
      <c r="AH140" s="109"/>
      <c r="AI140" s="109"/>
      <c r="AJ140" s="109"/>
      <c r="AK140" s="109"/>
      <c r="AL140" s="109"/>
      <c r="AM140" s="109"/>
      <c r="AN140" s="109"/>
      <c r="AO140" s="109"/>
      <c r="AP140" s="109"/>
      <c r="AQ140" s="109"/>
      <c r="AR140" s="109"/>
      <c r="AS140" s="109"/>
      <c r="AT140" s="109"/>
      <c r="AU140" s="109"/>
      <c r="AV140" s="109"/>
      <c r="AW140" s="109"/>
      <c r="AX140" s="109"/>
      <c r="AY140" s="109"/>
      <c r="AZ140" s="109"/>
      <c r="BA140" s="109"/>
      <c r="BB140" s="109"/>
      <c r="BC140" s="109"/>
      <c r="BD140" s="109"/>
      <c r="BE140" s="109"/>
      <c r="BF140" s="109"/>
      <c r="BG140" s="109"/>
      <c r="BH140" s="109"/>
      <c r="BI140" s="109"/>
      <c r="BJ140" s="109"/>
      <c r="BK140" s="109"/>
      <c r="BL140" s="109"/>
      <c r="BM140" s="109"/>
      <c r="BN140" s="109"/>
      <c r="BO140" s="109"/>
      <c r="BP140" s="109"/>
      <c r="BQ140" s="109"/>
      <c r="BR140" s="109"/>
      <c r="BS140" s="109"/>
      <c r="BT140" s="109"/>
      <c r="BU140" s="109"/>
      <c r="BV140" s="109"/>
      <c r="BW140" s="109"/>
      <c r="BX140" s="109"/>
      <c r="BY140" s="109"/>
      <c r="BZ140" s="109"/>
    </row>
    <row r="141" spans="1:105">
      <c r="A141" s="109"/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9"/>
      <c r="AF141" s="109"/>
      <c r="AG141" s="109"/>
      <c r="AH141" s="109"/>
      <c r="AI141" s="109"/>
      <c r="AJ141" s="109"/>
      <c r="AK141" s="109"/>
      <c r="AL141" s="109"/>
      <c r="AM141" s="109"/>
      <c r="AN141" s="109"/>
      <c r="AO141" s="109"/>
      <c r="AP141" s="109"/>
      <c r="AQ141" s="109"/>
      <c r="AR141" s="109"/>
      <c r="AS141" s="109"/>
      <c r="AT141" s="109"/>
      <c r="AU141" s="109"/>
      <c r="AV141" s="109"/>
      <c r="AW141" s="109"/>
      <c r="AX141" s="109"/>
      <c r="AY141" s="109"/>
      <c r="AZ141" s="109"/>
      <c r="BA141" s="109"/>
      <c r="BB141" s="109"/>
      <c r="BC141" s="109"/>
      <c r="BD141" s="109"/>
      <c r="BE141" s="109"/>
      <c r="BF141" s="109"/>
      <c r="BG141" s="109"/>
      <c r="BH141" s="109"/>
      <c r="BI141" s="109"/>
      <c r="BJ141" s="109"/>
      <c r="BK141" s="109"/>
      <c r="BL141" s="109"/>
      <c r="BM141" s="109"/>
      <c r="BN141" s="109"/>
      <c r="BO141" s="109"/>
      <c r="BP141" s="109"/>
      <c r="BQ141" s="109"/>
      <c r="BR141" s="109"/>
      <c r="BS141" s="109"/>
      <c r="BT141" s="109"/>
      <c r="BU141" s="109"/>
      <c r="BV141" s="109"/>
      <c r="BW141" s="109"/>
      <c r="BX141" s="109"/>
      <c r="BY141" s="109"/>
      <c r="BZ141" s="109"/>
    </row>
    <row r="142" spans="1:105">
      <c r="A142" s="109"/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109"/>
      <c r="AE142" s="109"/>
      <c r="AF142" s="109"/>
      <c r="AG142" s="109"/>
      <c r="AH142" s="109"/>
      <c r="AI142" s="109"/>
      <c r="AJ142" s="109"/>
      <c r="AK142" s="109"/>
      <c r="AL142" s="109"/>
      <c r="AM142" s="109"/>
      <c r="AN142" s="109"/>
      <c r="AO142" s="109"/>
      <c r="AP142" s="109"/>
      <c r="AQ142" s="109"/>
      <c r="AR142" s="109"/>
      <c r="AS142" s="109"/>
      <c r="AT142" s="109"/>
      <c r="AU142" s="109"/>
      <c r="AV142" s="109"/>
      <c r="AW142" s="109"/>
      <c r="AX142" s="109"/>
      <c r="AY142" s="109"/>
      <c r="AZ142" s="109"/>
      <c r="BA142" s="109"/>
      <c r="BB142" s="109"/>
      <c r="BC142" s="109"/>
      <c r="BD142" s="109"/>
      <c r="BE142" s="109"/>
      <c r="BF142" s="109"/>
      <c r="BG142" s="109"/>
      <c r="BH142" s="109"/>
      <c r="BI142" s="109"/>
      <c r="BJ142" s="109"/>
      <c r="BK142" s="109"/>
      <c r="BL142" s="109"/>
      <c r="BM142" s="109"/>
      <c r="BN142" s="109"/>
      <c r="BO142" s="109"/>
      <c r="BP142" s="109"/>
      <c r="BQ142" s="109"/>
      <c r="BR142" s="109"/>
      <c r="BS142" s="109"/>
      <c r="BT142" s="109"/>
      <c r="BU142" s="109"/>
      <c r="BV142" s="109"/>
      <c r="BW142" s="109"/>
      <c r="BX142" s="109"/>
      <c r="BY142" s="109"/>
      <c r="BZ142" s="109"/>
    </row>
    <row r="143" spans="1:105">
      <c r="A143" s="109"/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  <c r="AA143" s="109"/>
      <c r="AB143" s="109"/>
      <c r="AC143" s="109"/>
      <c r="AD143" s="109"/>
      <c r="AE143" s="109"/>
      <c r="AF143" s="109"/>
      <c r="AG143" s="109"/>
      <c r="AH143" s="109"/>
      <c r="AI143" s="109"/>
      <c r="AJ143" s="109"/>
      <c r="AK143" s="109"/>
      <c r="AL143" s="109"/>
      <c r="AM143" s="109"/>
      <c r="AN143" s="109"/>
      <c r="AO143" s="109"/>
      <c r="AP143" s="109"/>
      <c r="AQ143" s="109"/>
      <c r="AR143" s="109"/>
      <c r="AS143" s="109"/>
      <c r="AT143" s="109"/>
      <c r="AU143" s="109"/>
      <c r="AV143" s="109"/>
      <c r="AW143" s="109"/>
      <c r="AX143" s="109"/>
      <c r="AY143" s="109"/>
      <c r="AZ143" s="109"/>
      <c r="BA143" s="109"/>
      <c r="BB143" s="109"/>
      <c r="BC143" s="109"/>
      <c r="BD143" s="109"/>
      <c r="BE143" s="109"/>
      <c r="BF143" s="109"/>
      <c r="BG143" s="109"/>
      <c r="BH143" s="109"/>
      <c r="BI143" s="109"/>
      <c r="BJ143" s="109"/>
      <c r="BK143" s="109"/>
      <c r="BL143" s="109"/>
      <c r="BM143" s="109"/>
      <c r="BN143" s="109"/>
      <c r="BO143" s="109"/>
      <c r="BP143" s="109"/>
      <c r="BQ143" s="109"/>
      <c r="BR143" s="109"/>
      <c r="BS143" s="109"/>
      <c r="BT143" s="109"/>
      <c r="BU143" s="109"/>
      <c r="BV143" s="109"/>
      <c r="BW143" s="109"/>
      <c r="BX143" s="109"/>
      <c r="BY143" s="109"/>
      <c r="BZ143" s="109"/>
    </row>
    <row r="144" spans="1:105">
      <c r="A144" s="109"/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  <c r="AB144" s="109"/>
      <c r="AC144" s="109"/>
      <c r="AD144" s="109"/>
      <c r="AE144" s="109"/>
      <c r="AF144" s="109"/>
      <c r="AG144" s="109"/>
      <c r="AH144" s="109"/>
      <c r="AI144" s="109"/>
      <c r="AJ144" s="109"/>
      <c r="AK144" s="109"/>
      <c r="AL144" s="109"/>
      <c r="AM144" s="109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09"/>
      <c r="BC144" s="109"/>
      <c r="BD144" s="109"/>
      <c r="BE144" s="109"/>
      <c r="BF144" s="109"/>
      <c r="BG144" s="109"/>
      <c r="BH144" s="109"/>
      <c r="BI144" s="109"/>
      <c r="BJ144" s="109"/>
      <c r="BK144" s="109"/>
      <c r="BL144" s="109"/>
      <c r="BM144" s="109"/>
      <c r="BN144" s="109"/>
      <c r="BO144" s="109"/>
      <c r="BP144" s="109"/>
      <c r="BQ144" s="109"/>
      <c r="BR144" s="109"/>
      <c r="BS144" s="109"/>
      <c r="BT144" s="109"/>
      <c r="BU144" s="109"/>
      <c r="BV144" s="109"/>
      <c r="BW144" s="109"/>
      <c r="BX144" s="109"/>
      <c r="BY144" s="109"/>
      <c r="BZ144" s="109"/>
    </row>
    <row r="145" spans="1:78">
      <c r="A145" s="109"/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/>
      <c r="AF145" s="109"/>
      <c r="AG145" s="109"/>
      <c r="AH145" s="109"/>
      <c r="AI145" s="109"/>
      <c r="AJ145" s="109"/>
      <c r="AK145" s="109"/>
      <c r="AL145" s="109"/>
      <c r="AM145" s="109"/>
      <c r="AN145" s="109"/>
      <c r="AO145" s="109"/>
      <c r="AP145" s="109"/>
      <c r="AQ145" s="109"/>
      <c r="AR145" s="109"/>
      <c r="AS145" s="109"/>
      <c r="AT145" s="109"/>
      <c r="AU145" s="109"/>
      <c r="AV145" s="109"/>
      <c r="AW145" s="109"/>
      <c r="AX145" s="109"/>
      <c r="AY145" s="109"/>
      <c r="AZ145" s="109"/>
      <c r="BA145" s="109"/>
      <c r="BB145" s="109"/>
      <c r="BC145" s="109"/>
      <c r="BD145" s="109"/>
      <c r="BE145" s="109"/>
      <c r="BF145" s="109"/>
      <c r="BG145" s="109"/>
      <c r="BH145" s="109"/>
      <c r="BI145" s="109"/>
      <c r="BJ145" s="109"/>
      <c r="BK145" s="109"/>
      <c r="BL145" s="109"/>
      <c r="BM145" s="109"/>
      <c r="BN145" s="109"/>
      <c r="BO145" s="109"/>
      <c r="BP145" s="109"/>
      <c r="BQ145" s="109"/>
      <c r="BR145" s="109"/>
      <c r="BS145" s="109"/>
      <c r="BT145" s="109"/>
      <c r="BU145" s="109"/>
      <c r="BV145" s="109"/>
      <c r="BW145" s="109"/>
      <c r="BX145" s="109"/>
      <c r="BY145" s="109"/>
      <c r="BZ145" s="109"/>
    </row>
    <row r="146" spans="1:78">
      <c r="A146" s="109"/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9"/>
      <c r="AF146" s="109"/>
      <c r="AG146" s="109"/>
      <c r="AH146" s="109"/>
      <c r="AI146" s="109"/>
      <c r="AJ146" s="109"/>
      <c r="AK146" s="109"/>
      <c r="AL146" s="109"/>
      <c r="AM146" s="109"/>
      <c r="AN146" s="109"/>
      <c r="AO146" s="109"/>
      <c r="AP146" s="109"/>
      <c r="AQ146" s="109"/>
      <c r="AR146" s="109"/>
      <c r="AS146" s="109"/>
      <c r="AT146" s="109"/>
      <c r="AU146" s="109"/>
      <c r="AV146" s="109"/>
      <c r="AW146" s="109"/>
      <c r="AX146" s="109"/>
      <c r="AY146" s="109"/>
      <c r="AZ146" s="109"/>
      <c r="BA146" s="109"/>
      <c r="BB146" s="109"/>
      <c r="BC146" s="109"/>
      <c r="BD146" s="109"/>
      <c r="BE146" s="109"/>
      <c r="BF146" s="109"/>
      <c r="BG146" s="109"/>
      <c r="BH146" s="109"/>
      <c r="BI146" s="109"/>
      <c r="BJ146" s="109"/>
      <c r="BK146" s="109"/>
      <c r="BL146" s="109"/>
      <c r="BM146" s="109"/>
      <c r="BN146" s="109"/>
      <c r="BO146" s="109"/>
      <c r="BP146" s="109"/>
      <c r="BQ146" s="109"/>
      <c r="BR146" s="109"/>
      <c r="BS146" s="109"/>
      <c r="BT146" s="109"/>
      <c r="BU146" s="109"/>
      <c r="BV146" s="109"/>
      <c r="BW146" s="109"/>
      <c r="BX146" s="109"/>
      <c r="BY146" s="109"/>
      <c r="BZ146" s="109"/>
    </row>
    <row r="147" spans="1:78">
      <c r="A147" s="109"/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09"/>
      <c r="AH147" s="109"/>
      <c r="AI147" s="109"/>
      <c r="AJ147" s="109"/>
      <c r="AK147" s="109"/>
      <c r="AL147" s="109"/>
      <c r="AM147" s="109"/>
      <c r="AN147" s="109"/>
      <c r="AO147" s="109"/>
      <c r="AP147" s="109"/>
      <c r="AQ147" s="109"/>
      <c r="AR147" s="109"/>
      <c r="AS147" s="109"/>
      <c r="AT147" s="109"/>
      <c r="AU147" s="109"/>
      <c r="AV147" s="109"/>
      <c r="AW147" s="109"/>
      <c r="AX147" s="109"/>
      <c r="AY147" s="109"/>
      <c r="AZ147" s="109"/>
      <c r="BA147" s="109"/>
      <c r="BB147" s="109"/>
      <c r="BC147" s="109"/>
      <c r="BD147" s="109"/>
      <c r="BE147" s="109"/>
      <c r="BF147" s="109"/>
      <c r="BG147" s="109"/>
      <c r="BH147" s="109"/>
      <c r="BI147" s="109"/>
      <c r="BJ147" s="109"/>
      <c r="BK147" s="109"/>
      <c r="BL147" s="109"/>
      <c r="BM147" s="109"/>
      <c r="BN147" s="109"/>
      <c r="BO147" s="109"/>
      <c r="BP147" s="109"/>
      <c r="BQ147" s="109"/>
      <c r="BR147" s="109"/>
      <c r="BS147" s="109"/>
      <c r="BT147" s="109"/>
      <c r="BU147" s="109"/>
      <c r="BV147" s="109"/>
      <c r="BW147" s="109"/>
      <c r="BX147" s="109"/>
      <c r="BY147" s="109"/>
      <c r="BZ147" s="109"/>
    </row>
    <row r="148" spans="1:78">
      <c r="A148" s="109"/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9"/>
      <c r="AV148" s="109"/>
      <c r="AW148" s="109"/>
      <c r="AX148" s="109"/>
      <c r="AY148" s="109"/>
      <c r="AZ148" s="109"/>
      <c r="BA148" s="109"/>
      <c r="BB148" s="109"/>
      <c r="BC148" s="109"/>
      <c r="BD148" s="109"/>
      <c r="BE148" s="109"/>
      <c r="BF148" s="109"/>
      <c r="BG148" s="109"/>
      <c r="BH148" s="109"/>
      <c r="BI148" s="109"/>
      <c r="BJ148" s="109"/>
      <c r="BK148" s="109"/>
      <c r="BL148" s="109"/>
      <c r="BM148" s="109"/>
      <c r="BN148" s="109"/>
      <c r="BO148" s="109"/>
      <c r="BP148" s="109"/>
      <c r="BQ148" s="109"/>
      <c r="BR148" s="109"/>
      <c r="BS148" s="109"/>
      <c r="BT148" s="109"/>
      <c r="BU148" s="109"/>
      <c r="BV148" s="109"/>
      <c r="BW148" s="109"/>
      <c r="BX148" s="109"/>
      <c r="BY148" s="109"/>
      <c r="BZ148" s="109"/>
    </row>
    <row r="149" spans="1:78">
      <c r="A149" s="109"/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/>
      <c r="BF149" s="109"/>
      <c r="BG149" s="109"/>
      <c r="BH149" s="109"/>
      <c r="BI149" s="109"/>
      <c r="BJ149" s="109"/>
      <c r="BK149" s="109"/>
      <c r="BL149" s="109"/>
      <c r="BM149" s="109"/>
      <c r="BN149" s="109"/>
      <c r="BO149" s="109"/>
      <c r="BP149" s="109"/>
      <c r="BQ149" s="109"/>
      <c r="BR149" s="109"/>
      <c r="BS149" s="109"/>
      <c r="BT149" s="109"/>
      <c r="BU149" s="109"/>
      <c r="BV149" s="109"/>
      <c r="BW149" s="109"/>
      <c r="BX149" s="109"/>
      <c r="BY149" s="109"/>
      <c r="BZ149" s="109"/>
    </row>
    <row r="150" spans="1:78">
      <c r="A150" s="109"/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09"/>
      <c r="BQ150" s="109"/>
      <c r="BR150" s="109"/>
      <c r="BS150" s="109"/>
      <c r="BT150" s="109"/>
      <c r="BU150" s="109"/>
      <c r="BV150" s="109"/>
      <c r="BW150" s="109"/>
      <c r="BX150" s="109"/>
      <c r="BY150" s="109"/>
      <c r="BZ150" s="109"/>
    </row>
    <row r="151" spans="1:78">
      <c r="A151" s="109"/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09"/>
      <c r="AU151" s="109"/>
      <c r="AV151" s="109"/>
      <c r="AW151" s="109"/>
      <c r="AX151" s="109"/>
      <c r="AY151" s="109"/>
      <c r="AZ151" s="109"/>
      <c r="BA151" s="109"/>
      <c r="BB151" s="109"/>
      <c r="BC151" s="109"/>
      <c r="BD151" s="109"/>
      <c r="BE151" s="109"/>
      <c r="BF151" s="109"/>
      <c r="BG151" s="109"/>
      <c r="BH151" s="109"/>
      <c r="BI151" s="109"/>
      <c r="BJ151" s="109"/>
      <c r="BK151" s="109"/>
      <c r="BL151" s="109"/>
      <c r="BM151" s="109"/>
      <c r="BN151" s="109"/>
      <c r="BO151" s="109"/>
      <c r="BP151" s="109"/>
      <c r="BQ151" s="109"/>
      <c r="BR151" s="109"/>
      <c r="BS151" s="109"/>
      <c r="BT151" s="109"/>
      <c r="BU151" s="109"/>
      <c r="BV151" s="109"/>
      <c r="BW151" s="109"/>
      <c r="BX151" s="109"/>
      <c r="BY151" s="109"/>
      <c r="BZ151" s="109"/>
    </row>
    <row r="152" spans="1:78">
      <c r="A152" s="109"/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  <c r="AA152" s="109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  <c r="AL152" s="109"/>
      <c r="AM152" s="109"/>
      <c r="AN152" s="109"/>
      <c r="AO152" s="109"/>
      <c r="AP152" s="109"/>
      <c r="AQ152" s="109"/>
      <c r="AR152" s="109"/>
      <c r="AS152" s="109"/>
      <c r="AT152" s="109"/>
      <c r="AU152" s="109"/>
      <c r="AV152" s="109"/>
      <c r="AW152" s="109"/>
      <c r="AX152" s="109"/>
      <c r="AY152" s="109"/>
      <c r="AZ152" s="109"/>
      <c r="BA152" s="109"/>
      <c r="BB152" s="109"/>
      <c r="BC152" s="109"/>
      <c r="BD152" s="109"/>
      <c r="BE152" s="109"/>
      <c r="BF152" s="109"/>
      <c r="BG152" s="109"/>
      <c r="BH152" s="109"/>
      <c r="BI152" s="109"/>
      <c r="BJ152" s="109"/>
      <c r="BK152" s="109"/>
      <c r="BL152" s="109"/>
      <c r="BM152" s="109"/>
      <c r="BN152" s="109"/>
      <c r="BO152" s="109"/>
      <c r="BP152" s="109"/>
      <c r="BQ152" s="109"/>
      <c r="BR152" s="109"/>
      <c r="BS152" s="109"/>
      <c r="BT152" s="109"/>
      <c r="BU152" s="109"/>
      <c r="BV152" s="109"/>
      <c r="BW152" s="109"/>
      <c r="BX152" s="109"/>
      <c r="BY152" s="109"/>
      <c r="BZ152" s="109"/>
    </row>
    <row r="153" spans="1:78">
      <c r="A153" s="109"/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/>
      <c r="AL153" s="109"/>
      <c r="AM153" s="109"/>
      <c r="AN153" s="109"/>
      <c r="AO153" s="109"/>
      <c r="AP153" s="109"/>
      <c r="AQ153" s="109"/>
      <c r="AR153" s="109"/>
      <c r="AS153" s="109"/>
      <c r="AT153" s="109"/>
      <c r="AU153" s="109"/>
      <c r="AV153" s="109"/>
      <c r="AW153" s="109"/>
      <c r="AX153" s="109"/>
      <c r="AY153" s="109"/>
      <c r="AZ153" s="109"/>
      <c r="BA153" s="109"/>
      <c r="BB153" s="109"/>
      <c r="BC153" s="109"/>
      <c r="BD153" s="109"/>
      <c r="BE153" s="109"/>
      <c r="BF153" s="109"/>
      <c r="BG153" s="109"/>
      <c r="BH153" s="109"/>
      <c r="BI153" s="109"/>
      <c r="BJ153" s="109"/>
      <c r="BK153" s="109"/>
      <c r="BL153" s="109"/>
      <c r="BM153" s="109"/>
      <c r="BN153" s="109"/>
      <c r="BO153" s="109"/>
      <c r="BP153" s="109"/>
      <c r="BQ153" s="109"/>
      <c r="BR153" s="109"/>
      <c r="BS153" s="109"/>
      <c r="BT153" s="109"/>
      <c r="BU153" s="109"/>
      <c r="BV153" s="109"/>
      <c r="BW153" s="109"/>
      <c r="BX153" s="109"/>
      <c r="BY153" s="109"/>
      <c r="BZ153" s="109"/>
    </row>
    <row r="154" spans="1:78">
      <c r="A154" s="109"/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/>
      <c r="AF154" s="109"/>
      <c r="AG154" s="109"/>
      <c r="AH154" s="109"/>
      <c r="AI154" s="109"/>
      <c r="AJ154" s="109"/>
      <c r="AK154" s="109"/>
      <c r="AL154" s="109"/>
      <c r="AM154" s="109"/>
      <c r="AN154" s="109"/>
      <c r="AO154" s="109"/>
      <c r="AP154" s="109"/>
      <c r="AQ154" s="109"/>
      <c r="AR154" s="109"/>
      <c r="AS154" s="109"/>
      <c r="AT154" s="109"/>
      <c r="AU154" s="109"/>
      <c r="AV154" s="109"/>
      <c r="AW154" s="109"/>
      <c r="AX154" s="109"/>
      <c r="AY154" s="109"/>
      <c r="AZ154" s="109"/>
      <c r="BA154" s="109"/>
      <c r="BB154" s="109"/>
      <c r="BC154" s="109"/>
      <c r="BD154" s="109"/>
      <c r="BE154" s="109"/>
      <c r="BF154" s="109"/>
      <c r="BG154" s="109"/>
      <c r="BH154" s="109"/>
      <c r="BI154" s="109"/>
      <c r="BJ154" s="109"/>
      <c r="BK154" s="109"/>
      <c r="BL154" s="109"/>
      <c r="BM154" s="109"/>
      <c r="BN154" s="109"/>
      <c r="BO154" s="109"/>
      <c r="BP154" s="109"/>
      <c r="BQ154" s="109"/>
      <c r="BR154" s="109"/>
      <c r="BS154" s="109"/>
      <c r="BT154" s="109"/>
      <c r="BU154" s="109"/>
      <c r="BV154" s="109"/>
      <c r="BW154" s="109"/>
      <c r="BX154" s="109"/>
      <c r="BY154" s="109"/>
      <c r="BZ154" s="109"/>
    </row>
    <row r="155" spans="1:78">
      <c r="A155" s="109"/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9"/>
      <c r="AO155" s="109"/>
      <c r="AP155" s="109"/>
      <c r="AQ155" s="109"/>
      <c r="AR155" s="109"/>
      <c r="AS155" s="109"/>
      <c r="AT155" s="109"/>
      <c r="AU155" s="109"/>
      <c r="AV155" s="109"/>
      <c r="AW155" s="109"/>
      <c r="AX155" s="109"/>
      <c r="AY155" s="109"/>
      <c r="AZ155" s="109"/>
      <c r="BA155" s="109"/>
      <c r="BB155" s="109"/>
      <c r="BC155" s="109"/>
      <c r="BD155" s="109"/>
      <c r="BE155" s="109"/>
      <c r="BF155" s="109"/>
      <c r="BG155" s="109"/>
      <c r="BH155" s="109"/>
      <c r="BI155" s="109"/>
      <c r="BJ155" s="109"/>
      <c r="BK155" s="109"/>
      <c r="BL155" s="109"/>
      <c r="BM155" s="109"/>
      <c r="BN155" s="109"/>
      <c r="BO155" s="109"/>
      <c r="BP155" s="109"/>
      <c r="BQ155" s="109"/>
      <c r="BR155" s="109"/>
      <c r="BS155" s="109"/>
      <c r="BT155" s="109"/>
      <c r="BU155" s="109"/>
      <c r="BV155" s="109"/>
      <c r="BW155" s="109"/>
      <c r="BX155" s="109"/>
      <c r="BY155" s="109"/>
      <c r="BZ155" s="109"/>
    </row>
    <row r="156" spans="1:78">
      <c r="A156" s="109"/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09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09"/>
      <c r="AO156" s="109"/>
      <c r="AP156" s="109"/>
      <c r="AQ156" s="109"/>
      <c r="AR156" s="109"/>
      <c r="AS156" s="109"/>
      <c r="AT156" s="109"/>
      <c r="AU156" s="109"/>
      <c r="AV156" s="109"/>
      <c r="AW156" s="109"/>
      <c r="AX156" s="109"/>
      <c r="AY156" s="109"/>
      <c r="AZ156" s="109"/>
      <c r="BA156" s="109"/>
      <c r="BB156" s="109"/>
      <c r="BC156" s="109"/>
      <c r="BD156" s="109"/>
      <c r="BE156" s="109"/>
      <c r="BF156" s="109"/>
      <c r="BG156" s="109"/>
      <c r="BH156" s="109"/>
      <c r="BI156" s="109"/>
      <c r="BJ156" s="109"/>
      <c r="BK156" s="109"/>
      <c r="BL156" s="109"/>
      <c r="BM156" s="109"/>
      <c r="BN156" s="109"/>
      <c r="BO156" s="109"/>
      <c r="BP156" s="109"/>
      <c r="BQ156" s="109"/>
      <c r="BR156" s="109"/>
      <c r="BS156" s="109"/>
      <c r="BT156" s="109"/>
      <c r="BU156" s="109"/>
      <c r="BV156" s="109"/>
      <c r="BW156" s="109"/>
      <c r="BX156" s="109"/>
      <c r="BY156" s="109"/>
      <c r="BZ156" s="109"/>
    </row>
    <row r="157" spans="1:78">
      <c r="A157" s="109"/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109"/>
      <c r="AS157" s="109"/>
      <c r="AT157" s="109"/>
      <c r="AU157" s="109"/>
      <c r="AV157" s="109"/>
      <c r="AW157" s="109"/>
      <c r="AX157" s="109"/>
      <c r="AY157" s="109"/>
      <c r="AZ157" s="109"/>
      <c r="BA157" s="109"/>
      <c r="BB157" s="109"/>
      <c r="BC157" s="109"/>
      <c r="BD157" s="109"/>
      <c r="BE157" s="109"/>
      <c r="BF157" s="109"/>
      <c r="BG157" s="109"/>
      <c r="BH157" s="109"/>
      <c r="BI157" s="109"/>
      <c r="BJ157" s="109"/>
      <c r="BK157" s="109"/>
      <c r="BL157" s="109"/>
      <c r="BM157" s="109"/>
      <c r="BN157" s="109"/>
      <c r="BO157" s="109"/>
      <c r="BP157" s="109"/>
      <c r="BQ157" s="109"/>
      <c r="BR157" s="109"/>
      <c r="BS157" s="109"/>
      <c r="BT157" s="109"/>
      <c r="BU157" s="109"/>
      <c r="BV157" s="109"/>
      <c r="BW157" s="109"/>
      <c r="BX157" s="109"/>
      <c r="BY157" s="109"/>
      <c r="BZ157" s="109"/>
    </row>
    <row r="158" spans="1:78">
      <c r="A158" s="109"/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  <c r="AA158" s="109"/>
      <c r="AB158" s="109"/>
      <c r="AC158" s="109"/>
      <c r="AD158" s="109"/>
      <c r="AE158" s="109"/>
      <c r="AF158" s="109"/>
      <c r="AG158" s="109"/>
      <c r="AH158" s="109"/>
      <c r="AI158" s="109"/>
      <c r="AJ158" s="109"/>
      <c r="AK158" s="109"/>
      <c r="AL158" s="109"/>
      <c r="AM158" s="109"/>
      <c r="AN158" s="109"/>
      <c r="AO158" s="109"/>
      <c r="AP158" s="109"/>
      <c r="AQ158" s="109"/>
      <c r="AR158" s="109"/>
      <c r="AS158" s="109"/>
      <c r="AT158" s="109"/>
      <c r="AU158" s="109"/>
      <c r="AV158" s="109"/>
      <c r="AW158" s="109"/>
      <c r="AX158" s="109"/>
      <c r="AY158" s="109"/>
      <c r="AZ158" s="109"/>
      <c r="BA158" s="109"/>
      <c r="BB158" s="109"/>
      <c r="BC158" s="109"/>
      <c r="BD158" s="109"/>
      <c r="BE158" s="109"/>
      <c r="BF158" s="109"/>
      <c r="BG158" s="109"/>
      <c r="BH158" s="109"/>
      <c r="BI158" s="109"/>
      <c r="BJ158" s="109"/>
      <c r="BK158" s="109"/>
      <c r="BL158" s="109"/>
      <c r="BM158" s="109"/>
      <c r="BN158" s="109"/>
      <c r="BO158" s="109"/>
      <c r="BP158" s="109"/>
      <c r="BQ158" s="109"/>
      <c r="BR158" s="109"/>
      <c r="BS158" s="109"/>
      <c r="BT158" s="109"/>
      <c r="BU158" s="109"/>
      <c r="BV158" s="109"/>
      <c r="BW158" s="109"/>
      <c r="BX158" s="109"/>
      <c r="BY158" s="109"/>
      <c r="BZ158" s="109"/>
    </row>
    <row r="159" spans="1:78">
      <c r="A159" s="109"/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  <c r="AA159" s="109"/>
      <c r="AB159" s="109"/>
      <c r="AC159" s="109"/>
      <c r="AD159" s="109"/>
      <c r="AE159" s="109"/>
      <c r="AF159" s="109"/>
      <c r="AG159" s="109"/>
      <c r="AH159" s="109"/>
      <c r="AI159" s="109"/>
      <c r="AJ159" s="109"/>
      <c r="AK159" s="109"/>
      <c r="AL159" s="109"/>
      <c r="AM159" s="109"/>
      <c r="AN159" s="109"/>
      <c r="AO159" s="109"/>
      <c r="AP159" s="109"/>
      <c r="AQ159" s="109"/>
      <c r="AR159" s="109"/>
      <c r="AS159" s="109"/>
      <c r="AT159" s="109"/>
      <c r="AU159" s="109"/>
      <c r="AV159" s="109"/>
      <c r="AW159" s="109"/>
      <c r="AX159" s="109"/>
      <c r="AY159" s="109"/>
      <c r="AZ159" s="109"/>
      <c r="BA159" s="109"/>
      <c r="BB159" s="109"/>
      <c r="BC159" s="109"/>
      <c r="BD159" s="109"/>
      <c r="BE159" s="109"/>
      <c r="BF159" s="109"/>
      <c r="BG159" s="109"/>
      <c r="BH159" s="109"/>
      <c r="BI159" s="109"/>
      <c r="BJ159" s="109"/>
      <c r="BK159" s="109"/>
      <c r="BL159" s="109"/>
      <c r="BM159" s="109"/>
      <c r="BN159" s="109"/>
      <c r="BO159" s="109"/>
      <c r="BP159" s="109"/>
      <c r="BQ159" s="109"/>
      <c r="BR159" s="109"/>
      <c r="BS159" s="109"/>
      <c r="BT159" s="109"/>
      <c r="BU159" s="109"/>
      <c r="BV159" s="109"/>
      <c r="BW159" s="109"/>
      <c r="BX159" s="109"/>
      <c r="BY159" s="109"/>
      <c r="BZ159" s="109"/>
    </row>
    <row r="160" spans="1:78">
      <c r="A160" s="109"/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  <c r="Z160" s="109"/>
      <c r="AA160" s="109"/>
      <c r="AB160" s="109"/>
      <c r="AC160" s="109"/>
      <c r="AD160" s="109"/>
      <c r="AE160" s="109"/>
      <c r="AF160" s="109"/>
      <c r="AG160" s="109"/>
      <c r="AH160" s="109"/>
      <c r="AI160" s="109"/>
      <c r="AJ160" s="109"/>
      <c r="AK160" s="109"/>
      <c r="AL160" s="109"/>
      <c r="AM160" s="109"/>
      <c r="AN160" s="109"/>
      <c r="AO160" s="109"/>
      <c r="AP160" s="109"/>
      <c r="AQ160" s="109"/>
      <c r="AR160" s="109"/>
      <c r="AS160" s="109"/>
      <c r="AT160" s="109"/>
      <c r="AU160" s="109"/>
      <c r="AV160" s="109"/>
      <c r="AW160" s="109"/>
      <c r="AX160" s="109"/>
      <c r="AY160" s="109"/>
      <c r="AZ160" s="109"/>
      <c r="BA160" s="109"/>
      <c r="BB160" s="109"/>
      <c r="BC160" s="109"/>
      <c r="BD160" s="109"/>
      <c r="BE160" s="109"/>
      <c r="BF160" s="109"/>
      <c r="BG160" s="109"/>
      <c r="BH160" s="109"/>
      <c r="BI160" s="109"/>
      <c r="BJ160" s="109"/>
      <c r="BK160" s="109"/>
      <c r="BL160" s="109"/>
      <c r="BM160" s="109"/>
      <c r="BN160" s="109"/>
      <c r="BO160" s="109"/>
      <c r="BP160" s="109"/>
      <c r="BQ160" s="109"/>
      <c r="BR160" s="109"/>
      <c r="BS160" s="109"/>
      <c r="BT160" s="109"/>
      <c r="BU160" s="109"/>
      <c r="BV160" s="109"/>
      <c r="BW160" s="109"/>
      <c r="BX160" s="109"/>
      <c r="BY160" s="109"/>
      <c r="BZ160" s="109"/>
    </row>
    <row r="161" spans="1:78">
      <c r="A161" s="109"/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09"/>
      <c r="AK161" s="109"/>
      <c r="AL161" s="109"/>
      <c r="AM161" s="109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09"/>
      <c r="BC161" s="109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09"/>
      <c r="BO161" s="109"/>
      <c r="BP161" s="109"/>
      <c r="BQ161" s="109"/>
      <c r="BR161" s="109"/>
      <c r="BS161" s="109"/>
      <c r="BT161" s="109"/>
      <c r="BU161" s="109"/>
      <c r="BV161" s="109"/>
      <c r="BW161" s="109"/>
      <c r="BX161" s="109"/>
      <c r="BY161" s="109"/>
      <c r="BZ161" s="109"/>
    </row>
    <row r="162" spans="1:78">
      <c r="A162" s="109"/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09"/>
      <c r="AK162" s="109"/>
      <c r="AL162" s="109"/>
      <c r="AM162" s="109"/>
      <c r="AN162" s="109"/>
      <c r="AO162" s="109"/>
      <c r="AP162" s="109"/>
      <c r="AQ162" s="109"/>
      <c r="AR162" s="109"/>
      <c r="AS162" s="109"/>
      <c r="AT162" s="109"/>
      <c r="AU162" s="109"/>
      <c r="AV162" s="109"/>
      <c r="AW162" s="109"/>
      <c r="AX162" s="109"/>
      <c r="AY162" s="109"/>
      <c r="AZ162" s="109"/>
      <c r="BA162" s="109"/>
      <c r="BB162" s="109"/>
      <c r="BC162" s="109"/>
      <c r="BD162" s="109"/>
      <c r="BE162" s="109"/>
      <c r="BF162" s="109"/>
      <c r="BG162" s="109"/>
      <c r="BH162" s="109"/>
      <c r="BI162" s="109"/>
      <c r="BJ162" s="109"/>
      <c r="BK162" s="109"/>
      <c r="BL162" s="109"/>
      <c r="BM162" s="109"/>
      <c r="BN162" s="109"/>
      <c r="BO162" s="109"/>
      <c r="BP162" s="109"/>
      <c r="BQ162" s="109"/>
      <c r="BR162" s="109"/>
      <c r="BS162" s="109"/>
      <c r="BT162" s="109"/>
      <c r="BU162" s="109"/>
      <c r="BV162" s="109"/>
      <c r="BW162" s="109"/>
      <c r="BX162" s="109"/>
      <c r="BY162" s="109"/>
      <c r="BZ162" s="109"/>
    </row>
    <row r="163" spans="1:78">
      <c r="A163" s="109"/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09"/>
      <c r="AK163" s="109"/>
      <c r="AL163" s="109"/>
      <c r="AM163" s="109"/>
      <c r="AN163" s="109"/>
      <c r="AO163" s="109"/>
      <c r="AP163" s="109"/>
      <c r="AQ163" s="109"/>
      <c r="AR163" s="109"/>
      <c r="AS163" s="109"/>
      <c r="AT163" s="109"/>
      <c r="AU163" s="109"/>
      <c r="AV163" s="109"/>
      <c r="AW163" s="109"/>
      <c r="AX163" s="109"/>
      <c r="AY163" s="109"/>
      <c r="AZ163" s="109"/>
      <c r="BA163" s="109"/>
      <c r="BB163" s="109"/>
      <c r="BC163" s="109"/>
      <c r="BD163" s="109"/>
      <c r="BE163" s="109"/>
      <c r="BF163" s="109"/>
      <c r="BG163" s="109"/>
      <c r="BH163" s="109"/>
      <c r="BI163" s="109"/>
      <c r="BJ163" s="109"/>
      <c r="BK163" s="109"/>
      <c r="BL163" s="109"/>
      <c r="BM163" s="109"/>
      <c r="BN163" s="109"/>
      <c r="BO163" s="109"/>
      <c r="BP163" s="109"/>
      <c r="BQ163" s="109"/>
      <c r="BR163" s="109"/>
      <c r="BS163" s="109"/>
      <c r="BT163" s="109"/>
      <c r="BU163" s="109"/>
      <c r="BV163" s="109"/>
      <c r="BW163" s="109"/>
      <c r="BX163" s="109"/>
      <c r="BY163" s="109"/>
      <c r="BZ163" s="109"/>
    </row>
    <row r="164" spans="1:78" ht="18">
      <c r="A164" s="267" t="s">
        <v>149</v>
      </c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09"/>
      <c r="AK164" s="109"/>
      <c r="AL164" s="109"/>
      <c r="AM164" s="109"/>
      <c r="AN164" s="109"/>
      <c r="AO164" s="109"/>
      <c r="AP164" s="109"/>
      <c r="AQ164" s="109"/>
      <c r="AR164" s="109"/>
      <c r="AS164" s="109"/>
      <c r="AT164" s="109"/>
      <c r="AU164" s="109"/>
      <c r="AV164" s="109"/>
      <c r="AW164" s="109"/>
      <c r="AX164" s="109"/>
      <c r="AY164" s="109"/>
      <c r="AZ164" s="109"/>
      <c r="BA164" s="109"/>
      <c r="BB164" s="109"/>
      <c r="BC164" s="109"/>
      <c r="BD164" s="109"/>
      <c r="BE164" s="109"/>
      <c r="BF164" s="109"/>
      <c r="BG164" s="109"/>
      <c r="BH164" s="109"/>
      <c r="BI164" s="109"/>
      <c r="BJ164" s="109"/>
      <c r="BK164" s="109"/>
      <c r="BL164" s="109"/>
      <c r="BM164" s="109"/>
      <c r="BN164" s="109"/>
      <c r="BO164" s="109"/>
      <c r="BP164" s="109"/>
      <c r="BQ164" s="109"/>
      <c r="BR164" s="109"/>
      <c r="BS164" s="109"/>
      <c r="BT164" s="109"/>
      <c r="BU164" s="109"/>
      <c r="BV164" s="109"/>
      <c r="BW164" s="109"/>
      <c r="BX164" s="109"/>
      <c r="BY164" s="109"/>
      <c r="BZ164" s="109"/>
    </row>
    <row r="165" spans="1:78">
      <c r="A165" s="109"/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09"/>
      <c r="AG165" s="109"/>
      <c r="AH165" s="109"/>
      <c r="AI165" s="109"/>
      <c r="AJ165" s="109"/>
      <c r="AK165" s="109"/>
      <c r="AL165" s="109"/>
      <c r="AM165" s="109"/>
      <c r="AN165" s="109"/>
      <c r="AO165" s="109"/>
      <c r="AP165" s="109"/>
      <c r="AQ165" s="109"/>
      <c r="AR165" s="109"/>
      <c r="AS165" s="109"/>
      <c r="AT165" s="109"/>
      <c r="AU165" s="109"/>
      <c r="AV165" s="109"/>
      <c r="AW165" s="109"/>
      <c r="AX165" s="109"/>
      <c r="AY165" s="109"/>
      <c r="AZ165" s="109"/>
      <c r="BA165" s="109"/>
      <c r="BB165" s="109"/>
      <c r="BC165" s="109"/>
      <c r="BD165" s="109"/>
      <c r="BE165" s="109"/>
      <c r="BF165" s="109"/>
      <c r="BG165" s="109"/>
      <c r="BH165" s="109"/>
      <c r="BI165" s="109"/>
      <c r="BJ165" s="109"/>
      <c r="BK165" s="109"/>
      <c r="BL165" s="109"/>
      <c r="BM165" s="109"/>
      <c r="BN165" s="109"/>
      <c r="BO165" s="109"/>
      <c r="BP165" s="109"/>
      <c r="BQ165" s="109"/>
      <c r="BR165" s="109"/>
      <c r="BS165" s="109"/>
      <c r="BT165" s="109"/>
      <c r="BU165" s="109"/>
      <c r="BV165" s="109"/>
      <c r="BW165" s="109"/>
      <c r="BX165" s="109"/>
      <c r="BY165" s="109"/>
      <c r="BZ165" s="109"/>
    </row>
    <row r="166" spans="1:78">
      <c r="A166" s="414"/>
      <c r="B166" s="413"/>
      <c r="C166" s="413"/>
      <c r="D166" s="413"/>
      <c r="E166" s="413"/>
      <c r="F166" s="413"/>
      <c r="G166" s="413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  <c r="AA166" s="109"/>
      <c r="AB166" s="109"/>
      <c r="AC166" s="109"/>
      <c r="AD166" s="109"/>
      <c r="AE166" s="109"/>
      <c r="AF166" s="109"/>
      <c r="AG166" s="109"/>
      <c r="AH166" s="109"/>
      <c r="AI166" s="109"/>
      <c r="AJ166" s="109"/>
      <c r="AK166" s="109"/>
      <c r="AL166" s="109"/>
      <c r="AM166" s="109"/>
      <c r="AN166" s="109"/>
      <c r="AO166" s="109"/>
      <c r="AP166" s="109"/>
      <c r="AQ166" s="109"/>
      <c r="AR166" s="109"/>
      <c r="AS166" s="109"/>
      <c r="AT166" s="109"/>
      <c r="AU166" s="109"/>
      <c r="AV166" s="109"/>
      <c r="AW166" s="109"/>
      <c r="AX166" s="109"/>
      <c r="AY166" s="109"/>
      <c r="AZ166" s="109"/>
      <c r="BA166" s="109"/>
      <c r="BB166" s="109"/>
      <c r="BC166" s="109"/>
      <c r="BD166" s="109"/>
      <c r="BE166" s="109"/>
      <c r="BF166" s="109"/>
      <c r="BG166" s="109"/>
      <c r="BH166" s="109"/>
      <c r="BI166" s="109"/>
      <c r="BJ166" s="109"/>
      <c r="BK166" s="109"/>
      <c r="BL166" s="109"/>
      <c r="BM166" s="109"/>
      <c r="BN166" s="109"/>
      <c r="BO166" s="109"/>
      <c r="BP166" s="109"/>
      <c r="BQ166" s="109"/>
      <c r="BR166" s="109"/>
      <c r="BS166" s="109"/>
      <c r="BT166" s="109"/>
      <c r="BU166" s="109"/>
      <c r="BV166" s="109"/>
      <c r="BW166" s="109"/>
      <c r="BX166" s="109"/>
      <c r="BY166" s="109"/>
      <c r="BZ166" s="109"/>
    </row>
    <row r="167" spans="1:78">
      <c r="A167" s="414"/>
      <c r="B167" s="189"/>
      <c r="C167" s="190"/>
      <c r="D167" s="190"/>
      <c r="E167" s="189"/>
      <c r="F167" s="190"/>
      <c r="G167" s="190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09"/>
      <c r="AI167" s="109"/>
      <c r="AJ167" s="109"/>
      <c r="AK167" s="109"/>
      <c r="AL167" s="109"/>
      <c r="AM167" s="109"/>
      <c r="AN167" s="109"/>
      <c r="AO167" s="109"/>
      <c r="AP167" s="109"/>
      <c r="AQ167" s="109"/>
      <c r="AR167" s="109"/>
      <c r="AS167" s="109"/>
      <c r="AT167" s="109"/>
      <c r="AU167" s="109"/>
      <c r="AV167" s="109"/>
      <c r="AW167" s="109"/>
      <c r="AX167" s="109"/>
      <c r="AY167" s="109"/>
      <c r="AZ167" s="109"/>
      <c r="BA167" s="109"/>
      <c r="BB167" s="109"/>
      <c r="BC167" s="109"/>
      <c r="BD167" s="109"/>
      <c r="BE167" s="109"/>
      <c r="BF167" s="109"/>
      <c r="BG167" s="109"/>
      <c r="BH167" s="109"/>
      <c r="BI167" s="109"/>
      <c r="BJ167" s="109"/>
      <c r="BK167" s="109"/>
      <c r="BL167" s="109"/>
      <c r="BM167" s="109"/>
      <c r="BN167" s="109"/>
      <c r="BO167" s="109"/>
      <c r="BP167" s="109"/>
      <c r="BQ167" s="109"/>
      <c r="BR167" s="109"/>
      <c r="BS167" s="109"/>
      <c r="BT167" s="109"/>
      <c r="BU167" s="109"/>
      <c r="BV167" s="109"/>
      <c r="BW167" s="109"/>
      <c r="BX167" s="109"/>
      <c r="BY167" s="109"/>
      <c r="BZ167" s="109"/>
    </row>
    <row r="168" spans="1:78">
      <c r="A168" s="111"/>
      <c r="B168" s="110"/>
      <c r="C168" s="110"/>
      <c r="D168" s="110"/>
      <c r="E168" s="110"/>
      <c r="F168" s="110"/>
      <c r="G168" s="110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09"/>
      <c r="AK168" s="109"/>
      <c r="AL168" s="109"/>
      <c r="AM168" s="109"/>
      <c r="AN168" s="109"/>
      <c r="AO168" s="109"/>
      <c r="AP168" s="109"/>
      <c r="AQ168" s="109"/>
      <c r="AR168" s="109"/>
      <c r="AS168" s="109"/>
      <c r="AT168" s="109"/>
      <c r="AU168" s="109"/>
      <c r="AV168" s="109"/>
      <c r="AW168" s="109"/>
      <c r="AX168" s="109"/>
      <c r="AY168" s="109"/>
      <c r="AZ168" s="109"/>
      <c r="BA168" s="109"/>
      <c r="BB168" s="109"/>
      <c r="BC168" s="109"/>
      <c r="BD168" s="109"/>
      <c r="BE168" s="109"/>
      <c r="BF168" s="109"/>
      <c r="BG168" s="109"/>
      <c r="BH168" s="109"/>
      <c r="BI168" s="109"/>
      <c r="BJ168" s="109"/>
      <c r="BK168" s="109"/>
      <c r="BL168" s="109"/>
      <c r="BM168" s="109"/>
      <c r="BN168" s="109"/>
      <c r="BO168" s="109"/>
      <c r="BP168" s="109"/>
      <c r="BQ168" s="109"/>
      <c r="BR168" s="109"/>
      <c r="BS168" s="109"/>
      <c r="BT168" s="109"/>
      <c r="BU168" s="109"/>
      <c r="BV168" s="109"/>
      <c r="BW168" s="109"/>
      <c r="BX168" s="109"/>
      <c r="BY168" s="109"/>
      <c r="BZ168" s="109"/>
    </row>
    <row r="169" spans="1:78">
      <c r="A169" s="111"/>
      <c r="B169" s="110"/>
      <c r="C169" s="110"/>
      <c r="D169" s="110"/>
      <c r="E169" s="110"/>
      <c r="F169" s="110"/>
      <c r="G169" s="110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  <c r="AC169" s="109"/>
      <c r="AD169" s="109"/>
      <c r="AE169" s="109"/>
      <c r="AF169" s="109"/>
      <c r="AG169" s="109"/>
      <c r="AH169" s="109"/>
      <c r="AI169" s="109"/>
      <c r="AJ169" s="109"/>
      <c r="AK169" s="109"/>
      <c r="AL169" s="109"/>
      <c r="AM169" s="109"/>
      <c r="AN169" s="109"/>
      <c r="AO169" s="109"/>
      <c r="AP169" s="109"/>
      <c r="AQ169" s="109"/>
      <c r="AR169" s="109"/>
      <c r="AS169" s="109"/>
      <c r="AT169" s="109"/>
      <c r="AU169" s="109"/>
      <c r="AV169" s="109"/>
      <c r="AW169" s="109"/>
      <c r="AX169" s="109"/>
      <c r="AY169" s="109"/>
      <c r="AZ169" s="109"/>
      <c r="BA169" s="109"/>
      <c r="BB169" s="109"/>
      <c r="BC169" s="109"/>
      <c r="BD169" s="109"/>
      <c r="BE169" s="109"/>
      <c r="BF169" s="109"/>
      <c r="BG169" s="109"/>
      <c r="BH169" s="109"/>
      <c r="BI169" s="109"/>
      <c r="BJ169" s="109"/>
      <c r="BK169" s="109"/>
      <c r="BL169" s="109"/>
      <c r="BM169" s="109"/>
      <c r="BN169" s="109"/>
      <c r="BO169" s="109"/>
      <c r="BP169" s="109"/>
      <c r="BQ169" s="109"/>
      <c r="BR169" s="109"/>
      <c r="BS169" s="109"/>
      <c r="BT169" s="109"/>
      <c r="BU169" s="109"/>
      <c r="BV169" s="109"/>
      <c r="BW169" s="109"/>
      <c r="BX169" s="109"/>
      <c r="BY169" s="109"/>
      <c r="BZ169" s="109"/>
    </row>
    <row r="170" spans="1:78">
      <c r="A170" s="111"/>
      <c r="B170" s="110"/>
      <c r="C170" s="110"/>
      <c r="D170" s="110"/>
      <c r="E170" s="110"/>
      <c r="F170" s="110"/>
      <c r="G170" s="110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  <c r="AD170" s="109"/>
      <c r="AE170" s="109"/>
      <c r="AF170" s="109"/>
      <c r="AG170" s="109"/>
      <c r="AH170" s="109"/>
      <c r="AI170" s="109"/>
      <c r="AJ170" s="109"/>
      <c r="AK170" s="109"/>
      <c r="AL170" s="109"/>
      <c r="AM170" s="109"/>
      <c r="AN170" s="109"/>
      <c r="AO170" s="109"/>
      <c r="AP170" s="109"/>
      <c r="AQ170" s="109"/>
      <c r="AR170" s="109"/>
      <c r="AS170" s="109"/>
      <c r="AT170" s="109"/>
      <c r="AU170" s="109"/>
      <c r="AV170" s="109"/>
      <c r="AW170" s="109"/>
      <c r="AX170" s="109"/>
      <c r="AY170" s="109"/>
      <c r="AZ170" s="109"/>
      <c r="BA170" s="109"/>
      <c r="BB170" s="109"/>
      <c r="BC170" s="109"/>
      <c r="BD170" s="109"/>
      <c r="BE170" s="109"/>
      <c r="BF170" s="109"/>
      <c r="BG170" s="109"/>
      <c r="BH170" s="109"/>
      <c r="BI170" s="109"/>
      <c r="BJ170" s="109"/>
      <c r="BK170" s="109"/>
      <c r="BL170" s="109"/>
      <c r="BM170" s="109"/>
      <c r="BN170" s="109"/>
      <c r="BO170" s="109"/>
      <c r="BP170" s="109"/>
      <c r="BQ170" s="109"/>
      <c r="BR170" s="109"/>
      <c r="BS170" s="109"/>
      <c r="BT170" s="109"/>
      <c r="BU170" s="109"/>
      <c r="BV170" s="109"/>
      <c r="BW170" s="109"/>
      <c r="BX170" s="109"/>
      <c r="BY170" s="109"/>
      <c r="BZ170" s="109"/>
    </row>
    <row r="171" spans="1:78">
      <c r="A171" s="111"/>
      <c r="B171" s="110"/>
      <c r="C171" s="110"/>
      <c r="D171" s="110"/>
      <c r="E171" s="110"/>
      <c r="F171" s="110"/>
      <c r="G171" s="110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  <c r="AC171" s="109"/>
      <c r="AD171" s="109"/>
      <c r="AE171" s="109"/>
      <c r="AF171" s="109"/>
      <c r="AG171" s="109"/>
      <c r="AH171" s="109"/>
      <c r="AI171" s="109"/>
      <c r="AJ171" s="109"/>
      <c r="AK171" s="109"/>
      <c r="AL171" s="109"/>
      <c r="AM171" s="109"/>
      <c r="AN171" s="109"/>
      <c r="AO171" s="109"/>
      <c r="AP171" s="109"/>
      <c r="AQ171" s="109"/>
      <c r="AR171" s="109"/>
      <c r="AS171" s="109"/>
      <c r="AT171" s="109"/>
      <c r="AU171" s="109"/>
      <c r="AV171" s="109"/>
      <c r="AW171" s="109"/>
      <c r="AX171" s="109"/>
      <c r="AY171" s="109"/>
      <c r="AZ171" s="109"/>
      <c r="BA171" s="109"/>
      <c r="BB171" s="109"/>
      <c r="BC171" s="109"/>
      <c r="BD171" s="109"/>
      <c r="BE171" s="109"/>
      <c r="BF171" s="109"/>
      <c r="BG171" s="109"/>
      <c r="BH171" s="109"/>
      <c r="BI171" s="109"/>
      <c r="BJ171" s="109"/>
      <c r="BK171" s="109"/>
      <c r="BL171" s="109"/>
      <c r="BM171" s="109"/>
      <c r="BN171" s="109"/>
      <c r="BO171" s="109"/>
      <c r="BP171" s="109"/>
      <c r="BQ171" s="109"/>
      <c r="BR171" s="109"/>
      <c r="BS171" s="109"/>
      <c r="BT171" s="109"/>
      <c r="BU171" s="109"/>
      <c r="BV171" s="109"/>
      <c r="BW171" s="109"/>
      <c r="BX171" s="109"/>
      <c r="BY171" s="109"/>
      <c r="BZ171" s="109"/>
    </row>
    <row r="172" spans="1:78">
      <c r="A172" s="111"/>
      <c r="B172" s="110"/>
      <c r="C172" s="110"/>
      <c r="D172" s="110"/>
      <c r="E172" s="110"/>
      <c r="F172" s="110"/>
      <c r="G172" s="110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09"/>
      <c r="AZ172" s="109"/>
      <c r="BA172" s="109"/>
      <c r="BB172" s="109"/>
      <c r="BC172" s="109"/>
      <c r="BD172" s="109"/>
      <c r="BE172" s="109"/>
      <c r="BF172" s="109"/>
      <c r="BG172" s="109"/>
      <c r="BH172" s="109"/>
      <c r="BI172" s="109"/>
      <c r="BJ172" s="109"/>
      <c r="BK172" s="109"/>
      <c r="BL172" s="109"/>
      <c r="BM172" s="109"/>
      <c r="BN172" s="109"/>
      <c r="BO172" s="109"/>
      <c r="BP172" s="109"/>
      <c r="BQ172" s="109"/>
      <c r="BR172" s="109"/>
      <c r="BS172" s="109"/>
      <c r="BT172" s="109"/>
      <c r="BU172" s="109"/>
      <c r="BV172" s="109"/>
      <c r="BW172" s="109"/>
      <c r="BX172" s="109"/>
      <c r="BY172" s="109"/>
      <c r="BZ172" s="109"/>
    </row>
    <row r="173" spans="1:78">
      <c r="A173" s="111"/>
      <c r="B173" s="110"/>
      <c r="C173" s="110"/>
      <c r="D173" s="110"/>
      <c r="E173" s="110"/>
      <c r="F173" s="110"/>
      <c r="G173" s="110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/>
      <c r="AF173" s="109"/>
      <c r="AG173" s="109"/>
      <c r="AH173" s="109"/>
      <c r="AI173" s="109"/>
      <c r="AJ173" s="109"/>
      <c r="AK173" s="109"/>
      <c r="AL173" s="109"/>
      <c r="AM173" s="109"/>
      <c r="AN173" s="109"/>
      <c r="AO173" s="109"/>
      <c r="AP173" s="109"/>
      <c r="AQ173" s="109"/>
      <c r="AR173" s="109"/>
      <c r="AS173" s="109"/>
      <c r="AT173" s="109"/>
      <c r="AU173" s="109"/>
      <c r="AV173" s="109"/>
      <c r="AW173" s="109"/>
      <c r="AX173" s="109"/>
      <c r="AY173" s="109"/>
      <c r="AZ173" s="109"/>
      <c r="BA173" s="109"/>
      <c r="BB173" s="109"/>
      <c r="BC173" s="109"/>
      <c r="BD173" s="109"/>
      <c r="BE173" s="109"/>
      <c r="BF173" s="109"/>
      <c r="BG173" s="109"/>
      <c r="BH173" s="109"/>
      <c r="BI173" s="109"/>
      <c r="BJ173" s="109"/>
      <c r="BK173" s="109"/>
      <c r="BL173" s="109"/>
      <c r="BM173" s="109"/>
      <c r="BN173" s="109"/>
      <c r="BO173" s="109"/>
      <c r="BP173" s="109"/>
      <c r="BQ173" s="109"/>
      <c r="BR173" s="109"/>
      <c r="BS173" s="109"/>
      <c r="BT173" s="109"/>
      <c r="BU173" s="109"/>
      <c r="BV173" s="109"/>
      <c r="BW173" s="109"/>
      <c r="BX173" s="109"/>
      <c r="BY173" s="109"/>
      <c r="BZ173" s="109"/>
    </row>
    <row r="174" spans="1:78">
      <c r="A174" s="111"/>
      <c r="B174" s="110"/>
      <c r="C174" s="110"/>
      <c r="D174" s="110"/>
      <c r="E174" s="110"/>
      <c r="F174" s="110"/>
      <c r="G174" s="110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09"/>
      <c r="AK174" s="109"/>
      <c r="AL174" s="109"/>
      <c r="AM174" s="109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109"/>
      <c r="AY174" s="109"/>
      <c r="AZ174" s="109"/>
      <c r="BA174" s="109"/>
      <c r="BB174" s="109"/>
      <c r="BC174" s="109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09"/>
      <c r="BO174" s="109"/>
      <c r="BP174" s="109"/>
      <c r="BQ174" s="109"/>
      <c r="BR174" s="109"/>
      <c r="BS174" s="109"/>
      <c r="BT174" s="109"/>
      <c r="BU174" s="109"/>
      <c r="BV174" s="109"/>
      <c r="BW174" s="109"/>
      <c r="BX174" s="109"/>
      <c r="BY174" s="109"/>
      <c r="BZ174" s="109"/>
    </row>
    <row r="175" spans="1:78">
      <c r="A175" s="111"/>
      <c r="B175" s="110"/>
      <c r="C175" s="110"/>
      <c r="D175" s="110"/>
      <c r="E175" s="110"/>
      <c r="F175" s="110"/>
      <c r="G175" s="110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  <c r="AA175" s="109"/>
      <c r="AB175" s="109"/>
      <c r="AC175" s="109"/>
      <c r="AD175" s="109"/>
      <c r="AE175" s="109"/>
      <c r="AF175" s="109"/>
      <c r="AG175" s="109"/>
      <c r="AH175" s="109"/>
      <c r="AI175" s="109"/>
      <c r="AJ175" s="109"/>
      <c r="AK175" s="109"/>
      <c r="AL175" s="109"/>
      <c r="AM175" s="109"/>
      <c r="AN175" s="109"/>
      <c r="AO175" s="109"/>
      <c r="AP175" s="109"/>
      <c r="AQ175" s="109"/>
      <c r="AR175" s="109"/>
      <c r="AS175" s="109"/>
      <c r="AT175" s="109"/>
      <c r="AU175" s="109"/>
      <c r="AV175" s="109"/>
      <c r="AW175" s="109"/>
      <c r="AX175" s="109"/>
      <c r="AY175" s="109"/>
      <c r="AZ175" s="109"/>
      <c r="BA175" s="109"/>
      <c r="BB175" s="109"/>
      <c r="BC175" s="109"/>
      <c r="BD175" s="109"/>
      <c r="BE175" s="109"/>
      <c r="BF175" s="109"/>
      <c r="BG175" s="109"/>
      <c r="BH175" s="109"/>
      <c r="BI175" s="109"/>
      <c r="BJ175" s="109"/>
      <c r="BK175" s="109"/>
      <c r="BL175" s="109"/>
      <c r="BM175" s="109"/>
      <c r="BN175" s="109"/>
      <c r="BO175" s="109"/>
      <c r="BP175" s="109"/>
      <c r="BQ175" s="109"/>
      <c r="BR175" s="109"/>
      <c r="BS175" s="109"/>
      <c r="BT175" s="109"/>
      <c r="BU175" s="109"/>
      <c r="BV175" s="109"/>
      <c r="BW175" s="109"/>
      <c r="BX175" s="109"/>
      <c r="BY175" s="109"/>
      <c r="BZ175" s="109"/>
    </row>
    <row r="176" spans="1:78">
      <c r="A176" s="111"/>
      <c r="B176" s="110"/>
      <c r="C176" s="110"/>
      <c r="D176" s="110"/>
      <c r="E176" s="110"/>
      <c r="F176" s="110"/>
      <c r="G176" s="110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  <c r="AE176" s="109"/>
      <c r="AF176" s="109"/>
      <c r="AG176" s="109"/>
      <c r="AH176" s="109"/>
      <c r="AI176" s="109"/>
      <c r="AJ176" s="109"/>
      <c r="AK176" s="109"/>
      <c r="AL176" s="109"/>
      <c r="AM176" s="109"/>
      <c r="AN176" s="109"/>
      <c r="AO176" s="109"/>
      <c r="AP176" s="109"/>
      <c r="AQ176" s="109"/>
      <c r="AR176" s="109"/>
      <c r="AS176" s="109"/>
      <c r="AT176" s="109"/>
      <c r="AU176" s="109"/>
      <c r="AV176" s="109"/>
      <c r="AW176" s="109"/>
      <c r="AX176" s="109"/>
      <c r="AY176" s="109"/>
      <c r="AZ176" s="109"/>
      <c r="BA176" s="109"/>
      <c r="BB176" s="109"/>
      <c r="BC176" s="109"/>
      <c r="BD176" s="109"/>
      <c r="BE176" s="109"/>
      <c r="BF176" s="109"/>
      <c r="BG176" s="109"/>
      <c r="BH176" s="109"/>
      <c r="BI176" s="109"/>
      <c r="BJ176" s="109"/>
      <c r="BK176" s="109"/>
      <c r="BL176" s="109"/>
      <c r="BM176" s="109"/>
      <c r="BN176" s="109"/>
      <c r="BO176" s="109"/>
      <c r="BP176" s="109"/>
      <c r="BQ176" s="109"/>
      <c r="BR176" s="109"/>
      <c r="BS176" s="109"/>
      <c r="BT176" s="109"/>
      <c r="BU176" s="109"/>
      <c r="BV176" s="109"/>
      <c r="BW176" s="109"/>
      <c r="BX176" s="109"/>
      <c r="BY176" s="109"/>
      <c r="BZ176" s="109"/>
    </row>
    <row r="177" spans="1:78">
      <c r="A177" s="111"/>
      <c r="B177" s="110"/>
      <c r="C177" s="110"/>
      <c r="D177" s="110"/>
      <c r="E177" s="110"/>
      <c r="F177" s="110"/>
      <c r="G177" s="110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109"/>
      <c r="AA177" s="109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09"/>
      <c r="AO177" s="109"/>
      <c r="AP177" s="109"/>
      <c r="AQ177" s="109"/>
      <c r="AR177" s="109"/>
      <c r="AS177" s="109"/>
      <c r="AT177" s="109"/>
      <c r="AU177" s="109"/>
      <c r="AV177" s="109"/>
      <c r="AW177" s="109"/>
      <c r="AX177" s="109"/>
      <c r="AY177" s="109"/>
      <c r="AZ177" s="109"/>
      <c r="BA177" s="109"/>
      <c r="BB177" s="109"/>
      <c r="BC177" s="109"/>
      <c r="BD177" s="109"/>
      <c r="BE177" s="109"/>
      <c r="BF177" s="109"/>
      <c r="BG177" s="109"/>
      <c r="BH177" s="109"/>
      <c r="BI177" s="109"/>
      <c r="BJ177" s="109"/>
      <c r="BK177" s="109"/>
      <c r="BL177" s="109"/>
      <c r="BM177" s="109"/>
      <c r="BN177" s="109"/>
      <c r="BO177" s="109"/>
      <c r="BP177" s="109"/>
      <c r="BQ177" s="109"/>
      <c r="BR177" s="109"/>
      <c r="BS177" s="109"/>
      <c r="BT177" s="109"/>
      <c r="BU177" s="109"/>
      <c r="BV177" s="109"/>
      <c r="BW177" s="109"/>
      <c r="BX177" s="109"/>
      <c r="BY177" s="109"/>
      <c r="BZ177" s="109"/>
    </row>
    <row r="178" spans="1:78">
      <c r="A178" s="111"/>
      <c r="B178" s="110"/>
      <c r="C178" s="110"/>
      <c r="D178" s="110"/>
      <c r="E178" s="110"/>
      <c r="F178" s="110"/>
      <c r="G178" s="110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  <c r="Z178" s="109"/>
      <c r="AA178" s="109"/>
      <c r="AB178" s="109"/>
      <c r="AC178" s="109"/>
      <c r="AD178" s="109"/>
      <c r="AE178" s="109"/>
      <c r="AF178" s="109"/>
      <c r="AG178" s="109"/>
      <c r="AH178" s="109"/>
      <c r="AI178" s="109"/>
      <c r="AJ178" s="109"/>
      <c r="AK178" s="109"/>
      <c r="AL178" s="109"/>
      <c r="AM178" s="109"/>
      <c r="AN178" s="109"/>
      <c r="AO178" s="109"/>
      <c r="AP178" s="109"/>
      <c r="AQ178" s="109"/>
      <c r="AR178" s="109"/>
      <c r="AS178" s="109"/>
      <c r="AT178" s="109"/>
      <c r="AU178" s="109"/>
      <c r="AV178" s="109"/>
      <c r="AW178" s="109"/>
      <c r="AX178" s="109"/>
      <c r="AY178" s="109"/>
      <c r="AZ178" s="109"/>
      <c r="BA178" s="109"/>
      <c r="BB178" s="109"/>
      <c r="BC178" s="109"/>
      <c r="BD178" s="109"/>
      <c r="BE178" s="109"/>
      <c r="BF178" s="109"/>
      <c r="BG178" s="109"/>
      <c r="BH178" s="109"/>
      <c r="BI178" s="109"/>
      <c r="BJ178" s="109"/>
      <c r="BK178" s="109"/>
      <c r="BL178" s="109"/>
      <c r="BM178" s="109"/>
      <c r="BN178" s="109"/>
      <c r="BO178" s="109"/>
      <c r="BP178" s="109"/>
      <c r="BQ178" s="109"/>
      <c r="BR178" s="109"/>
      <c r="BS178" s="109"/>
      <c r="BT178" s="109"/>
      <c r="BU178" s="109"/>
      <c r="BV178" s="109"/>
      <c r="BW178" s="109"/>
      <c r="BX178" s="109"/>
      <c r="BY178" s="109"/>
      <c r="BZ178" s="109"/>
    </row>
    <row r="179" spans="1:78">
      <c r="A179" s="111"/>
      <c r="B179" s="110"/>
      <c r="C179" s="110"/>
      <c r="D179" s="110"/>
      <c r="E179" s="110"/>
      <c r="F179" s="110"/>
      <c r="G179" s="110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  <c r="Z179" s="109"/>
      <c r="AA179" s="109"/>
      <c r="AB179" s="109"/>
      <c r="AC179" s="109"/>
      <c r="AD179" s="109"/>
      <c r="AE179" s="109"/>
      <c r="AF179" s="109"/>
      <c r="AG179" s="109"/>
      <c r="AH179" s="109"/>
      <c r="AI179" s="109"/>
      <c r="AJ179" s="109"/>
      <c r="AK179" s="109"/>
      <c r="AL179" s="109"/>
      <c r="AM179" s="109"/>
      <c r="AN179" s="109"/>
      <c r="AO179" s="109"/>
      <c r="AP179" s="109"/>
      <c r="AQ179" s="109"/>
      <c r="AR179" s="109"/>
      <c r="AS179" s="109"/>
      <c r="AT179" s="109"/>
      <c r="AU179" s="109"/>
      <c r="AV179" s="109"/>
      <c r="AW179" s="109"/>
      <c r="AX179" s="109"/>
      <c r="AY179" s="109"/>
      <c r="AZ179" s="109"/>
      <c r="BA179" s="109"/>
      <c r="BB179" s="109"/>
      <c r="BC179" s="109"/>
      <c r="BD179" s="109"/>
      <c r="BE179" s="109"/>
      <c r="BF179" s="109"/>
      <c r="BG179" s="109"/>
      <c r="BH179" s="109"/>
      <c r="BI179" s="109"/>
      <c r="BJ179" s="109"/>
      <c r="BK179" s="109"/>
      <c r="BL179" s="109"/>
      <c r="BM179" s="109"/>
      <c r="BN179" s="109"/>
      <c r="BO179" s="109"/>
      <c r="BP179" s="109"/>
      <c r="BQ179" s="109"/>
      <c r="BR179" s="109"/>
      <c r="BS179" s="109"/>
      <c r="BT179" s="109"/>
      <c r="BU179" s="109"/>
      <c r="BV179" s="109"/>
      <c r="BW179" s="109"/>
      <c r="BX179" s="109"/>
      <c r="BY179" s="109"/>
      <c r="BZ179" s="109"/>
    </row>
    <row r="180" spans="1:78">
      <c r="A180" s="111"/>
      <c r="B180" s="110"/>
      <c r="C180" s="110"/>
      <c r="D180" s="110"/>
      <c r="E180" s="110"/>
      <c r="F180" s="110"/>
      <c r="G180" s="110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  <c r="AA180" s="109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9"/>
      <c r="AO180" s="109"/>
      <c r="AP180" s="109"/>
      <c r="AQ180" s="109"/>
      <c r="AR180" s="109"/>
      <c r="AS180" s="109"/>
      <c r="AT180" s="109"/>
      <c r="AU180" s="109"/>
      <c r="AV180" s="109"/>
      <c r="AW180" s="109"/>
      <c r="AX180" s="109"/>
      <c r="AY180" s="109"/>
      <c r="AZ180" s="109"/>
      <c r="BA180" s="109"/>
      <c r="BB180" s="109"/>
      <c r="BC180" s="109"/>
      <c r="BD180" s="109"/>
      <c r="BE180" s="109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09"/>
      <c r="BR180" s="109"/>
      <c r="BS180" s="109"/>
      <c r="BT180" s="109"/>
      <c r="BU180" s="109"/>
      <c r="BV180" s="109"/>
      <c r="BW180" s="109"/>
      <c r="BX180" s="109"/>
      <c r="BY180" s="109"/>
      <c r="BZ180" s="109"/>
    </row>
    <row r="181" spans="1:78">
      <c r="A181" s="111"/>
      <c r="B181" s="110"/>
      <c r="C181" s="110"/>
      <c r="D181" s="110"/>
      <c r="E181" s="110"/>
      <c r="F181" s="110"/>
      <c r="G181" s="110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109"/>
      <c r="AC181" s="109"/>
      <c r="AD181" s="109"/>
      <c r="AE181" s="109"/>
      <c r="AF181" s="109"/>
      <c r="AG181" s="109"/>
      <c r="AH181" s="109"/>
      <c r="AI181" s="109"/>
      <c r="AJ181" s="109"/>
      <c r="AK181" s="109"/>
      <c r="AL181" s="109"/>
      <c r="AM181" s="109"/>
      <c r="AN181" s="109"/>
      <c r="AO181" s="109"/>
      <c r="AP181" s="109"/>
      <c r="AQ181" s="109"/>
      <c r="AR181" s="109"/>
      <c r="AS181" s="109"/>
      <c r="AT181" s="109"/>
      <c r="AU181" s="109"/>
      <c r="AV181" s="109"/>
      <c r="AW181" s="109"/>
      <c r="AX181" s="109"/>
      <c r="AY181" s="109"/>
      <c r="AZ181" s="109"/>
      <c r="BA181" s="109"/>
      <c r="BB181" s="109"/>
      <c r="BC181" s="109"/>
      <c r="BD181" s="109"/>
      <c r="BE181" s="109"/>
      <c r="BF181" s="109"/>
      <c r="BG181" s="109"/>
      <c r="BH181" s="109"/>
      <c r="BI181" s="109"/>
      <c r="BJ181" s="109"/>
      <c r="BK181" s="109"/>
      <c r="BL181" s="109"/>
      <c r="BM181" s="109"/>
      <c r="BN181" s="109"/>
      <c r="BO181" s="109"/>
      <c r="BP181" s="109"/>
      <c r="BQ181" s="109"/>
      <c r="BR181" s="109"/>
      <c r="BS181" s="109"/>
      <c r="BT181" s="109"/>
      <c r="BU181" s="109"/>
      <c r="BV181" s="109"/>
      <c r="BW181" s="109"/>
      <c r="BX181" s="109"/>
      <c r="BY181" s="109"/>
      <c r="BZ181" s="109"/>
    </row>
    <row r="182" spans="1:78">
      <c r="A182" s="111"/>
      <c r="B182" s="110"/>
      <c r="C182" s="110"/>
      <c r="D182" s="110"/>
      <c r="E182" s="110"/>
      <c r="F182" s="110"/>
      <c r="G182" s="110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109"/>
      <c r="AA182" s="109"/>
      <c r="AB182" s="109"/>
      <c r="AC182" s="109"/>
      <c r="AD182" s="109"/>
      <c r="AE182" s="109"/>
      <c r="AF182" s="109"/>
      <c r="AG182" s="109"/>
      <c r="AH182" s="109"/>
      <c r="AI182" s="109"/>
      <c r="AJ182" s="109"/>
      <c r="AK182" s="109"/>
      <c r="AL182" s="109"/>
      <c r="AM182" s="109"/>
      <c r="AN182" s="109"/>
      <c r="AO182" s="109"/>
      <c r="AP182" s="109"/>
      <c r="AQ182" s="109"/>
      <c r="AR182" s="109"/>
      <c r="AS182" s="109"/>
      <c r="AT182" s="109"/>
      <c r="AU182" s="109"/>
      <c r="AV182" s="109"/>
      <c r="AW182" s="109"/>
      <c r="AX182" s="109"/>
      <c r="AY182" s="109"/>
      <c r="AZ182" s="109"/>
      <c r="BA182" s="109"/>
      <c r="BB182" s="109"/>
      <c r="BC182" s="109"/>
      <c r="BD182" s="109"/>
      <c r="BE182" s="109"/>
      <c r="BF182" s="109"/>
      <c r="BG182" s="109"/>
      <c r="BH182" s="109"/>
      <c r="BI182" s="109"/>
      <c r="BJ182" s="109"/>
      <c r="BK182" s="109"/>
      <c r="BL182" s="109"/>
      <c r="BM182" s="109"/>
      <c r="BN182" s="109"/>
      <c r="BO182" s="109"/>
      <c r="BP182" s="109"/>
      <c r="BQ182" s="109"/>
      <c r="BR182" s="109"/>
      <c r="BS182" s="109"/>
      <c r="BT182" s="109"/>
      <c r="BU182" s="109"/>
      <c r="BV182" s="109"/>
      <c r="BW182" s="109"/>
      <c r="BX182" s="109"/>
      <c r="BY182" s="109"/>
      <c r="BZ182" s="109"/>
    </row>
    <row r="183" spans="1:78">
      <c r="A183" s="111"/>
      <c r="B183" s="110"/>
      <c r="C183" s="110"/>
      <c r="D183" s="110"/>
      <c r="E183" s="110"/>
      <c r="F183" s="110"/>
      <c r="G183" s="110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  <c r="Z183" s="109"/>
      <c r="AA183" s="109"/>
      <c r="AB183" s="109"/>
      <c r="AC183" s="109"/>
      <c r="AD183" s="109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09"/>
      <c r="AO183" s="109"/>
      <c r="AP183" s="109"/>
      <c r="AQ183" s="109"/>
      <c r="AR183" s="109"/>
      <c r="AS183" s="109"/>
      <c r="AT183" s="109"/>
      <c r="AU183" s="109"/>
      <c r="AV183" s="109"/>
      <c r="AW183" s="109"/>
      <c r="AX183" s="109"/>
      <c r="AY183" s="109"/>
      <c r="AZ183" s="109"/>
      <c r="BA183" s="109"/>
      <c r="BB183" s="109"/>
      <c r="BC183" s="109"/>
      <c r="BD183" s="109"/>
      <c r="BE183" s="109"/>
      <c r="BF183" s="109"/>
      <c r="BG183" s="109"/>
      <c r="BH183" s="109"/>
      <c r="BI183" s="109"/>
      <c r="BJ183" s="109"/>
      <c r="BK183" s="109"/>
      <c r="BL183" s="109"/>
      <c r="BM183" s="109"/>
      <c r="BN183" s="109"/>
      <c r="BO183" s="109"/>
      <c r="BP183" s="109"/>
      <c r="BQ183" s="109"/>
      <c r="BR183" s="109"/>
      <c r="BS183" s="109"/>
      <c r="BT183" s="109"/>
      <c r="BU183" s="109"/>
      <c r="BV183" s="109"/>
      <c r="BW183" s="109"/>
      <c r="BX183" s="109"/>
      <c r="BY183" s="109"/>
      <c r="BZ183" s="109"/>
    </row>
    <row r="184" spans="1:78">
      <c r="A184" s="111"/>
      <c r="B184" s="110"/>
      <c r="C184" s="110"/>
      <c r="D184" s="110"/>
      <c r="E184" s="110"/>
      <c r="F184" s="110"/>
      <c r="G184" s="110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09"/>
      <c r="AK184" s="109"/>
      <c r="AL184" s="109"/>
      <c r="AM184" s="109"/>
      <c r="AN184" s="109"/>
      <c r="AO184" s="109"/>
      <c r="AP184" s="109"/>
      <c r="AQ184" s="109"/>
      <c r="AR184" s="109"/>
      <c r="AS184" s="109"/>
      <c r="AT184" s="109"/>
      <c r="AU184" s="109"/>
      <c r="AV184" s="109"/>
      <c r="AW184" s="109"/>
      <c r="AX184" s="109"/>
      <c r="AY184" s="109"/>
      <c r="AZ184" s="109"/>
      <c r="BA184" s="109"/>
      <c r="BB184" s="109"/>
      <c r="BC184" s="109"/>
      <c r="BD184" s="109"/>
      <c r="BE184" s="109"/>
      <c r="BF184" s="109"/>
      <c r="BG184" s="109"/>
      <c r="BH184" s="109"/>
      <c r="BI184" s="109"/>
      <c r="BJ184" s="109"/>
      <c r="BK184" s="109"/>
      <c r="BL184" s="109"/>
      <c r="BM184" s="109"/>
      <c r="BN184" s="109"/>
      <c r="BO184" s="109"/>
      <c r="BP184" s="109"/>
      <c r="BQ184" s="109"/>
      <c r="BR184" s="109"/>
      <c r="BS184" s="109"/>
      <c r="BT184" s="109"/>
      <c r="BU184" s="109"/>
      <c r="BV184" s="109"/>
      <c r="BW184" s="109"/>
      <c r="BX184" s="109"/>
      <c r="BY184" s="109"/>
      <c r="BZ184" s="109"/>
    </row>
    <row r="185" spans="1:78">
      <c r="A185" s="111"/>
      <c r="B185" s="110"/>
      <c r="C185" s="110"/>
      <c r="D185" s="110"/>
      <c r="E185" s="110"/>
      <c r="F185" s="110"/>
      <c r="G185" s="110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09"/>
      <c r="AK185" s="109"/>
      <c r="AL185" s="109"/>
      <c r="AM185" s="109"/>
      <c r="AN185" s="109"/>
      <c r="AO185" s="109"/>
      <c r="AP185" s="109"/>
      <c r="AQ185" s="109"/>
      <c r="AR185" s="109"/>
      <c r="AS185" s="109"/>
      <c r="AT185" s="109"/>
      <c r="AU185" s="109"/>
      <c r="AV185" s="109"/>
      <c r="AW185" s="109"/>
      <c r="AX185" s="109"/>
      <c r="AY185" s="109"/>
      <c r="AZ185" s="109"/>
      <c r="BA185" s="109"/>
      <c r="BB185" s="109"/>
      <c r="BC185" s="109"/>
      <c r="BD185" s="109"/>
      <c r="BE185" s="109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09"/>
      <c r="BR185" s="109"/>
      <c r="BS185" s="109"/>
      <c r="BT185" s="109"/>
      <c r="BU185" s="109"/>
      <c r="BV185" s="109"/>
      <c r="BW185" s="109"/>
      <c r="BX185" s="109"/>
      <c r="BY185" s="109"/>
      <c r="BZ185" s="109"/>
    </row>
    <row r="186" spans="1:78">
      <c r="A186" s="111"/>
      <c r="B186" s="110"/>
      <c r="C186" s="110"/>
      <c r="D186" s="110"/>
      <c r="E186" s="110"/>
      <c r="F186" s="110"/>
      <c r="G186" s="110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09"/>
      <c r="AK186" s="109"/>
      <c r="AL186" s="109"/>
      <c r="AM186" s="109"/>
      <c r="AN186" s="109"/>
      <c r="AO186" s="109"/>
      <c r="AP186" s="109"/>
      <c r="AQ186" s="109"/>
      <c r="AR186" s="109"/>
      <c r="AS186" s="109"/>
      <c r="AT186" s="109"/>
      <c r="AU186" s="109"/>
      <c r="AV186" s="109"/>
      <c r="AW186" s="109"/>
      <c r="AX186" s="109"/>
      <c r="AY186" s="109"/>
      <c r="AZ186" s="109"/>
      <c r="BA186" s="109"/>
      <c r="BB186" s="109"/>
      <c r="BC186" s="109"/>
      <c r="BD186" s="109"/>
      <c r="BE186" s="109"/>
      <c r="BF186" s="109"/>
      <c r="BG186" s="109"/>
      <c r="BH186" s="109"/>
      <c r="BI186" s="109"/>
      <c r="BJ186" s="109"/>
      <c r="BK186" s="109"/>
      <c r="BL186" s="109"/>
      <c r="BM186" s="109"/>
      <c r="BN186" s="109"/>
      <c r="BO186" s="109"/>
      <c r="BP186" s="109"/>
      <c r="BQ186" s="109"/>
      <c r="BR186" s="109"/>
      <c r="BS186" s="109"/>
      <c r="BT186" s="109"/>
      <c r="BU186" s="109"/>
      <c r="BV186" s="109"/>
      <c r="BW186" s="109"/>
      <c r="BX186" s="109"/>
      <c r="BY186" s="109"/>
      <c r="BZ186" s="109"/>
    </row>
    <row r="187" spans="1:78">
      <c r="A187" s="111"/>
      <c r="B187" s="110"/>
      <c r="C187" s="110"/>
      <c r="D187" s="110"/>
      <c r="E187" s="110"/>
      <c r="F187" s="110"/>
      <c r="G187" s="110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09"/>
      <c r="AK187" s="109"/>
      <c r="AL187" s="109"/>
      <c r="AM187" s="109"/>
      <c r="AN187" s="109"/>
      <c r="AO187" s="109"/>
      <c r="AP187" s="109"/>
      <c r="AQ187" s="109"/>
      <c r="AR187" s="109"/>
      <c r="AS187" s="109"/>
      <c r="AT187" s="109"/>
      <c r="AU187" s="109"/>
      <c r="AV187" s="109"/>
      <c r="AW187" s="109"/>
      <c r="AX187" s="109"/>
      <c r="AY187" s="109"/>
      <c r="AZ187" s="109"/>
      <c r="BA187" s="109"/>
      <c r="BB187" s="109"/>
      <c r="BC187" s="109"/>
      <c r="BD187" s="109"/>
      <c r="BE187" s="109"/>
      <c r="BF187" s="109"/>
      <c r="BG187" s="109"/>
      <c r="BH187" s="109"/>
      <c r="BI187" s="109"/>
      <c r="BJ187" s="109"/>
      <c r="BK187" s="109"/>
      <c r="BL187" s="109"/>
      <c r="BM187" s="109"/>
      <c r="BN187" s="109"/>
      <c r="BO187" s="109"/>
      <c r="BP187" s="109"/>
      <c r="BQ187" s="109"/>
      <c r="BR187" s="109"/>
      <c r="BS187" s="109"/>
      <c r="BT187" s="109"/>
      <c r="BU187" s="109"/>
      <c r="BV187" s="109"/>
      <c r="BW187" s="109"/>
      <c r="BX187" s="109"/>
      <c r="BY187" s="109"/>
      <c r="BZ187" s="109"/>
    </row>
    <row r="188" spans="1:78">
      <c r="A188" s="111"/>
      <c r="B188" s="110"/>
      <c r="C188" s="110"/>
      <c r="D188" s="110"/>
      <c r="E188" s="110"/>
      <c r="F188" s="110"/>
      <c r="G188" s="110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/>
      <c r="AG188" s="109"/>
      <c r="AH188" s="109"/>
      <c r="AI188" s="109"/>
      <c r="AJ188" s="109"/>
      <c r="AK188" s="109"/>
      <c r="AL188" s="109"/>
      <c r="AM188" s="109"/>
      <c r="AN188" s="109"/>
      <c r="AO188" s="109"/>
      <c r="AP188" s="109"/>
      <c r="AQ188" s="109"/>
      <c r="AR188" s="109"/>
      <c r="AS188" s="109"/>
      <c r="AT188" s="109"/>
      <c r="AU188" s="109"/>
      <c r="AV188" s="109"/>
      <c r="AW188" s="109"/>
      <c r="AX188" s="109"/>
      <c r="AY188" s="109"/>
      <c r="AZ188" s="109"/>
      <c r="BA188" s="109"/>
      <c r="BB188" s="109"/>
      <c r="BC188" s="109"/>
      <c r="BD188" s="109"/>
      <c r="BE188" s="109"/>
      <c r="BF188" s="109"/>
      <c r="BG188" s="109"/>
      <c r="BH188" s="109"/>
      <c r="BI188" s="109"/>
      <c r="BJ188" s="109"/>
      <c r="BK188" s="109"/>
      <c r="BL188" s="109"/>
      <c r="BM188" s="109"/>
      <c r="BN188" s="109"/>
      <c r="BO188" s="109"/>
      <c r="BP188" s="109"/>
      <c r="BQ188" s="109"/>
      <c r="BR188" s="109"/>
      <c r="BS188" s="109"/>
      <c r="BT188" s="109"/>
      <c r="BU188" s="109"/>
      <c r="BV188" s="109"/>
      <c r="BW188" s="109"/>
      <c r="BX188" s="109"/>
      <c r="BY188" s="109"/>
      <c r="BZ188" s="109"/>
    </row>
    <row r="189" spans="1:78">
      <c r="A189" s="111"/>
      <c r="B189" s="110"/>
      <c r="C189" s="110"/>
      <c r="D189" s="110"/>
      <c r="E189" s="110"/>
      <c r="F189" s="110"/>
      <c r="G189" s="110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  <c r="AF189" s="109"/>
      <c r="AG189" s="109"/>
      <c r="AH189" s="109"/>
      <c r="AI189" s="109"/>
      <c r="AJ189" s="109"/>
      <c r="AK189" s="109"/>
      <c r="AL189" s="109"/>
      <c r="AM189" s="109"/>
      <c r="AN189" s="109"/>
      <c r="AO189" s="109"/>
      <c r="AP189" s="109"/>
      <c r="AQ189" s="109"/>
      <c r="AR189" s="109"/>
      <c r="AS189" s="109"/>
      <c r="AT189" s="109"/>
      <c r="AU189" s="109"/>
      <c r="AV189" s="109"/>
      <c r="AW189" s="109"/>
      <c r="AX189" s="109"/>
      <c r="AY189" s="109"/>
      <c r="AZ189" s="109"/>
      <c r="BA189" s="109"/>
      <c r="BB189" s="109"/>
      <c r="BC189" s="109"/>
      <c r="BD189" s="109"/>
      <c r="BE189" s="109"/>
      <c r="BF189" s="109"/>
      <c r="BG189" s="109"/>
      <c r="BH189" s="109"/>
      <c r="BI189" s="109"/>
      <c r="BJ189" s="109"/>
      <c r="BK189" s="109"/>
      <c r="BL189" s="109"/>
      <c r="BM189" s="109"/>
      <c r="BN189" s="109"/>
      <c r="BO189" s="109"/>
      <c r="BP189" s="109"/>
      <c r="BQ189" s="109"/>
      <c r="BR189" s="109"/>
      <c r="BS189" s="109"/>
      <c r="BT189" s="109"/>
      <c r="BU189" s="109"/>
      <c r="BV189" s="109"/>
      <c r="BW189" s="109"/>
      <c r="BX189" s="109"/>
      <c r="BY189" s="109"/>
      <c r="BZ189" s="109"/>
    </row>
    <row r="190" spans="1:78">
      <c r="A190" s="111"/>
      <c r="B190" s="110"/>
      <c r="C190" s="110"/>
      <c r="D190" s="110"/>
      <c r="E190" s="110"/>
      <c r="F190" s="110"/>
      <c r="G190" s="110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/>
      <c r="AG190" s="109"/>
      <c r="AH190" s="109"/>
      <c r="AI190" s="109"/>
      <c r="AJ190" s="109"/>
      <c r="AK190" s="109"/>
      <c r="AL190" s="109"/>
      <c r="AM190" s="109"/>
      <c r="AN190" s="109"/>
      <c r="AO190" s="109"/>
      <c r="AP190" s="109"/>
      <c r="AQ190" s="109"/>
      <c r="AR190" s="109"/>
      <c r="AS190" s="109"/>
      <c r="AT190" s="109"/>
      <c r="AU190" s="109"/>
      <c r="AV190" s="109"/>
      <c r="AW190" s="109"/>
      <c r="AX190" s="109"/>
      <c r="AY190" s="109"/>
      <c r="AZ190" s="109"/>
      <c r="BA190" s="109"/>
      <c r="BB190" s="109"/>
      <c r="BC190" s="109"/>
      <c r="BD190" s="109"/>
      <c r="BE190" s="109"/>
      <c r="BF190" s="109"/>
      <c r="BG190" s="109"/>
      <c r="BH190" s="109"/>
      <c r="BI190" s="109"/>
      <c r="BJ190" s="109"/>
      <c r="BK190" s="109"/>
      <c r="BL190" s="109"/>
      <c r="BM190" s="109"/>
      <c r="BN190" s="109"/>
      <c r="BO190" s="109"/>
      <c r="BP190" s="109"/>
      <c r="BQ190" s="109"/>
      <c r="BR190" s="109"/>
      <c r="BS190" s="109"/>
      <c r="BT190" s="109"/>
      <c r="BU190" s="109"/>
      <c r="BV190" s="109"/>
      <c r="BW190" s="109"/>
      <c r="BX190" s="109"/>
      <c r="BY190" s="109"/>
      <c r="BZ190" s="109"/>
    </row>
    <row r="191" spans="1:78">
      <c r="A191" s="111"/>
      <c r="B191" s="110"/>
      <c r="C191" s="110"/>
      <c r="D191" s="110"/>
      <c r="E191" s="110"/>
      <c r="F191" s="110"/>
      <c r="G191" s="110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  <c r="AA191" s="109"/>
      <c r="AB191" s="109"/>
      <c r="AC191" s="109"/>
      <c r="AD191" s="109"/>
      <c r="AE191" s="109"/>
      <c r="AF191" s="109"/>
      <c r="AG191" s="109"/>
      <c r="AH191" s="109"/>
      <c r="AI191" s="109"/>
      <c r="AJ191" s="109"/>
      <c r="AK191" s="109"/>
      <c r="AL191" s="109"/>
      <c r="AM191" s="109"/>
      <c r="AN191" s="109"/>
      <c r="AO191" s="109"/>
      <c r="AP191" s="109"/>
      <c r="AQ191" s="109"/>
      <c r="AR191" s="109"/>
      <c r="AS191" s="109"/>
      <c r="AT191" s="109"/>
      <c r="AU191" s="109"/>
      <c r="AV191" s="109"/>
      <c r="AW191" s="109"/>
      <c r="AX191" s="109"/>
      <c r="AY191" s="109"/>
      <c r="AZ191" s="109"/>
      <c r="BA191" s="109"/>
      <c r="BB191" s="109"/>
      <c r="BC191" s="109"/>
      <c r="BD191" s="109"/>
      <c r="BE191" s="109"/>
      <c r="BF191" s="109"/>
      <c r="BG191" s="109"/>
      <c r="BH191" s="109"/>
      <c r="BI191" s="109"/>
      <c r="BJ191" s="109"/>
      <c r="BK191" s="109"/>
      <c r="BL191" s="109"/>
      <c r="BM191" s="109"/>
      <c r="BN191" s="109"/>
      <c r="BO191" s="109"/>
      <c r="BP191" s="109"/>
      <c r="BQ191" s="109"/>
      <c r="BR191" s="109"/>
      <c r="BS191" s="109"/>
      <c r="BT191" s="109"/>
      <c r="BU191" s="109"/>
      <c r="BV191" s="109"/>
      <c r="BW191" s="109"/>
      <c r="BX191" s="109"/>
      <c r="BY191" s="109"/>
      <c r="BZ191" s="109"/>
    </row>
    <row r="192" spans="1:78">
      <c r="A192" s="111"/>
      <c r="B192" s="110"/>
      <c r="C192" s="110"/>
      <c r="D192" s="110"/>
      <c r="E192" s="110"/>
      <c r="F192" s="110"/>
      <c r="G192" s="110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09"/>
      <c r="AK192" s="109"/>
      <c r="AL192" s="109"/>
      <c r="AM192" s="109"/>
      <c r="AN192" s="109"/>
      <c r="AO192" s="109"/>
      <c r="AP192" s="109"/>
      <c r="AQ192" s="109"/>
      <c r="AR192" s="109"/>
      <c r="AS192" s="109"/>
      <c r="AT192" s="109"/>
      <c r="AU192" s="109"/>
      <c r="AV192" s="109"/>
      <c r="AW192" s="109"/>
      <c r="AX192" s="109"/>
      <c r="AY192" s="109"/>
      <c r="AZ192" s="109"/>
      <c r="BA192" s="109"/>
      <c r="BB192" s="109"/>
      <c r="BC192" s="109"/>
      <c r="BD192" s="109"/>
      <c r="BE192" s="109"/>
      <c r="BF192" s="109"/>
      <c r="BG192" s="109"/>
      <c r="BH192" s="109"/>
      <c r="BI192" s="109"/>
      <c r="BJ192" s="109"/>
      <c r="BK192" s="109"/>
      <c r="BL192" s="109"/>
      <c r="BM192" s="109"/>
      <c r="BN192" s="109"/>
      <c r="BO192" s="109"/>
      <c r="BP192" s="109"/>
      <c r="BQ192" s="109"/>
      <c r="BR192" s="109"/>
      <c r="BS192" s="109"/>
      <c r="BT192" s="109"/>
      <c r="BU192" s="109"/>
      <c r="BV192" s="109"/>
      <c r="BW192" s="109"/>
      <c r="BX192" s="109"/>
      <c r="BY192" s="109"/>
      <c r="BZ192" s="109"/>
    </row>
    <row r="193" spans="1:78">
      <c r="A193" s="111"/>
      <c r="B193" s="110"/>
      <c r="C193" s="110"/>
      <c r="D193" s="110"/>
      <c r="E193" s="110"/>
      <c r="F193" s="110"/>
      <c r="G193" s="110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109"/>
      <c r="AE193" s="109"/>
      <c r="AF193" s="109"/>
      <c r="AG193" s="109"/>
      <c r="AH193" s="109"/>
      <c r="AI193" s="109"/>
      <c r="AJ193" s="109"/>
      <c r="AK193" s="109"/>
      <c r="AL193" s="109"/>
      <c r="AM193" s="109"/>
      <c r="AN193" s="109"/>
      <c r="AO193" s="109"/>
      <c r="AP193" s="109"/>
      <c r="AQ193" s="109"/>
      <c r="AR193" s="109"/>
      <c r="AS193" s="109"/>
      <c r="AT193" s="109"/>
      <c r="AU193" s="109"/>
      <c r="AV193" s="109"/>
      <c r="AW193" s="109"/>
      <c r="AX193" s="109"/>
      <c r="AY193" s="109"/>
      <c r="AZ193" s="109"/>
      <c r="BA193" s="109"/>
      <c r="BB193" s="109"/>
      <c r="BC193" s="109"/>
      <c r="BD193" s="109"/>
      <c r="BE193" s="109"/>
      <c r="BF193" s="109"/>
      <c r="BG193" s="109"/>
      <c r="BH193" s="109"/>
      <c r="BI193" s="109"/>
      <c r="BJ193" s="109"/>
      <c r="BK193" s="109"/>
      <c r="BL193" s="109"/>
      <c r="BM193" s="109"/>
      <c r="BN193" s="109"/>
      <c r="BO193" s="109"/>
      <c r="BP193" s="109"/>
      <c r="BQ193" s="109"/>
      <c r="BR193" s="109"/>
      <c r="BS193" s="109"/>
      <c r="BT193" s="109"/>
      <c r="BU193" s="109"/>
      <c r="BV193" s="109"/>
      <c r="BW193" s="109"/>
      <c r="BX193" s="109"/>
      <c r="BY193" s="109"/>
      <c r="BZ193" s="109"/>
    </row>
    <row r="194" spans="1:78">
      <c r="A194" s="111"/>
      <c r="B194" s="110"/>
      <c r="C194" s="110"/>
      <c r="D194" s="110"/>
      <c r="E194" s="110"/>
      <c r="F194" s="110"/>
      <c r="G194" s="110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  <c r="Z194" s="109"/>
      <c r="AA194" s="109"/>
      <c r="AB194" s="109"/>
      <c r="AC194" s="109"/>
      <c r="AD194" s="109"/>
      <c r="AE194" s="109"/>
      <c r="AF194" s="109"/>
      <c r="AG194" s="109"/>
      <c r="AH194" s="109"/>
      <c r="AI194" s="109"/>
      <c r="AJ194" s="109"/>
      <c r="AK194" s="109"/>
      <c r="AL194" s="109"/>
      <c r="AM194" s="109"/>
      <c r="AN194" s="109"/>
      <c r="AO194" s="109"/>
      <c r="AP194" s="109"/>
      <c r="AQ194" s="109"/>
      <c r="AR194" s="109"/>
      <c r="AS194" s="109"/>
      <c r="AT194" s="109"/>
      <c r="AU194" s="109"/>
      <c r="AV194" s="109"/>
      <c r="AW194" s="109"/>
      <c r="AX194" s="109"/>
      <c r="AY194" s="109"/>
      <c r="AZ194" s="109"/>
      <c r="BA194" s="109"/>
      <c r="BB194" s="109"/>
      <c r="BC194" s="109"/>
      <c r="BD194" s="109"/>
      <c r="BE194" s="109"/>
      <c r="BF194" s="109"/>
      <c r="BG194" s="109"/>
      <c r="BH194" s="109"/>
      <c r="BI194" s="109"/>
      <c r="BJ194" s="109"/>
      <c r="BK194" s="109"/>
      <c r="BL194" s="109"/>
      <c r="BM194" s="109"/>
      <c r="BN194" s="109"/>
      <c r="BO194" s="109"/>
      <c r="BP194" s="109"/>
      <c r="BQ194" s="109"/>
      <c r="BR194" s="109"/>
      <c r="BS194" s="109"/>
      <c r="BT194" s="109"/>
      <c r="BU194" s="109"/>
      <c r="BV194" s="109"/>
      <c r="BW194" s="109"/>
      <c r="BX194" s="109"/>
      <c r="BY194" s="109"/>
      <c r="BZ194" s="109"/>
    </row>
    <row r="195" spans="1:78">
      <c r="A195" s="111"/>
      <c r="B195" s="110"/>
      <c r="C195" s="110"/>
      <c r="D195" s="110"/>
      <c r="E195" s="110"/>
      <c r="F195" s="110"/>
      <c r="G195" s="110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  <c r="AA195" s="109"/>
      <c r="AB195" s="109"/>
      <c r="AC195" s="109"/>
      <c r="AD195" s="109"/>
      <c r="AE195" s="109"/>
      <c r="AF195" s="109"/>
      <c r="AG195" s="109"/>
      <c r="AH195" s="109"/>
      <c r="AI195" s="109"/>
      <c r="AJ195" s="109"/>
      <c r="AK195" s="109"/>
      <c r="AL195" s="109"/>
      <c r="AM195" s="109"/>
      <c r="AN195" s="109"/>
      <c r="AO195" s="109"/>
      <c r="AP195" s="109"/>
      <c r="AQ195" s="109"/>
      <c r="AR195" s="109"/>
      <c r="AS195" s="109"/>
      <c r="AT195" s="109"/>
      <c r="AU195" s="109"/>
      <c r="AV195" s="109"/>
      <c r="AW195" s="109"/>
      <c r="AX195" s="109"/>
      <c r="AY195" s="109"/>
      <c r="AZ195" s="109"/>
      <c r="BA195" s="109"/>
      <c r="BB195" s="109"/>
      <c r="BC195" s="109"/>
      <c r="BD195" s="109"/>
      <c r="BE195" s="109"/>
      <c r="BF195" s="109"/>
      <c r="BG195" s="109"/>
      <c r="BH195" s="109"/>
      <c r="BI195" s="109"/>
      <c r="BJ195" s="109"/>
      <c r="BK195" s="109"/>
      <c r="BL195" s="109"/>
      <c r="BM195" s="109"/>
      <c r="BN195" s="109"/>
      <c r="BO195" s="109"/>
      <c r="BP195" s="109"/>
      <c r="BQ195" s="109"/>
      <c r="BR195" s="109"/>
      <c r="BS195" s="109"/>
      <c r="BT195" s="109"/>
      <c r="BU195" s="109"/>
      <c r="BV195" s="109"/>
      <c r="BW195" s="109"/>
      <c r="BX195" s="109"/>
      <c r="BY195" s="109"/>
      <c r="BZ195" s="109"/>
    </row>
    <row r="196" spans="1:78">
      <c r="A196" s="111"/>
      <c r="B196" s="110"/>
      <c r="C196" s="110"/>
      <c r="D196" s="110"/>
      <c r="E196" s="110"/>
      <c r="F196" s="110"/>
      <c r="G196" s="110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  <c r="Z196" s="109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09"/>
      <c r="AK196" s="109"/>
      <c r="AL196" s="109"/>
      <c r="AM196" s="109"/>
      <c r="AN196" s="109"/>
      <c r="AO196" s="109"/>
      <c r="AP196" s="109"/>
      <c r="AQ196" s="109"/>
      <c r="AR196" s="109"/>
      <c r="AS196" s="109"/>
      <c r="AT196" s="109"/>
      <c r="AU196" s="109"/>
      <c r="AV196" s="109"/>
      <c r="AW196" s="109"/>
      <c r="AX196" s="109"/>
      <c r="AY196" s="109"/>
      <c r="AZ196" s="109"/>
      <c r="BA196" s="109"/>
      <c r="BB196" s="109"/>
      <c r="BC196" s="109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09"/>
      <c r="BO196" s="109"/>
      <c r="BP196" s="109"/>
      <c r="BQ196" s="109"/>
      <c r="BR196" s="109"/>
      <c r="BS196" s="109"/>
      <c r="BT196" s="109"/>
      <c r="BU196" s="109"/>
      <c r="BV196" s="109"/>
      <c r="BW196" s="109"/>
      <c r="BX196" s="109"/>
      <c r="BY196" s="109"/>
      <c r="BZ196" s="109"/>
    </row>
    <row r="197" spans="1:78">
      <c r="A197" s="111"/>
      <c r="B197" s="110"/>
      <c r="C197" s="110"/>
      <c r="D197" s="110"/>
      <c r="E197" s="110"/>
      <c r="F197" s="110"/>
      <c r="G197" s="110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  <c r="Z197" s="109"/>
      <c r="AA197" s="109"/>
      <c r="AB197" s="109"/>
      <c r="AC197" s="109"/>
      <c r="AD197" s="109"/>
      <c r="AE197" s="109"/>
      <c r="AF197" s="109"/>
      <c r="AG197" s="109"/>
      <c r="AH197" s="109"/>
      <c r="AI197" s="109"/>
      <c r="AJ197" s="109"/>
      <c r="AK197" s="109"/>
      <c r="AL197" s="109"/>
      <c r="AM197" s="109"/>
      <c r="AN197" s="109"/>
      <c r="AO197" s="109"/>
      <c r="AP197" s="109"/>
      <c r="AQ197" s="109"/>
      <c r="AR197" s="109"/>
      <c r="AS197" s="109"/>
      <c r="AT197" s="109"/>
      <c r="AU197" s="109"/>
      <c r="AV197" s="109"/>
      <c r="AW197" s="109"/>
      <c r="AX197" s="109"/>
      <c r="AY197" s="109"/>
      <c r="AZ197" s="109"/>
      <c r="BA197" s="109"/>
      <c r="BB197" s="109"/>
      <c r="BC197" s="109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09"/>
      <c r="BO197" s="109"/>
      <c r="BP197" s="109"/>
      <c r="BQ197" s="109"/>
      <c r="BR197" s="109"/>
      <c r="BS197" s="109"/>
      <c r="BT197" s="109"/>
      <c r="BU197" s="109"/>
      <c r="BV197" s="109"/>
      <c r="BW197" s="109"/>
      <c r="BX197" s="109"/>
      <c r="BY197" s="109"/>
      <c r="BZ197" s="109"/>
    </row>
    <row r="198" spans="1:78">
      <c r="A198" s="111"/>
      <c r="B198" s="110"/>
      <c r="C198" s="110"/>
      <c r="D198" s="110"/>
      <c r="E198" s="110"/>
      <c r="F198" s="110"/>
      <c r="G198" s="110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09"/>
      <c r="AK198" s="109"/>
      <c r="AL198" s="109"/>
      <c r="AM198" s="109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09"/>
      <c r="BO198" s="109"/>
      <c r="BP198" s="109"/>
      <c r="BQ198" s="109"/>
      <c r="BR198" s="109"/>
      <c r="BS198" s="109"/>
      <c r="BT198" s="109"/>
      <c r="BU198" s="109"/>
      <c r="BV198" s="109"/>
      <c r="BW198" s="109"/>
      <c r="BX198" s="109"/>
      <c r="BY198" s="109"/>
      <c r="BZ198" s="109"/>
    </row>
    <row r="199" spans="1:78">
      <c r="A199" s="111"/>
      <c r="B199" s="110"/>
      <c r="C199" s="110"/>
      <c r="D199" s="110"/>
      <c r="E199" s="110"/>
      <c r="F199" s="110"/>
      <c r="G199" s="110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  <c r="Z199" s="109"/>
      <c r="AA199" s="109"/>
      <c r="AB199" s="109"/>
      <c r="AC199" s="109"/>
      <c r="AD199" s="109"/>
      <c r="AE199" s="109"/>
      <c r="AF199" s="109"/>
      <c r="AG199" s="109"/>
      <c r="AH199" s="109"/>
      <c r="AI199" s="109"/>
      <c r="AJ199" s="109"/>
      <c r="AK199" s="109"/>
      <c r="AL199" s="109"/>
      <c r="AM199" s="109"/>
      <c r="AN199" s="109"/>
      <c r="AO199" s="109"/>
      <c r="AP199" s="109"/>
      <c r="AQ199" s="109"/>
      <c r="AR199" s="109"/>
      <c r="AS199" s="109"/>
      <c r="AT199" s="109"/>
      <c r="AU199" s="109"/>
      <c r="AV199" s="109"/>
      <c r="AW199" s="109"/>
      <c r="AX199" s="109"/>
      <c r="AY199" s="109"/>
      <c r="AZ199" s="109"/>
      <c r="BA199" s="109"/>
      <c r="BB199" s="109"/>
      <c r="BC199" s="109"/>
      <c r="BD199" s="109"/>
      <c r="BE199" s="109"/>
      <c r="BF199" s="109"/>
      <c r="BG199" s="109"/>
      <c r="BH199" s="109"/>
      <c r="BI199" s="109"/>
      <c r="BJ199" s="109"/>
      <c r="BK199" s="109"/>
      <c r="BL199" s="109"/>
      <c r="BM199" s="109"/>
      <c r="BN199" s="109"/>
      <c r="BO199" s="109"/>
      <c r="BP199" s="109"/>
      <c r="BQ199" s="109"/>
      <c r="BR199" s="109"/>
      <c r="BS199" s="109"/>
      <c r="BT199" s="109"/>
      <c r="BU199" s="109"/>
      <c r="BV199" s="109"/>
      <c r="BW199" s="109"/>
      <c r="BX199" s="109"/>
      <c r="BY199" s="109"/>
      <c r="BZ199" s="109"/>
    </row>
    <row r="200" spans="1:78">
      <c r="A200" s="111"/>
      <c r="B200" s="110"/>
      <c r="C200" s="110"/>
      <c r="D200" s="110"/>
      <c r="E200" s="110"/>
      <c r="F200" s="110"/>
      <c r="G200" s="110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  <c r="Z200" s="109"/>
      <c r="AA200" s="109"/>
      <c r="AB200" s="109"/>
      <c r="AC200" s="109"/>
      <c r="AD200" s="109"/>
      <c r="AE200" s="109"/>
      <c r="AF200" s="109"/>
      <c r="AG200" s="109"/>
      <c r="AH200" s="109"/>
      <c r="AI200" s="109"/>
      <c r="AJ200" s="109"/>
      <c r="AK200" s="109"/>
      <c r="AL200" s="109"/>
      <c r="AM200" s="109"/>
      <c r="AN200" s="109"/>
      <c r="AO200" s="109"/>
      <c r="AP200" s="109"/>
      <c r="AQ200" s="109"/>
      <c r="AR200" s="109"/>
      <c r="AS200" s="109"/>
      <c r="AT200" s="109"/>
      <c r="AU200" s="109"/>
      <c r="AV200" s="109"/>
      <c r="AW200" s="109"/>
      <c r="AX200" s="109"/>
      <c r="AY200" s="109"/>
      <c r="AZ200" s="109"/>
      <c r="BA200" s="109"/>
      <c r="BB200" s="109"/>
      <c r="BC200" s="109"/>
      <c r="BD200" s="109"/>
      <c r="BE200" s="109"/>
      <c r="BF200" s="109"/>
      <c r="BG200" s="109"/>
      <c r="BH200" s="109"/>
      <c r="BI200" s="109"/>
      <c r="BJ200" s="109"/>
      <c r="BK200" s="109"/>
      <c r="BL200" s="109"/>
      <c r="BM200" s="109"/>
      <c r="BN200" s="109"/>
      <c r="BO200" s="109"/>
      <c r="BP200" s="109"/>
      <c r="BQ200" s="109"/>
      <c r="BR200" s="109"/>
      <c r="BS200" s="109"/>
      <c r="BT200" s="109"/>
      <c r="BU200" s="109"/>
      <c r="BV200" s="109"/>
      <c r="BW200" s="109"/>
      <c r="BX200" s="109"/>
      <c r="BY200" s="109"/>
      <c r="BZ200" s="109"/>
    </row>
    <row r="201" spans="1:78">
      <c r="A201" s="111"/>
      <c r="B201" s="110"/>
      <c r="C201" s="110"/>
      <c r="D201" s="110"/>
      <c r="E201" s="110"/>
      <c r="F201" s="110"/>
      <c r="G201" s="110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  <c r="Z201" s="109"/>
      <c r="AA201" s="109"/>
      <c r="AB201" s="109"/>
      <c r="AC201" s="109"/>
      <c r="AD201" s="109"/>
      <c r="AE201" s="109"/>
      <c r="AF201" s="109"/>
      <c r="AG201" s="109"/>
      <c r="AH201" s="109"/>
      <c r="AI201" s="109"/>
      <c r="AJ201" s="109"/>
      <c r="AK201" s="109"/>
      <c r="AL201" s="109"/>
      <c r="AM201" s="109"/>
      <c r="AN201" s="109"/>
      <c r="AO201" s="109"/>
      <c r="AP201" s="109"/>
      <c r="AQ201" s="109"/>
      <c r="AR201" s="109"/>
      <c r="AS201" s="109"/>
      <c r="AT201" s="109"/>
      <c r="AU201" s="109"/>
      <c r="AV201" s="109"/>
      <c r="AW201" s="109"/>
      <c r="AX201" s="109"/>
      <c r="AY201" s="109"/>
      <c r="AZ201" s="109"/>
      <c r="BA201" s="109"/>
      <c r="BB201" s="109"/>
      <c r="BC201" s="109"/>
      <c r="BD201" s="109"/>
      <c r="BE201" s="109"/>
      <c r="BF201" s="109"/>
      <c r="BG201" s="109"/>
      <c r="BH201" s="109"/>
      <c r="BI201" s="109"/>
      <c r="BJ201" s="109"/>
      <c r="BK201" s="109"/>
      <c r="BL201" s="109"/>
      <c r="BM201" s="109"/>
      <c r="BN201" s="109"/>
      <c r="BO201" s="109"/>
      <c r="BP201" s="109"/>
      <c r="BQ201" s="109"/>
      <c r="BR201" s="109"/>
      <c r="BS201" s="109"/>
      <c r="BT201" s="109"/>
      <c r="BU201" s="109"/>
      <c r="BV201" s="109"/>
      <c r="BW201" s="109"/>
      <c r="BX201" s="109"/>
      <c r="BY201" s="109"/>
      <c r="BZ201" s="109"/>
    </row>
    <row r="202" spans="1:78">
      <c r="A202" s="111"/>
      <c r="B202" s="110"/>
      <c r="C202" s="110"/>
      <c r="D202" s="110"/>
      <c r="E202" s="110"/>
      <c r="F202" s="110"/>
      <c r="G202" s="110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  <c r="AA202" s="109"/>
      <c r="AB202" s="109"/>
      <c r="AC202" s="109"/>
      <c r="AD202" s="109"/>
      <c r="AE202" s="109"/>
      <c r="AF202" s="109"/>
      <c r="AG202" s="109"/>
      <c r="AH202" s="109"/>
      <c r="AI202" s="109"/>
      <c r="AJ202" s="109"/>
      <c r="AK202" s="109"/>
      <c r="AL202" s="109"/>
      <c r="AM202" s="109"/>
      <c r="AN202" s="109"/>
      <c r="AO202" s="109"/>
      <c r="AP202" s="109"/>
      <c r="AQ202" s="109"/>
      <c r="AR202" s="109"/>
      <c r="AS202" s="109"/>
      <c r="AT202" s="109"/>
      <c r="AU202" s="109"/>
      <c r="AV202" s="109"/>
      <c r="AW202" s="109"/>
      <c r="AX202" s="109"/>
      <c r="AY202" s="109"/>
      <c r="AZ202" s="109"/>
      <c r="BA202" s="109"/>
      <c r="BB202" s="109"/>
      <c r="BC202" s="109"/>
      <c r="BD202" s="109"/>
      <c r="BE202" s="109"/>
      <c r="BF202" s="109"/>
      <c r="BG202" s="109"/>
      <c r="BH202" s="109"/>
      <c r="BI202" s="109"/>
      <c r="BJ202" s="109"/>
      <c r="BK202" s="109"/>
      <c r="BL202" s="109"/>
      <c r="BM202" s="109"/>
      <c r="BN202" s="109"/>
      <c r="BO202" s="109"/>
      <c r="BP202" s="109"/>
      <c r="BQ202" s="109"/>
      <c r="BR202" s="109"/>
      <c r="BS202" s="109"/>
      <c r="BT202" s="109"/>
      <c r="BU202" s="109"/>
      <c r="BV202" s="109"/>
      <c r="BW202" s="109"/>
      <c r="BX202" s="109"/>
      <c r="BY202" s="109"/>
      <c r="BZ202" s="109"/>
    </row>
    <row r="203" spans="1:78">
      <c r="A203" s="111"/>
      <c r="B203" s="110"/>
      <c r="C203" s="110"/>
      <c r="D203" s="110"/>
      <c r="E203" s="110"/>
      <c r="F203" s="110"/>
      <c r="G203" s="110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  <c r="Z203" s="109"/>
      <c r="AA203" s="109"/>
      <c r="AB203" s="109"/>
      <c r="AC203" s="109"/>
      <c r="AD203" s="109"/>
      <c r="AE203" s="109"/>
      <c r="AF203" s="109"/>
      <c r="AG203" s="109"/>
      <c r="AH203" s="109"/>
      <c r="AI203" s="109"/>
      <c r="AJ203" s="109"/>
      <c r="AK203" s="109"/>
      <c r="AL203" s="109"/>
      <c r="AM203" s="109"/>
      <c r="AN203" s="109"/>
      <c r="AO203" s="109"/>
      <c r="AP203" s="109"/>
      <c r="AQ203" s="109"/>
      <c r="AR203" s="109"/>
      <c r="AS203" s="109"/>
      <c r="AT203" s="109"/>
      <c r="AU203" s="109"/>
      <c r="AV203" s="109"/>
      <c r="AW203" s="109"/>
      <c r="AX203" s="109"/>
      <c r="AY203" s="109"/>
      <c r="AZ203" s="109"/>
      <c r="BA203" s="109"/>
      <c r="BB203" s="109"/>
      <c r="BC203" s="109"/>
      <c r="BD203" s="109"/>
      <c r="BE203" s="109"/>
      <c r="BF203" s="109"/>
      <c r="BG203" s="109"/>
      <c r="BH203" s="109"/>
      <c r="BI203" s="109"/>
      <c r="BJ203" s="109"/>
      <c r="BK203" s="109"/>
      <c r="BL203" s="109"/>
      <c r="BM203" s="109"/>
      <c r="BN203" s="109"/>
      <c r="BO203" s="109"/>
      <c r="BP203" s="109"/>
      <c r="BQ203" s="109"/>
      <c r="BR203" s="109"/>
      <c r="BS203" s="109"/>
      <c r="BT203" s="109"/>
      <c r="BU203" s="109"/>
      <c r="BV203" s="109"/>
      <c r="BW203" s="109"/>
      <c r="BX203" s="109"/>
      <c r="BY203" s="109"/>
      <c r="BZ203" s="109"/>
    </row>
    <row r="204" spans="1:78">
      <c r="A204" s="111"/>
      <c r="B204" s="110"/>
      <c r="C204" s="110"/>
      <c r="D204" s="110"/>
      <c r="E204" s="110"/>
      <c r="F204" s="110"/>
      <c r="G204" s="110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  <c r="AA204" s="109"/>
      <c r="AB204" s="109"/>
      <c r="AC204" s="109"/>
      <c r="AD204" s="109"/>
      <c r="AE204" s="109"/>
      <c r="AF204" s="109"/>
      <c r="AG204" s="109"/>
      <c r="AH204" s="109"/>
      <c r="AI204" s="109"/>
      <c r="AJ204" s="109"/>
      <c r="AK204" s="109"/>
      <c r="AL204" s="109"/>
      <c r="AM204" s="109"/>
      <c r="AN204" s="109"/>
      <c r="AO204" s="109"/>
      <c r="AP204" s="109"/>
      <c r="AQ204" s="109"/>
      <c r="AR204" s="109"/>
      <c r="AS204" s="109"/>
      <c r="AT204" s="109"/>
      <c r="AU204" s="109"/>
      <c r="AV204" s="109"/>
      <c r="AW204" s="109"/>
      <c r="AX204" s="109"/>
      <c r="AY204" s="109"/>
      <c r="AZ204" s="109"/>
      <c r="BA204" s="109"/>
      <c r="BB204" s="109"/>
      <c r="BC204" s="109"/>
      <c r="BD204" s="109"/>
      <c r="BE204" s="109"/>
      <c r="BF204" s="109"/>
      <c r="BG204" s="109"/>
      <c r="BH204" s="109"/>
      <c r="BI204" s="109"/>
      <c r="BJ204" s="109"/>
      <c r="BK204" s="109"/>
      <c r="BL204" s="109"/>
      <c r="BM204" s="109"/>
      <c r="BN204" s="109"/>
      <c r="BO204" s="109"/>
      <c r="BP204" s="109"/>
      <c r="BQ204" s="109"/>
      <c r="BR204" s="109"/>
      <c r="BS204" s="109"/>
      <c r="BT204" s="109"/>
      <c r="BU204" s="109"/>
      <c r="BV204" s="109"/>
      <c r="BW204" s="109"/>
      <c r="BX204" s="109"/>
      <c r="BY204" s="109"/>
      <c r="BZ204" s="109"/>
    </row>
    <row r="205" spans="1:78">
      <c r="A205" s="109"/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  <c r="AQ205" s="109"/>
      <c r="AR205" s="109"/>
      <c r="AS205" s="109"/>
      <c r="AT205" s="109"/>
      <c r="AU205" s="109"/>
      <c r="AV205" s="109"/>
      <c r="AW205" s="109"/>
      <c r="AX205" s="109"/>
      <c r="AY205" s="109"/>
      <c r="AZ205" s="109"/>
      <c r="BA205" s="109"/>
      <c r="BB205" s="109"/>
      <c r="BC205" s="109"/>
      <c r="BD205" s="109"/>
      <c r="BE205" s="109"/>
      <c r="BF205" s="109"/>
      <c r="BG205" s="109"/>
      <c r="BH205" s="109"/>
      <c r="BI205" s="109"/>
      <c r="BJ205" s="109"/>
      <c r="BK205" s="109"/>
      <c r="BL205" s="109"/>
      <c r="BM205" s="109"/>
      <c r="BN205" s="109"/>
      <c r="BO205" s="109"/>
      <c r="BP205" s="109"/>
      <c r="BQ205" s="109"/>
      <c r="BR205" s="109"/>
      <c r="BS205" s="109"/>
      <c r="BT205" s="109"/>
      <c r="BU205" s="109"/>
      <c r="BV205" s="109"/>
      <c r="BW205" s="109"/>
      <c r="BX205" s="109"/>
      <c r="BY205" s="109"/>
      <c r="BZ205" s="109"/>
    </row>
    <row r="206" spans="1:78">
      <c r="A206" s="109"/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  <c r="Z206" s="109"/>
      <c r="AA206" s="109"/>
      <c r="AB206" s="109"/>
      <c r="AC206" s="109"/>
      <c r="AD206" s="109"/>
      <c r="AE206" s="109"/>
      <c r="AF206" s="109"/>
      <c r="AG206" s="109"/>
      <c r="AH206" s="109"/>
      <c r="AI206" s="109"/>
      <c r="AJ206" s="109"/>
      <c r="AK206" s="109"/>
      <c r="AL206" s="109"/>
      <c r="AM206" s="109"/>
      <c r="AN206" s="109"/>
      <c r="AO206" s="109"/>
      <c r="AP206" s="109"/>
      <c r="AQ206" s="109"/>
      <c r="AR206" s="109"/>
      <c r="AS206" s="109"/>
      <c r="AT206" s="109"/>
      <c r="AU206" s="109"/>
      <c r="AV206" s="109"/>
      <c r="AW206" s="109"/>
      <c r="AX206" s="109"/>
      <c r="AY206" s="109"/>
      <c r="AZ206" s="109"/>
      <c r="BA206" s="109"/>
      <c r="BB206" s="109"/>
      <c r="BC206" s="109"/>
      <c r="BD206" s="109"/>
      <c r="BE206" s="109"/>
      <c r="BF206" s="109"/>
      <c r="BG206" s="109"/>
      <c r="BH206" s="109"/>
      <c r="BI206" s="109"/>
      <c r="BJ206" s="109"/>
      <c r="BK206" s="109"/>
      <c r="BL206" s="109"/>
      <c r="BM206" s="109"/>
      <c r="BN206" s="109"/>
      <c r="BO206" s="109"/>
      <c r="BP206" s="109"/>
      <c r="BQ206" s="109"/>
      <c r="BR206" s="109"/>
      <c r="BS206" s="109"/>
      <c r="BT206" s="109"/>
      <c r="BU206" s="109"/>
      <c r="BV206" s="109"/>
      <c r="BW206" s="109"/>
      <c r="BX206" s="109"/>
      <c r="BY206" s="109"/>
      <c r="BZ206" s="109"/>
    </row>
    <row r="207" spans="1:78">
      <c r="A207" s="109"/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  <c r="Z207" s="109"/>
      <c r="AA207" s="109"/>
      <c r="AB207" s="109"/>
      <c r="AC207" s="109"/>
      <c r="AD207" s="109"/>
      <c r="AE207" s="109"/>
      <c r="AF207" s="109"/>
      <c r="AG207" s="109"/>
      <c r="AH207" s="109"/>
      <c r="AI207" s="109"/>
      <c r="AJ207" s="109"/>
      <c r="AK207" s="109"/>
      <c r="AL207" s="109"/>
      <c r="AM207" s="109"/>
      <c r="AN207" s="109"/>
      <c r="AO207" s="109"/>
      <c r="AP207" s="109"/>
      <c r="AQ207" s="109"/>
      <c r="AR207" s="109"/>
      <c r="AS207" s="109"/>
      <c r="AT207" s="109"/>
      <c r="AU207" s="109"/>
      <c r="AV207" s="109"/>
      <c r="AW207" s="109"/>
      <c r="AX207" s="109"/>
      <c r="AY207" s="109"/>
      <c r="AZ207" s="109"/>
      <c r="BA207" s="109"/>
      <c r="BB207" s="109"/>
      <c r="BC207" s="109"/>
      <c r="BD207" s="109"/>
      <c r="BE207" s="109"/>
      <c r="BF207" s="109"/>
      <c r="BG207" s="109"/>
      <c r="BH207" s="109"/>
      <c r="BI207" s="109"/>
      <c r="BJ207" s="109"/>
      <c r="BK207" s="109"/>
      <c r="BL207" s="109"/>
      <c r="BM207" s="109"/>
      <c r="BN207" s="109"/>
      <c r="BO207" s="109"/>
      <c r="BP207" s="109"/>
      <c r="BQ207" s="109"/>
      <c r="BR207" s="109"/>
      <c r="BS207" s="109"/>
      <c r="BT207" s="109"/>
      <c r="BU207" s="109"/>
      <c r="BV207" s="109"/>
      <c r="BW207" s="109"/>
      <c r="BX207" s="109"/>
      <c r="BY207" s="109"/>
      <c r="BZ207" s="109"/>
    </row>
    <row r="208" spans="1:78">
      <c r="A208" s="109"/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  <c r="AA208" s="109"/>
      <c r="AB208" s="109"/>
      <c r="AC208" s="109"/>
      <c r="AD208" s="109"/>
      <c r="AE208" s="109"/>
      <c r="AF208" s="109"/>
      <c r="AG208" s="109"/>
      <c r="AH208" s="109"/>
      <c r="AI208" s="109"/>
      <c r="AJ208" s="109"/>
      <c r="AK208" s="109"/>
      <c r="AL208" s="109"/>
      <c r="AM208" s="109"/>
      <c r="AN208" s="109"/>
      <c r="AO208" s="109"/>
      <c r="AP208" s="109"/>
      <c r="AQ208" s="109"/>
      <c r="AR208" s="109"/>
      <c r="AS208" s="109"/>
      <c r="AT208" s="109"/>
      <c r="AU208" s="109"/>
      <c r="AV208" s="109"/>
      <c r="AW208" s="109"/>
      <c r="AX208" s="109"/>
      <c r="AY208" s="109"/>
      <c r="AZ208" s="109"/>
      <c r="BA208" s="109"/>
      <c r="BB208" s="109"/>
      <c r="BC208" s="109"/>
      <c r="BD208" s="109"/>
      <c r="BE208" s="109"/>
      <c r="BF208" s="109"/>
      <c r="BG208" s="109"/>
      <c r="BH208" s="109"/>
      <c r="BI208" s="109"/>
      <c r="BJ208" s="109"/>
      <c r="BK208" s="109"/>
      <c r="BL208" s="109"/>
      <c r="BM208" s="109"/>
      <c r="BN208" s="109"/>
      <c r="BO208" s="109"/>
      <c r="BP208" s="109"/>
      <c r="BQ208" s="109"/>
      <c r="BR208" s="109"/>
      <c r="BS208" s="109"/>
      <c r="BT208" s="109"/>
      <c r="BU208" s="109"/>
      <c r="BV208" s="109"/>
      <c r="BW208" s="109"/>
      <c r="BX208" s="109"/>
      <c r="BY208" s="109"/>
      <c r="BZ208" s="109"/>
    </row>
    <row r="209" spans="1:78">
      <c r="A209" s="109"/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109"/>
      <c r="AA209" s="109"/>
      <c r="AB209" s="109"/>
      <c r="AC209" s="109"/>
      <c r="AD209" s="109"/>
      <c r="AE209" s="109"/>
      <c r="AF209" s="109"/>
      <c r="AG209" s="109"/>
      <c r="AH209" s="109"/>
      <c r="AI209" s="109"/>
      <c r="AJ209" s="109"/>
      <c r="AK209" s="109"/>
      <c r="AL209" s="109"/>
      <c r="AM209" s="109"/>
      <c r="AN209" s="109"/>
      <c r="AO209" s="109"/>
      <c r="AP209" s="109"/>
      <c r="AQ209" s="109"/>
      <c r="AR209" s="109"/>
      <c r="AS209" s="109"/>
      <c r="AT209" s="109"/>
      <c r="AU209" s="109"/>
      <c r="AV209" s="109"/>
      <c r="AW209" s="109"/>
      <c r="AX209" s="109"/>
      <c r="AY209" s="109"/>
      <c r="AZ209" s="109"/>
      <c r="BA209" s="109"/>
      <c r="BB209" s="109"/>
      <c r="BC209" s="109"/>
      <c r="BD209" s="109"/>
      <c r="BE209" s="109"/>
      <c r="BF209" s="109"/>
      <c r="BG209" s="109"/>
      <c r="BH209" s="109"/>
      <c r="BI209" s="109"/>
      <c r="BJ209" s="109"/>
      <c r="BK209" s="109"/>
      <c r="BL209" s="109"/>
      <c r="BM209" s="109"/>
      <c r="BN209" s="109"/>
      <c r="BO209" s="109"/>
      <c r="BP209" s="109"/>
      <c r="BQ209" s="109"/>
      <c r="BR209" s="109"/>
      <c r="BS209" s="109"/>
      <c r="BT209" s="109"/>
      <c r="BU209" s="109"/>
      <c r="BV209" s="109"/>
      <c r="BW209" s="109"/>
      <c r="BX209" s="109"/>
      <c r="BY209" s="109"/>
      <c r="BZ209" s="109"/>
    </row>
    <row r="210" spans="1:78">
      <c r="A210" s="109"/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  <c r="Z210" s="109"/>
      <c r="AA210" s="109"/>
      <c r="AB210" s="109"/>
      <c r="AC210" s="109"/>
      <c r="AD210" s="109"/>
      <c r="AE210" s="109"/>
      <c r="AF210" s="109"/>
      <c r="AG210" s="109"/>
      <c r="AH210" s="109"/>
      <c r="AI210" s="109"/>
      <c r="AJ210" s="109"/>
      <c r="AK210" s="109"/>
      <c r="AL210" s="109"/>
      <c r="AM210" s="109"/>
      <c r="AN210" s="109"/>
      <c r="AO210" s="109"/>
      <c r="AP210" s="109"/>
      <c r="AQ210" s="109"/>
      <c r="AR210" s="109"/>
      <c r="AS210" s="109"/>
      <c r="AT210" s="109"/>
      <c r="AU210" s="109"/>
      <c r="AV210" s="109"/>
      <c r="AW210" s="109"/>
      <c r="AX210" s="109"/>
      <c r="AY210" s="109"/>
      <c r="AZ210" s="109"/>
      <c r="BA210" s="109"/>
      <c r="BB210" s="109"/>
      <c r="BC210" s="109"/>
      <c r="BD210" s="109"/>
      <c r="BE210" s="109"/>
      <c r="BF210" s="109"/>
      <c r="BG210" s="109"/>
      <c r="BH210" s="109"/>
      <c r="BI210" s="109"/>
      <c r="BJ210" s="109"/>
      <c r="BK210" s="109"/>
      <c r="BL210" s="109"/>
      <c r="BM210" s="109"/>
      <c r="BN210" s="109"/>
      <c r="BO210" s="109"/>
      <c r="BP210" s="109"/>
      <c r="BQ210" s="109"/>
      <c r="BR210" s="109"/>
      <c r="BS210" s="109"/>
      <c r="BT210" s="109"/>
      <c r="BU210" s="109"/>
      <c r="BV210" s="109"/>
      <c r="BW210" s="109"/>
      <c r="BX210" s="109"/>
      <c r="BY210" s="109"/>
      <c r="BZ210" s="109"/>
    </row>
    <row r="211" spans="1:78">
      <c r="A211" s="109"/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  <c r="Z211" s="109"/>
      <c r="AA211" s="109"/>
      <c r="AB211" s="109"/>
      <c r="AC211" s="109"/>
      <c r="AD211" s="109"/>
      <c r="AE211" s="109"/>
      <c r="AF211" s="109"/>
      <c r="AG211" s="109"/>
      <c r="AH211" s="109"/>
      <c r="AI211" s="109"/>
      <c r="AJ211" s="109"/>
      <c r="AK211" s="109"/>
      <c r="AL211" s="109"/>
      <c r="AM211" s="109"/>
      <c r="AN211" s="109"/>
      <c r="AO211" s="109"/>
      <c r="AP211" s="109"/>
      <c r="AQ211" s="109"/>
      <c r="AR211" s="109"/>
      <c r="AS211" s="109"/>
      <c r="AT211" s="109"/>
      <c r="AU211" s="109"/>
      <c r="AV211" s="109"/>
      <c r="AW211" s="109"/>
      <c r="AX211" s="109"/>
      <c r="AY211" s="109"/>
      <c r="AZ211" s="109"/>
      <c r="BA211" s="109"/>
      <c r="BB211" s="109"/>
      <c r="BC211" s="109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  <c r="BN211" s="109"/>
      <c r="BO211" s="109"/>
      <c r="BP211" s="109"/>
      <c r="BQ211" s="109"/>
      <c r="BR211" s="109"/>
      <c r="BS211" s="109"/>
      <c r="BT211" s="109"/>
      <c r="BU211" s="109"/>
      <c r="BV211" s="109"/>
      <c r="BW211" s="109"/>
      <c r="BX211" s="109"/>
      <c r="BY211" s="109"/>
      <c r="BZ211" s="109"/>
    </row>
    <row r="212" spans="1:78">
      <c r="A212" s="109"/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109"/>
      <c r="AA212" s="109"/>
      <c r="AB212" s="109"/>
      <c r="AC212" s="109"/>
      <c r="AD212" s="109"/>
      <c r="AE212" s="109"/>
      <c r="AF212" s="109"/>
      <c r="AG212" s="109"/>
      <c r="AH212" s="109"/>
      <c r="AI212" s="109"/>
      <c r="AJ212" s="109"/>
      <c r="AK212" s="109"/>
      <c r="AL212" s="109"/>
      <c r="AM212" s="109"/>
      <c r="AN212" s="109"/>
      <c r="AO212" s="109"/>
      <c r="AP212" s="109"/>
      <c r="AQ212" s="109"/>
      <c r="AR212" s="109"/>
      <c r="AS212" s="109"/>
      <c r="AT212" s="109"/>
      <c r="AU212" s="109"/>
      <c r="AV212" s="109"/>
      <c r="AW212" s="109"/>
      <c r="AX212" s="109"/>
      <c r="AY212" s="109"/>
      <c r="AZ212" s="109"/>
      <c r="BA212" s="109"/>
      <c r="BB212" s="109"/>
      <c r="BC212" s="109"/>
      <c r="BD212" s="109"/>
      <c r="BE212" s="109"/>
      <c r="BF212" s="109"/>
      <c r="BG212" s="109"/>
      <c r="BH212" s="109"/>
      <c r="BI212" s="109"/>
      <c r="BJ212" s="109"/>
      <c r="BK212" s="109"/>
      <c r="BL212" s="109"/>
      <c r="BM212" s="109"/>
      <c r="BN212" s="109"/>
      <c r="BO212" s="109"/>
      <c r="BP212" s="109"/>
      <c r="BQ212" s="109"/>
      <c r="BR212" s="109"/>
      <c r="BS212" s="109"/>
      <c r="BT212" s="109"/>
      <c r="BU212" s="109"/>
      <c r="BV212" s="109"/>
      <c r="BW212" s="109"/>
      <c r="BX212" s="109"/>
      <c r="BY212" s="109"/>
      <c r="BZ212" s="109"/>
    </row>
    <row r="213" spans="1:78">
      <c r="A213" s="109"/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  <c r="Z213" s="109"/>
      <c r="AA213" s="109"/>
      <c r="AB213" s="109"/>
      <c r="AC213" s="109"/>
      <c r="AD213" s="109"/>
      <c r="AE213" s="109"/>
      <c r="AF213" s="109"/>
      <c r="AG213" s="109"/>
      <c r="AH213" s="109"/>
      <c r="AI213" s="109"/>
      <c r="AJ213" s="109"/>
      <c r="AK213" s="109"/>
      <c r="AL213" s="109"/>
      <c r="AM213" s="109"/>
      <c r="AN213" s="109"/>
      <c r="AO213" s="109"/>
      <c r="AP213" s="109"/>
      <c r="AQ213" s="109"/>
      <c r="AR213" s="109"/>
      <c r="AS213" s="109"/>
      <c r="AT213" s="109"/>
      <c r="AU213" s="109"/>
      <c r="AV213" s="109"/>
      <c r="AW213" s="109"/>
      <c r="AX213" s="109"/>
      <c r="AY213" s="109"/>
      <c r="AZ213" s="109"/>
      <c r="BA213" s="109"/>
      <c r="BB213" s="109"/>
      <c r="BC213" s="109"/>
      <c r="BD213" s="109"/>
      <c r="BE213" s="109"/>
      <c r="BF213" s="109"/>
      <c r="BG213" s="109"/>
      <c r="BH213" s="109"/>
      <c r="BI213" s="109"/>
      <c r="BJ213" s="109"/>
      <c r="BK213" s="109"/>
      <c r="BL213" s="109"/>
      <c r="BM213" s="109"/>
      <c r="BN213" s="109"/>
      <c r="BO213" s="109"/>
      <c r="BP213" s="109"/>
      <c r="BQ213" s="109"/>
      <c r="BR213" s="109"/>
      <c r="BS213" s="109"/>
      <c r="BT213" s="109"/>
      <c r="BU213" s="109"/>
      <c r="BV213" s="109"/>
      <c r="BW213" s="109"/>
      <c r="BX213" s="109"/>
      <c r="BY213" s="109"/>
      <c r="BZ213" s="109"/>
    </row>
    <row r="214" spans="1:78">
      <c r="A214" s="109"/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  <c r="AF214" s="109"/>
      <c r="AG214" s="109"/>
      <c r="AH214" s="109"/>
      <c r="AI214" s="109"/>
      <c r="AJ214" s="109"/>
      <c r="AK214" s="109"/>
      <c r="AL214" s="109"/>
      <c r="AM214" s="109"/>
      <c r="AN214" s="109"/>
      <c r="AO214" s="109"/>
      <c r="AP214" s="109"/>
      <c r="AQ214" s="109"/>
      <c r="AR214" s="109"/>
      <c r="AS214" s="109"/>
      <c r="AT214" s="109"/>
      <c r="AU214" s="109"/>
      <c r="AV214" s="109"/>
      <c r="AW214" s="109"/>
      <c r="AX214" s="109"/>
      <c r="AY214" s="109"/>
      <c r="AZ214" s="109"/>
      <c r="BA214" s="109"/>
      <c r="BB214" s="109"/>
      <c r="BC214" s="109"/>
      <c r="BD214" s="109"/>
      <c r="BE214" s="109"/>
      <c r="BF214" s="109"/>
      <c r="BG214" s="109"/>
      <c r="BH214" s="109"/>
      <c r="BI214" s="109"/>
      <c r="BJ214" s="109"/>
      <c r="BK214" s="109"/>
      <c r="BL214" s="109"/>
      <c r="BM214" s="109"/>
      <c r="BN214" s="109"/>
      <c r="BO214" s="109"/>
      <c r="BP214" s="109"/>
      <c r="BQ214" s="109"/>
      <c r="BR214" s="109"/>
      <c r="BS214" s="109"/>
      <c r="BT214" s="109"/>
      <c r="BU214" s="109"/>
      <c r="BV214" s="109"/>
      <c r="BW214" s="109"/>
      <c r="BX214" s="109"/>
      <c r="BY214" s="109"/>
      <c r="BZ214" s="109"/>
    </row>
    <row r="215" spans="1:78">
      <c r="A215" s="109"/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  <c r="AA215" s="109"/>
      <c r="AB215" s="109"/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  <c r="AQ215" s="109"/>
      <c r="AR215" s="109"/>
      <c r="AS215" s="109"/>
      <c r="AT215" s="109"/>
      <c r="AU215" s="109"/>
      <c r="AV215" s="109"/>
      <c r="AW215" s="109"/>
      <c r="AX215" s="109"/>
      <c r="AY215" s="109"/>
      <c r="AZ215" s="109"/>
      <c r="BA215" s="109"/>
      <c r="BB215" s="109"/>
      <c r="BC215" s="109"/>
      <c r="BD215" s="109"/>
      <c r="BE215" s="109"/>
      <c r="BF215" s="109"/>
      <c r="BG215" s="109"/>
      <c r="BH215" s="109"/>
      <c r="BI215" s="109"/>
      <c r="BJ215" s="109"/>
      <c r="BK215" s="109"/>
      <c r="BL215" s="109"/>
      <c r="BM215" s="109"/>
      <c r="BN215" s="109"/>
      <c r="BO215" s="109"/>
      <c r="BP215" s="109"/>
      <c r="BQ215" s="109"/>
      <c r="BR215" s="109"/>
      <c r="BS215" s="109"/>
      <c r="BT215" s="109"/>
      <c r="BU215" s="109"/>
      <c r="BV215" s="109"/>
      <c r="BW215" s="109"/>
      <c r="BX215" s="109"/>
      <c r="BY215" s="109"/>
      <c r="BZ215" s="109"/>
    </row>
    <row r="216" spans="1:78">
      <c r="A216" s="109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109"/>
      <c r="AS216" s="109"/>
      <c r="AT216" s="109"/>
      <c r="AU216" s="109"/>
      <c r="AV216" s="109"/>
      <c r="AW216" s="109"/>
      <c r="AX216" s="109"/>
      <c r="AY216" s="109"/>
      <c r="AZ216" s="109"/>
      <c r="BA216" s="109"/>
      <c r="BB216" s="109"/>
      <c r="BC216" s="109"/>
      <c r="BD216" s="109"/>
      <c r="BE216" s="109"/>
      <c r="BF216" s="109"/>
      <c r="BG216" s="109"/>
      <c r="BH216" s="109"/>
      <c r="BI216" s="109"/>
      <c r="BJ216" s="109"/>
      <c r="BK216" s="109"/>
      <c r="BL216" s="109"/>
      <c r="BM216" s="109"/>
      <c r="BN216" s="109"/>
      <c r="BO216" s="109"/>
      <c r="BP216" s="109"/>
      <c r="BQ216" s="109"/>
      <c r="BR216" s="109"/>
      <c r="BS216" s="109"/>
      <c r="BT216" s="109"/>
      <c r="BU216" s="109"/>
      <c r="BV216" s="109"/>
      <c r="BW216" s="109"/>
      <c r="BX216" s="109"/>
      <c r="BY216" s="109"/>
      <c r="BZ216" s="109"/>
    </row>
    <row r="217" spans="1:78">
      <c r="A217" s="109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09"/>
      <c r="AN217" s="109"/>
      <c r="AO217" s="109"/>
      <c r="AP217" s="109"/>
      <c r="AQ217" s="109"/>
      <c r="AR217" s="109"/>
      <c r="AS217" s="109"/>
      <c r="AT217" s="109"/>
      <c r="AU217" s="109"/>
      <c r="AV217" s="109"/>
      <c r="AW217" s="109"/>
      <c r="AX217" s="109"/>
      <c r="AY217" s="109"/>
      <c r="AZ217" s="109"/>
      <c r="BA217" s="109"/>
      <c r="BB217" s="109"/>
      <c r="BC217" s="109"/>
      <c r="BD217" s="109"/>
      <c r="BE217" s="109"/>
      <c r="BF217" s="109"/>
      <c r="BG217" s="109"/>
      <c r="BH217" s="109"/>
      <c r="BI217" s="109"/>
      <c r="BJ217" s="109"/>
      <c r="BK217" s="109"/>
      <c r="BL217" s="109"/>
      <c r="BM217" s="109"/>
      <c r="BN217" s="109"/>
      <c r="BO217" s="109"/>
      <c r="BP217" s="109"/>
      <c r="BQ217" s="109"/>
      <c r="BR217" s="109"/>
      <c r="BS217" s="109"/>
      <c r="BT217" s="109"/>
      <c r="BU217" s="109"/>
      <c r="BV217" s="109"/>
      <c r="BW217" s="109"/>
      <c r="BX217" s="109"/>
      <c r="BY217" s="109"/>
      <c r="BZ217" s="109"/>
    </row>
    <row r="218" spans="1:78">
      <c r="A218" s="109"/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  <c r="AL218" s="109"/>
      <c r="AM218" s="109"/>
      <c r="AN218" s="109"/>
      <c r="AO218" s="109"/>
      <c r="AP218" s="109"/>
      <c r="AQ218" s="109"/>
      <c r="AR218" s="109"/>
      <c r="AS218" s="109"/>
      <c r="AT218" s="109"/>
      <c r="AU218" s="109"/>
      <c r="AV218" s="109"/>
      <c r="AW218" s="109"/>
      <c r="AX218" s="109"/>
      <c r="AY218" s="109"/>
      <c r="AZ218" s="109"/>
      <c r="BA218" s="109"/>
      <c r="BB218" s="109"/>
      <c r="BC218" s="109"/>
      <c r="BD218" s="109"/>
      <c r="BE218" s="109"/>
      <c r="BF218" s="109"/>
      <c r="BG218" s="109"/>
      <c r="BH218" s="109"/>
      <c r="BI218" s="109"/>
      <c r="BJ218" s="109"/>
      <c r="BK218" s="109"/>
      <c r="BL218" s="109"/>
      <c r="BM218" s="109"/>
      <c r="BN218" s="109"/>
      <c r="BO218" s="109"/>
      <c r="BP218" s="109"/>
      <c r="BQ218" s="109"/>
      <c r="BR218" s="109"/>
      <c r="BS218" s="109"/>
      <c r="BT218" s="109"/>
      <c r="BU218" s="109"/>
      <c r="BV218" s="109"/>
      <c r="BW218" s="109"/>
      <c r="BX218" s="109"/>
      <c r="BY218" s="109"/>
      <c r="BZ218" s="109"/>
    </row>
    <row r="219" spans="1:78">
      <c r="A219" s="109"/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  <c r="AL219" s="109"/>
      <c r="AM219" s="109"/>
      <c r="AN219" s="109"/>
      <c r="AO219" s="109"/>
      <c r="AP219" s="109"/>
      <c r="AQ219" s="109"/>
      <c r="AR219" s="109"/>
      <c r="AS219" s="109"/>
      <c r="AT219" s="109"/>
      <c r="AU219" s="109"/>
      <c r="AV219" s="109"/>
      <c r="AW219" s="109"/>
      <c r="AX219" s="109"/>
      <c r="AY219" s="109"/>
      <c r="AZ219" s="109"/>
      <c r="BA219" s="109"/>
      <c r="BB219" s="109"/>
      <c r="BC219" s="109"/>
      <c r="BD219" s="109"/>
      <c r="BE219" s="109"/>
      <c r="BF219" s="109"/>
      <c r="BG219" s="109"/>
      <c r="BH219" s="109"/>
      <c r="BI219" s="109"/>
      <c r="BJ219" s="109"/>
      <c r="BK219" s="109"/>
      <c r="BL219" s="109"/>
      <c r="BM219" s="109"/>
      <c r="BN219" s="109"/>
      <c r="BO219" s="109"/>
      <c r="BP219" s="109"/>
      <c r="BQ219" s="109"/>
      <c r="BR219" s="109"/>
      <c r="BS219" s="109"/>
      <c r="BT219" s="109"/>
      <c r="BU219" s="109"/>
      <c r="BV219" s="109"/>
      <c r="BW219" s="109"/>
      <c r="BX219" s="109"/>
      <c r="BY219" s="109"/>
      <c r="BZ219" s="109"/>
    </row>
    <row r="220" spans="1:78">
      <c r="A220" s="109"/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H220" s="109"/>
      <c r="AI220" s="109"/>
      <c r="AJ220" s="109"/>
      <c r="AK220" s="109"/>
      <c r="AL220" s="109"/>
      <c r="AM220" s="109"/>
      <c r="AN220" s="109"/>
      <c r="AO220" s="109"/>
      <c r="AP220" s="109"/>
      <c r="AQ220" s="109"/>
      <c r="AR220" s="109"/>
      <c r="AS220" s="109"/>
      <c r="AT220" s="109"/>
      <c r="AU220" s="109"/>
      <c r="AV220" s="109"/>
      <c r="AW220" s="109"/>
      <c r="AX220" s="109"/>
      <c r="AY220" s="109"/>
      <c r="AZ220" s="109"/>
      <c r="BA220" s="109"/>
      <c r="BB220" s="109"/>
      <c r="BC220" s="109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09"/>
      <c r="BO220" s="109"/>
      <c r="BP220" s="109"/>
      <c r="BQ220" s="109"/>
      <c r="BR220" s="109"/>
      <c r="BS220" s="109"/>
      <c r="BT220" s="109"/>
      <c r="BU220" s="109"/>
      <c r="BV220" s="109"/>
      <c r="BW220" s="109"/>
      <c r="BX220" s="109"/>
      <c r="BY220" s="109"/>
      <c r="BZ220" s="109"/>
    </row>
    <row r="221" spans="1:78">
      <c r="A221" s="109"/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/>
      <c r="AI221" s="109"/>
      <c r="AJ221" s="109"/>
      <c r="AK221" s="109"/>
      <c r="AL221" s="109"/>
      <c r="AM221" s="109"/>
      <c r="AN221" s="109"/>
      <c r="AO221" s="109"/>
      <c r="AP221" s="109"/>
      <c r="AQ221" s="109"/>
      <c r="AR221" s="109"/>
      <c r="AS221" s="109"/>
      <c r="AT221" s="109"/>
      <c r="AU221" s="109"/>
      <c r="AV221" s="109"/>
      <c r="AW221" s="109"/>
      <c r="AX221" s="109"/>
      <c r="AY221" s="109"/>
      <c r="AZ221" s="109"/>
      <c r="BA221" s="109"/>
      <c r="BB221" s="109"/>
      <c r="BC221" s="109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09"/>
      <c r="BO221" s="109"/>
      <c r="BP221" s="109"/>
      <c r="BQ221" s="109"/>
      <c r="BR221" s="109"/>
      <c r="BS221" s="109"/>
      <c r="BT221" s="109"/>
      <c r="BU221" s="109"/>
      <c r="BV221" s="109"/>
      <c r="BW221" s="109"/>
      <c r="BX221" s="109"/>
      <c r="BY221" s="109"/>
      <c r="BZ221" s="109"/>
    </row>
    <row r="222" spans="1:78">
      <c r="A222" s="109"/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09"/>
      <c r="AK222" s="109"/>
      <c r="AL222" s="109"/>
      <c r="AM222" s="109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09"/>
      <c r="BQ222" s="109"/>
      <c r="BR222" s="109"/>
      <c r="BS222" s="109"/>
      <c r="BT222" s="109"/>
      <c r="BU222" s="109"/>
      <c r="BV222" s="109"/>
      <c r="BW222" s="109"/>
      <c r="BX222" s="109"/>
      <c r="BY222" s="109"/>
      <c r="BZ222" s="109"/>
    </row>
    <row r="223" spans="1:78">
      <c r="A223" s="109"/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  <c r="Z223" s="109"/>
      <c r="AA223" s="109"/>
      <c r="AB223" s="109"/>
      <c r="AC223" s="109"/>
      <c r="AD223" s="109"/>
      <c r="AE223" s="109"/>
      <c r="AF223" s="109"/>
      <c r="AG223" s="109"/>
      <c r="AH223" s="109"/>
      <c r="AI223" s="109"/>
      <c r="AJ223" s="109"/>
      <c r="AK223" s="109"/>
      <c r="AL223" s="109"/>
      <c r="AM223" s="109"/>
      <c r="AN223" s="109"/>
      <c r="AO223" s="109"/>
      <c r="AP223" s="109"/>
      <c r="AQ223" s="109"/>
      <c r="AR223" s="109"/>
      <c r="AS223" s="109"/>
      <c r="AT223" s="109"/>
      <c r="AU223" s="109"/>
      <c r="AV223" s="109"/>
      <c r="AW223" s="109"/>
      <c r="AX223" s="109"/>
      <c r="AY223" s="109"/>
      <c r="AZ223" s="109"/>
      <c r="BA223" s="109"/>
      <c r="BB223" s="109"/>
      <c r="BC223" s="109"/>
      <c r="BD223" s="109"/>
      <c r="BE223" s="109"/>
      <c r="BF223" s="109"/>
      <c r="BG223" s="109"/>
      <c r="BH223" s="109"/>
      <c r="BI223" s="109"/>
      <c r="BJ223" s="109"/>
      <c r="BK223" s="109"/>
      <c r="BL223" s="109"/>
      <c r="BM223" s="109"/>
      <c r="BN223" s="109"/>
      <c r="BO223" s="109"/>
      <c r="BP223" s="109"/>
      <c r="BQ223" s="109"/>
      <c r="BR223" s="109"/>
      <c r="BS223" s="109"/>
      <c r="BT223" s="109"/>
      <c r="BU223" s="109"/>
      <c r="BV223" s="109"/>
      <c r="BW223" s="109"/>
      <c r="BX223" s="109"/>
      <c r="BY223" s="109"/>
      <c r="BZ223" s="109"/>
    </row>
    <row r="224" spans="1:78">
      <c r="A224" s="109"/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  <c r="Z224" s="109"/>
      <c r="AA224" s="109"/>
      <c r="AB224" s="109"/>
      <c r="AC224" s="109"/>
      <c r="AD224" s="109"/>
      <c r="AE224" s="109"/>
      <c r="AF224" s="109"/>
      <c r="AG224" s="109"/>
      <c r="AH224" s="109"/>
      <c r="AI224" s="109"/>
      <c r="AJ224" s="109"/>
      <c r="AK224" s="109"/>
      <c r="AL224" s="109"/>
      <c r="AM224" s="109"/>
      <c r="AN224" s="109"/>
      <c r="AO224" s="109"/>
      <c r="AP224" s="109"/>
      <c r="AQ224" s="109"/>
      <c r="AR224" s="109"/>
      <c r="AS224" s="109"/>
      <c r="AT224" s="109"/>
      <c r="AU224" s="109"/>
      <c r="AV224" s="109"/>
      <c r="AW224" s="109"/>
      <c r="AX224" s="109"/>
      <c r="AY224" s="109"/>
      <c r="AZ224" s="109"/>
      <c r="BA224" s="109"/>
      <c r="BB224" s="109"/>
      <c r="BC224" s="109"/>
      <c r="BD224" s="109"/>
      <c r="BE224" s="109"/>
      <c r="BF224" s="109"/>
      <c r="BG224" s="109"/>
      <c r="BH224" s="109"/>
      <c r="BI224" s="109"/>
      <c r="BJ224" s="109"/>
      <c r="BK224" s="109"/>
      <c r="BL224" s="109"/>
      <c r="BM224" s="109"/>
      <c r="BN224" s="109"/>
      <c r="BO224" s="109"/>
      <c r="BP224" s="109"/>
      <c r="BQ224" s="109"/>
      <c r="BR224" s="109"/>
      <c r="BS224" s="109"/>
      <c r="BT224" s="109"/>
      <c r="BU224" s="109"/>
      <c r="BV224" s="109"/>
      <c r="BW224" s="109"/>
      <c r="BX224" s="109"/>
      <c r="BY224" s="109"/>
      <c r="BZ224" s="109"/>
    </row>
    <row r="225" spans="1:78">
      <c r="A225" s="109"/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  <c r="AA225" s="109"/>
      <c r="AB225" s="109"/>
      <c r="AC225" s="109"/>
      <c r="AD225" s="109"/>
      <c r="AE225" s="109"/>
      <c r="AF225" s="109"/>
      <c r="AG225" s="109"/>
      <c r="AH225" s="109"/>
      <c r="AI225" s="109"/>
      <c r="AJ225" s="109"/>
      <c r="AK225" s="109"/>
      <c r="AL225" s="109"/>
      <c r="AM225" s="109"/>
      <c r="AN225" s="109"/>
      <c r="AO225" s="109"/>
      <c r="AP225" s="109"/>
      <c r="AQ225" s="109"/>
      <c r="AR225" s="109"/>
      <c r="AS225" s="109"/>
      <c r="AT225" s="109"/>
      <c r="AU225" s="109"/>
      <c r="AV225" s="109"/>
      <c r="AW225" s="109"/>
      <c r="AX225" s="109"/>
      <c r="AY225" s="109"/>
      <c r="AZ225" s="109"/>
      <c r="BA225" s="109"/>
      <c r="BB225" s="109"/>
      <c r="BC225" s="109"/>
      <c r="BD225" s="109"/>
      <c r="BE225" s="109"/>
      <c r="BF225" s="109"/>
      <c r="BG225" s="109"/>
      <c r="BH225" s="109"/>
      <c r="BI225" s="109"/>
      <c r="BJ225" s="109"/>
      <c r="BK225" s="109"/>
      <c r="BL225" s="109"/>
      <c r="BM225" s="109"/>
      <c r="BN225" s="109"/>
      <c r="BO225" s="109"/>
      <c r="BP225" s="109"/>
      <c r="BQ225" s="109"/>
      <c r="BR225" s="109"/>
      <c r="BS225" s="109"/>
      <c r="BT225" s="109"/>
      <c r="BU225" s="109"/>
      <c r="BV225" s="109"/>
      <c r="BW225" s="109"/>
      <c r="BX225" s="109"/>
      <c r="BY225" s="109"/>
      <c r="BZ225" s="109"/>
    </row>
    <row r="226" spans="1:78">
      <c r="A226" s="109"/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  <c r="AH226" s="109"/>
      <c r="AI226" s="109"/>
      <c r="AJ226" s="109"/>
      <c r="AK226" s="109"/>
      <c r="AL226" s="109"/>
      <c r="AM226" s="109"/>
      <c r="AN226" s="109"/>
      <c r="AO226" s="109"/>
      <c r="AP226" s="109"/>
      <c r="AQ226" s="109"/>
      <c r="AR226" s="109"/>
      <c r="AS226" s="109"/>
      <c r="AT226" s="109"/>
      <c r="AU226" s="109"/>
      <c r="AV226" s="109"/>
      <c r="AW226" s="109"/>
      <c r="AX226" s="109"/>
      <c r="AY226" s="109"/>
      <c r="AZ226" s="109"/>
      <c r="BA226" s="109"/>
      <c r="BB226" s="109"/>
      <c r="BC226" s="109"/>
      <c r="BD226" s="109"/>
      <c r="BE226" s="109"/>
      <c r="BF226" s="109"/>
      <c r="BG226" s="109"/>
      <c r="BH226" s="109"/>
      <c r="BI226" s="109"/>
      <c r="BJ226" s="109"/>
      <c r="BK226" s="109"/>
      <c r="BL226" s="109"/>
      <c r="BM226" s="109"/>
      <c r="BN226" s="109"/>
      <c r="BO226" s="109"/>
      <c r="BP226" s="109"/>
      <c r="BQ226" s="109"/>
      <c r="BR226" s="109"/>
      <c r="BS226" s="109"/>
      <c r="BT226" s="109"/>
      <c r="BU226" s="109"/>
      <c r="BV226" s="109"/>
      <c r="BW226" s="109"/>
      <c r="BX226" s="109"/>
      <c r="BY226" s="109"/>
      <c r="BZ226" s="109"/>
    </row>
    <row r="227" spans="1:78">
      <c r="A227" s="109"/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  <c r="Z227" s="109"/>
      <c r="AA227" s="109"/>
      <c r="AB227" s="109"/>
      <c r="AC227" s="109"/>
      <c r="AD227" s="109"/>
      <c r="AE227" s="109"/>
      <c r="AF227" s="109"/>
      <c r="AG227" s="109"/>
      <c r="AH227" s="109"/>
      <c r="AI227" s="109"/>
      <c r="AJ227" s="109"/>
      <c r="AK227" s="109"/>
      <c r="AL227" s="109"/>
      <c r="AM227" s="109"/>
      <c r="AN227" s="109"/>
      <c r="AO227" s="109"/>
      <c r="AP227" s="109"/>
      <c r="AQ227" s="109"/>
      <c r="AR227" s="109"/>
      <c r="AS227" s="109"/>
      <c r="AT227" s="109"/>
      <c r="AU227" s="109"/>
      <c r="AV227" s="109"/>
      <c r="AW227" s="109"/>
      <c r="AX227" s="109"/>
      <c r="AY227" s="109"/>
      <c r="AZ227" s="109"/>
      <c r="BA227" s="109"/>
      <c r="BB227" s="109"/>
      <c r="BC227" s="109"/>
      <c r="BD227" s="109"/>
      <c r="BE227" s="109"/>
      <c r="BF227" s="109"/>
      <c r="BG227" s="109"/>
      <c r="BH227" s="109"/>
      <c r="BI227" s="109"/>
      <c r="BJ227" s="109"/>
      <c r="BK227" s="109"/>
      <c r="BL227" s="109"/>
      <c r="BM227" s="109"/>
      <c r="BN227" s="109"/>
      <c r="BO227" s="109"/>
      <c r="BP227" s="109"/>
      <c r="BQ227" s="109"/>
      <c r="BR227" s="109"/>
      <c r="BS227" s="109"/>
      <c r="BT227" s="109"/>
      <c r="BU227" s="109"/>
      <c r="BV227" s="109"/>
      <c r="BW227" s="109"/>
      <c r="BX227" s="109"/>
      <c r="BY227" s="109"/>
      <c r="BZ227" s="109"/>
    </row>
    <row r="228" spans="1:78">
      <c r="A228" s="109"/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109"/>
      <c r="AA228" s="109"/>
      <c r="AB228" s="109"/>
      <c r="AC228" s="109"/>
      <c r="AD228" s="109"/>
      <c r="AE228" s="109"/>
      <c r="AF228" s="109"/>
      <c r="AG228" s="109"/>
      <c r="AH228" s="109"/>
      <c r="AI228" s="109"/>
      <c r="AJ228" s="109"/>
      <c r="AK228" s="109"/>
      <c r="AL228" s="109"/>
      <c r="AM228" s="109"/>
      <c r="AN228" s="109"/>
      <c r="AO228" s="109"/>
      <c r="AP228" s="109"/>
      <c r="AQ228" s="109"/>
      <c r="AR228" s="109"/>
      <c r="AS228" s="109"/>
      <c r="AT228" s="109"/>
      <c r="AU228" s="109"/>
      <c r="AV228" s="109"/>
      <c r="AW228" s="109"/>
      <c r="AX228" s="109"/>
      <c r="AY228" s="109"/>
      <c r="AZ228" s="109"/>
      <c r="BA228" s="109"/>
      <c r="BB228" s="109"/>
      <c r="BC228" s="109"/>
      <c r="BD228" s="109"/>
      <c r="BE228" s="109"/>
      <c r="BF228" s="109"/>
      <c r="BG228" s="109"/>
      <c r="BH228" s="109"/>
      <c r="BI228" s="109"/>
      <c r="BJ228" s="109"/>
      <c r="BK228" s="109"/>
      <c r="BL228" s="109"/>
      <c r="BM228" s="109"/>
      <c r="BN228" s="109"/>
      <c r="BO228" s="109"/>
      <c r="BP228" s="109"/>
      <c r="BQ228" s="109"/>
      <c r="BR228" s="109"/>
      <c r="BS228" s="109"/>
      <c r="BT228" s="109"/>
      <c r="BU228" s="109"/>
      <c r="BV228" s="109"/>
      <c r="BW228" s="109"/>
      <c r="BX228" s="109"/>
      <c r="BY228" s="109"/>
      <c r="BZ228" s="109"/>
    </row>
    <row r="229" spans="1:78">
      <c r="A229" s="109"/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  <c r="Z229" s="109"/>
      <c r="AA229" s="109"/>
      <c r="AB229" s="109"/>
      <c r="AC229" s="109"/>
      <c r="AD229" s="109"/>
      <c r="AE229" s="109"/>
      <c r="AF229" s="109"/>
      <c r="AG229" s="109"/>
      <c r="AH229" s="109"/>
      <c r="AI229" s="109"/>
      <c r="AJ229" s="109"/>
      <c r="AK229" s="109"/>
      <c r="AL229" s="109"/>
      <c r="AM229" s="109"/>
      <c r="AN229" s="109"/>
      <c r="AO229" s="109"/>
      <c r="AP229" s="109"/>
      <c r="AQ229" s="109"/>
      <c r="AR229" s="109"/>
      <c r="AS229" s="109"/>
      <c r="AT229" s="109"/>
      <c r="AU229" s="109"/>
      <c r="AV229" s="109"/>
      <c r="AW229" s="109"/>
      <c r="AX229" s="109"/>
      <c r="AY229" s="109"/>
      <c r="AZ229" s="109"/>
      <c r="BA229" s="109"/>
      <c r="BB229" s="109"/>
      <c r="BC229" s="109"/>
      <c r="BD229" s="109"/>
      <c r="BE229" s="109"/>
      <c r="BF229" s="109"/>
      <c r="BG229" s="109"/>
      <c r="BH229" s="109"/>
      <c r="BI229" s="109"/>
      <c r="BJ229" s="109"/>
      <c r="BK229" s="109"/>
      <c r="BL229" s="109"/>
      <c r="BM229" s="109"/>
      <c r="BN229" s="109"/>
      <c r="BO229" s="109"/>
      <c r="BP229" s="109"/>
      <c r="BQ229" s="109"/>
      <c r="BR229" s="109"/>
      <c r="BS229" s="109"/>
      <c r="BT229" s="109"/>
      <c r="BU229" s="109"/>
      <c r="BV229" s="109"/>
      <c r="BW229" s="109"/>
      <c r="BX229" s="109"/>
      <c r="BY229" s="109"/>
      <c r="BZ229" s="109"/>
    </row>
    <row r="230" spans="1:78">
      <c r="A230" s="109"/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09"/>
      <c r="AK230" s="109"/>
      <c r="AL230" s="109"/>
      <c r="AM230" s="109"/>
      <c r="AN230" s="109"/>
      <c r="AO230" s="109"/>
      <c r="AP230" s="109"/>
      <c r="AQ230" s="109"/>
      <c r="AR230" s="109"/>
      <c r="AS230" s="109"/>
      <c r="AT230" s="109"/>
      <c r="AU230" s="109"/>
      <c r="AV230" s="109"/>
      <c r="AW230" s="109"/>
      <c r="AX230" s="109"/>
      <c r="AY230" s="109"/>
      <c r="AZ230" s="109"/>
      <c r="BA230" s="109"/>
      <c r="BB230" s="109"/>
      <c r="BC230" s="109"/>
      <c r="BD230" s="109"/>
      <c r="BE230" s="109"/>
      <c r="BF230" s="109"/>
      <c r="BG230" s="109"/>
      <c r="BH230" s="109"/>
      <c r="BI230" s="109"/>
      <c r="BJ230" s="109"/>
      <c r="BK230" s="109"/>
      <c r="BL230" s="109"/>
      <c r="BM230" s="109"/>
      <c r="BN230" s="109"/>
      <c r="BO230" s="109"/>
      <c r="BP230" s="109"/>
      <c r="BQ230" s="109"/>
      <c r="BR230" s="109"/>
      <c r="BS230" s="109"/>
      <c r="BT230" s="109"/>
      <c r="BU230" s="109"/>
      <c r="BV230" s="109"/>
      <c r="BW230" s="109"/>
      <c r="BX230" s="109"/>
      <c r="BY230" s="109"/>
      <c r="BZ230" s="109"/>
    </row>
    <row r="231" spans="1:78">
      <c r="A231" s="109"/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  <c r="Z231" s="109"/>
      <c r="AA231" s="109"/>
      <c r="AB231" s="109"/>
      <c r="AC231" s="109"/>
      <c r="AD231" s="109"/>
      <c r="AE231" s="109"/>
      <c r="AF231" s="109"/>
      <c r="AG231" s="109"/>
      <c r="AH231" s="109"/>
      <c r="AI231" s="109"/>
      <c r="AJ231" s="109"/>
      <c r="AK231" s="109"/>
      <c r="AL231" s="109"/>
      <c r="AM231" s="109"/>
      <c r="AN231" s="109"/>
      <c r="AO231" s="109"/>
      <c r="AP231" s="109"/>
      <c r="AQ231" s="109"/>
      <c r="AR231" s="109"/>
      <c r="AS231" s="109"/>
      <c r="AT231" s="109"/>
      <c r="AU231" s="109"/>
      <c r="AV231" s="109"/>
      <c r="AW231" s="109"/>
      <c r="AX231" s="109"/>
      <c r="AY231" s="109"/>
      <c r="AZ231" s="109"/>
      <c r="BA231" s="109"/>
      <c r="BB231" s="109"/>
      <c r="BC231" s="109"/>
      <c r="BD231" s="109"/>
      <c r="BE231" s="109"/>
      <c r="BF231" s="109"/>
      <c r="BG231" s="109"/>
      <c r="BH231" s="109"/>
      <c r="BI231" s="109"/>
      <c r="BJ231" s="109"/>
      <c r="BK231" s="109"/>
      <c r="BL231" s="109"/>
      <c r="BM231" s="109"/>
      <c r="BN231" s="109"/>
      <c r="BO231" s="109"/>
      <c r="BP231" s="109"/>
      <c r="BQ231" s="109"/>
      <c r="BR231" s="109"/>
      <c r="BS231" s="109"/>
      <c r="BT231" s="109"/>
      <c r="BU231" s="109"/>
      <c r="BV231" s="109"/>
      <c r="BW231" s="109"/>
      <c r="BX231" s="109"/>
      <c r="BY231" s="109"/>
      <c r="BZ231" s="109"/>
    </row>
    <row r="232" spans="1:78">
      <c r="A232" s="109"/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  <c r="Z232" s="109"/>
      <c r="AA232" s="109"/>
      <c r="AB232" s="109"/>
      <c r="AC232" s="109"/>
      <c r="AD232" s="109"/>
      <c r="AE232" s="109"/>
      <c r="AF232" s="109"/>
      <c r="AG232" s="109"/>
      <c r="AH232" s="109"/>
      <c r="AI232" s="109"/>
      <c r="AJ232" s="109"/>
      <c r="AK232" s="109"/>
      <c r="AL232" s="109"/>
      <c r="AM232" s="109"/>
      <c r="AN232" s="109"/>
      <c r="AO232" s="109"/>
      <c r="AP232" s="109"/>
      <c r="AQ232" s="109"/>
      <c r="AR232" s="109"/>
      <c r="AS232" s="109"/>
      <c r="AT232" s="109"/>
      <c r="AU232" s="109"/>
      <c r="AV232" s="109"/>
      <c r="AW232" s="109"/>
      <c r="AX232" s="109"/>
      <c r="AY232" s="109"/>
      <c r="AZ232" s="109"/>
      <c r="BA232" s="109"/>
      <c r="BB232" s="109"/>
      <c r="BC232" s="109"/>
      <c r="BD232" s="109"/>
      <c r="BE232" s="109"/>
      <c r="BF232" s="109"/>
      <c r="BG232" s="109"/>
      <c r="BH232" s="109"/>
      <c r="BI232" s="109"/>
      <c r="BJ232" s="109"/>
      <c r="BK232" s="109"/>
      <c r="BL232" s="109"/>
      <c r="BM232" s="109"/>
      <c r="BN232" s="109"/>
      <c r="BO232" s="109"/>
      <c r="BP232" s="109"/>
      <c r="BQ232" s="109"/>
      <c r="BR232" s="109"/>
      <c r="BS232" s="109"/>
      <c r="BT232" s="109"/>
      <c r="BU232" s="109"/>
      <c r="BV232" s="109"/>
      <c r="BW232" s="109"/>
      <c r="BX232" s="109"/>
      <c r="BY232" s="109"/>
      <c r="BZ232" s="109"/>
    </row>
    <row r="233" spans="1:78">
      <c r="A233" s="109"/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09"/>
      <c r="AK233" s="109"/>
      <c r="AL233" s="109"/>
      <c r="AM233" s="109"/>
      <c r="AN233" s="109"/>
      <c r="AO233" s="109"/>
      <c r="AP233" s="109"/>
      <c r="AQ233" s="109"/>
      <c r="AR233" s="109"/>
      <c r="AS233" s="109"/>
      <c r="AT233" s="109"/>
      <c r="AU233" s="109"/>
      <c r="AV233" s="109"/>
      <c r="AW233" s="109"/>
      <c r="AX233" s="109"/>
      <c r="AY233" s="109"/>
      <c r="AZ233" s="109"/>
      <c r="BA233" s="109"/>
      <c r="BB233" s="109"/>
      <c r="BC233" s="109"/>
      <c r="BD233" s="109"/>
      <c r="BE233" s="109"/>
      <c r="BF233" s="109"/>
      <c r="BG233" s="109"/>
      <c r="BH233" s="109"/>
      <c r="BI233" s="109"/>
      <c r="BJ233" s="109"/>
      <c r="BK233" s="109"/>
      <c r="BL233" s="109"/>
      <c r="BM233" s="109"/>
      <c r="BN233" s="109"/>
      <c r="BO233" s="109"/>
      <c r="BP233" s="109"/>
      <c r="BQ233" s="109"/>
      <c r="BR233" s="109"/>
      <c r="BS233" s="109"/>
      <c r="BT233" s="109"/>
      <c r="BU233" s="109"/>
      <c r="BV233" s="109"/>
      <c r="BW233" s="109"/>
      <c r="BX233" s="109"/>
      <c r="BY233" s="109"/>
      <c r="BZ233" s="109"/>
    </row>
    <row r="234" spans="1:78">
      <c r="A234" s="109"/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09"/>
      <c r="AH234" s="109"/>
      <c r="AI234" s="109"/>
      <c r="AJ234" s="109"/>
      <c r="AK234" s="109"/>
      <c r="AL234" s="109"/>
      <c r="AM234" s="109"/>
      <c r="AN234" s="109"/>
      <c r="AO234" s="109"/>
      <c r="AP234" s="109"/>
      <c r="AQ234" s="109"/>
      <c r="AR234" s="109"/>
      <c r="AS234" s="109"/>
      <c r="AT234" s="109"/>
      <c r="AU234" s="109"/>
      <c r="AV234" s="109"/>
      <c r="AW234" s="109"/>
      <c r="AX234" s="109"/>
      <c r="AY234" s="109"/>
      <c r="AZ234" s="109"/>
      <c r="BA234" s="109"/>
      <c r="BB234" s="109"/>
      <c r="BC234" s="109"/>
      <c r="BD234" s="109"/>
      <c r="BE234" s="109"/>
      <c r="BF234" s="109"/>
      <c r="BG234" s="109"/>
      <c r="BH234" s="109"/>
      <c r="BI234" s="109"/>
      <c r="BJ234" s="109"/>
      <c r="BK234" s="109"/>
      <c r="BL234" s="109"/>
      <c r="BM234" s="109"/>
      <c r="BN234" s="109"/>
      <c r="BO234" s="109"/>
      <c r="BP234" s="109"/>
      <c r="BQ234" s="109"/>
      <c r="BR234" s="109"/>
      <c r="BS234" s="109"/>
      <c r="BT234" s="109"/>
      <c r="BU234" s="109"/>
      <c r="BV234" s="109"/>
      <c r="BW234" s="109"/>
      <c r="BX234" s="109"/>
      <c r="BY234" s="109"/>
      <c r="BZ234" s="109"/>
    </row>
    <row r="235" spans="1:78">
      <c r="A235" s="109"/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  <c r="Z235" s="109"/>
      <c r="AA235" s="109"/>
      <c r="AB235" s="109"/>
      <c r="AC235" s="109"/>
      <c r="AD235" s="109"/>
      <c r="AE235" s="109"/>
      <c r="AF235" s="109"/>
      <c r="AG235" s="109"/>
      <c r="AH235" s="109"/>
      <c r="AI235" s="109"/>
      <c r="AJ235" s="109"/>
      <c r="AK235" s="109"/>
      <c r="AL235" s="109"/>
      <c r="AM235" s="109"/>
      <c r="AN235" s="109"/>
      <c r="AO235" s="109"/>
      <c r="AP235" s="109"/>
      <c r="AQ235" s="109"/>
      <c r="AR235" s="109"/>
      <c r="AS235" s="109"/>
      <c r="AT235" s="109"/>
      <c r="AU235" s="109"/>
      <c r="AV235" s="109"/>
      <c r="AW235" s="109"/>
      <c r="AX235" s="109"/>
      <c r="AY235" s="109"/>
      <c r="AZ235" s="109"/>
      <c r="BA235" s="109"/>
      <c r="BB235" s="109"/>
      <c r="BC235" s="109"/>
      <c r="BD235" s="109"/>
      <c r="BE235" s="109"/>
      <c r="BF235" s="109"/>
      <c r="BG235" s="109"/>
      <c r="BH235" s="109"/>
      <c r="BI235" s="109"/>
      <c r="BJ235" s="109"/>
      <c r="BK235" s="109"/>
      <c r="BL235" s="109"/>
      <c r="BM235" s="109"/>
      <c r="BN235" s="109"/>
      <c r="BO235" s="109"/>
      <c r="BP235" s="109"/>
      <c r="BQ235" s="109"/>
      <c r="BR235" s="109"/>
      <c r="BS235" s="109"/>
      <c r="BT235" s="109"/>
      <c r="BU235" s="109"/>
      <c r="BV235" s="109"/>
      <c r="BW235" s="109"/>
      <c r="BX235" s="109"/>
      <c r="BY235" s="109"/>
      <c r="BZ235" s="109"/>
    </row>
    <row r="236" spans="1:78">
      <c r="A236" s="109"/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  <c r="Z236" s="109"/>
      <c r="AA236" s="109"/>
      <c r="AB236" s="109"/>
      <c r="AC236" s="109"/>
      <c r="AD236" s="109"/>
      <c r="AE236" s="109"/>
      <c r="AF236" s="109"/>
      <c r="AG236" s="109"/>
      <c r="AH236" s="109"/>
      <c r="AI236" s="109"/>
      <c r="AJ236" s="109"/>
      <c r="AK236" s="109"/>
      <c r="AL236" s="109"/>
      <c r="AM236" s="109"/>
      <c r="AN236" s="109"/>
      <c r="AO236" s="109"/>
      <c r="AP236" s="109"/>
      <c r="AQ236" s="109"/>
      <c r="AR236" s="109"/>
      <c r="AS236" s="109"/>
      <c r="AT236" s="109"/>
      <c r="AU236" s="109"/>
      <c r="AV236" s="109"/>
      <c r="AW236" s="109"/>
      <c r="AX236" s="109"/>
      <c r="AY236" s="109"/>
      <c r="AZ236" s="109"/>
      <c r="BA236" s="109"/>
      <c r="BB236" s="109"/>
      <c r="BC236" s="109"/>
      <c r="BD236" s="109"/>
      <c r="BE236" s="109"/>
      <c r="BF236" s="109"/>
      <c r="BG236" s="109"/>
      <c r="BH236" s="109"/>
      <c r="BI236" s="109"/>
      <c r="BJ236" s="109"/>
      <c r="BK236" s="109"/>
      <c r="BL236" s="109"/>
      <c r="BM236" s="109"/>
      <c r="BN236" s="109"/>
      <c r="BO236" s="109"/>
      <c r="BP236" s="109"/>
      <c r="BQ236" s="109"/>
      <c r="BR236" s="109"/>
      <c r="BS236" s="109"/>
      <c r="BT236" s="109"/>
      <c r="BU236" s="109"/>
      <c r="BV236" s="109"/>
      <c r="BW236" s="109"/>
      <c r="BX236" s="109"/>
      <c r="BY236" s="109"/>
      <c r="BZ236" s="109"/>
    </row>
    <row r="237" spans="1:78">
      <c r="A237" s="109"/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109"/>
      <c r="AN237" s="109"/>
      <c r="AO237" s="109"/>
      <c r="AP237" s="109"/>
      <c r="AQ237" s="109"/>
      <c r="AR237" s="109"/>
      <c r="AS237" s="109"/>
      <c r="AT237" s="109"/>
      <c r="AU237" s="109"/>
      <c r="AV237" s="109"/>
      <c r="AW237" s="109"/>
      <c r="AX237" s="109"/>
      <c r="AY237" s="109"/>
      <c r="AZ237" s="109"/>
      <c r="BA237" s="109"/>
      <c r="BB237" s="109"/>
      <c r="BC237" s="109"/>
      <c r="BD237" s="109"/>
      <c r="BE237" s="109"/>
      <c r="BF237" s="109"/>
      <c r="BG237" s="109"/>
      <c r="BH237" s="109"/>
      <c r="BI237" s="109"/>
      <c r="BJ237" s="109"/>
      <c r="BK237" s="109"/>
      <c r="BL237" s="109"/>
      <c r="BM237" s="109"/>
      <c r="BN237" s="109"/>
      <c r="BO237" s="109"/>
      <c r="BP237" s="109"/>
      <c r="BQ237" s="109"/>
      <c r="BR237" s="109"/>
      <c r="BS237" s="109"/>
      <c r="BT237" s="109"/>
      <c r="BU237" s="109"/>
      <c r="BV237" s="109"/>
      <c r="BW237" s="109"/>
      <c r="BX237" s="109"/>
      <c r="BY237" s="109"/>
      <c r="BZ237" s="109"/>
    </row>
    <row r="238" spans="1:78">
      <c r="A238" s="109"/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  <c r="Z238" s="109"/>
      <c r="AA238" s="109"/>
      <c r="AB238" s="109"/>
      <c r="AC238" s="109"/>
      <c r="AD238" s="109"/>
      <c r="AE238" s="109"/>
      <c r="AF238" s="109"/>
      <c r="AG238" s="109"/>
      <c r="AH238" s="109"/>
      <c r="AI238" s="109"/>
      <c r="AJ238" s="109"/>
      <c r="AK238" s="109"/>
      <c r="AL238" s="109"/>
      <c r="AM238" s="109"/>
      <c r="AN238" s="109"/>
      <c r="AO238" s="109"/>
      <c r="AP238" s="109"/>
      <c r="AQ238" s="109"/>
      <c r="AR238" s="109"/>
      <c r="AS238" s="109"/>
      <c r="AT238" s="109"/>
      <c r="AU238" s="109"/>
      <c r="AV238" s="109"/>
      <c r="AW238" s="109"/>
      <c r="AX238" s="109"/>
      <c r="AY238" s="109"/>
      <c r="AZ238" s="109"/>
      <c r="BA238" s="109"/>
      <c r="BB238" s="109"/>
      <c r="BC238" s="109"/>
      <c r="BD238" s="109"/>
      <c r="BE238" s="109"/>
      <c r="BF238" s="109"/>
      <c r="BG238" s="109"/>
      <c r="BH238" s="109"/>
      <c r="BI238" s="109"/>
      <c r="BJ238" s="109"/>
      <c r="BK238" s="109"/>
      <c r="BL238" s="109"/>
      <c r="BM238" s="109"/>
      <c r="BN238" s="109"/>
      <c r="BO238" s="109"/>
      <c r="BP238" s="109"/>
      <c r="BQ238" s="109"/>
      <c r="BR238" s="109"/>
      <c r="BS238" s="109"/>
      <c r="BT238" s="109"/>
      <c r="BU238" s="109"/>
      <c r="BV238" s="109"/>
      <c r="BW238" s="109"/>
      <c r="BX238" s="109"/>
      <c r="BY238" s="109"/>
      <c r="BZ238" s="109"/>
    </row>
    <row r="239" spans="1:78">
      <c r="A239" s="109"/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  <c r="Z239" s="109"/>
      <c r="AA239" s="109"/>
      <c r="AB239" s="109"/>
      <c r="AC239" s="109"/>
      <c r="AD239" s="109"/>
      <c r="AE239" s="109"/>
      <c r="AF239" s="109"/>
      <c r="AG239" s="109"/>
      <c r="AH239" s="109"/>
      <c r="AI239" s="109"/>
      <c r="AJ239" s="109"/>
      <c r="AK239" s="109"/>
      <c r="AL239" s="109"/>
      <c r="AM239" s="109"/>
      <c r="AN239" s="109"/>
      <c r="AO239" s="109"/>
      <c r="AP239" s="109"/>
      <c r="AQ239" s="109"/>
      <c r="AR239" s="109"/>
      <c r="AS239" s="109"/>
      <c r="AT239" s="109"/>
      <c r="AU239" s="109"/>
      <c r="AV239" s="109"/>
      <c r="AW239" s="109"/>
      <c r="AX239" s="109"/>
      <c r="AY239" s="109"/>
      <c r="AZ239" s="109"/>
      <c r="BA239" s="109"/>
      <c r="BB239" s="109"/>
      <c r="BC239" s="109"/>
      <c r="BD239" s="109"/>
      <c r="BE239" s="109"/>
      <c r="BF239" s="109"/>
      <c r="BG239" s="109"/>
      <c r="BH239" s="109"/>
      <c r="BI239" s="109"/>
      <c r="BJ239" s="109"/>
      <c r="BK239" s="109"/>
      <c r="BL239" s="109"/>
      <c r="BM239" s="109"/>
      <c r="BN239" s="109"/>
      <c r="BO239" s="109"/>
      <c r="BP239" s="109"/>
      <c r="BQ239" s="109"/>
      <c r="BR239" s="109"/>
      <c r="BS239" s="109"/>
      <c r="BT239" s="109"/>
      <c r="BU239" s="109"/>
      <c r="BV239" s="109"/>
      <c r="BW239" s="109"/>
      <c r="BX239" s="109"/>
      <c r="BY239" s="109"/>
      <c r="BZ239" s="109"/>
    </row>
    <row r="240" spans="1:78">
      <c r="A240" s="109"/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09"/>
      <c r="AK240" s="109"/>
      <c r="AL240" s="109"/>
      <c r="AM240" s="109"/>
      <c r="AN240" s="109"/>
      <c r="AO240" s="109"/>
      <c r="AP240" s="109"/>
      <c r="AQ240" s="109"/>
      <c r="AR240" s="109"/>
      <c r="AS240" s="109"/>
      <c r="AT240" s="109"/>
      <c r="AU240" s="109"/>
      <c r="AV240" s="109"/>
      <c r="AW240" s="109"/>
      <c r="AX240" s="109"/>
      <c r="AY240" s="109"/>
      <c r="AZ240" s="109"/>
      <c r="BA240" s="109"/>
      <c r="BB240" s="109"/>
      <c r="BC240" s="109"/>
      <c r="BD240" s="109"/>
      <c r="BE240" s="109"/>
      <c r="BF240" s="109"/>
      <c r="BG240" s="109"/>
      <c r="BH240" s="109"/>
      <c r="BI240" s="109"/>
      <c r="BJ240" s="109"/>
      <c r="BK240" s="109"/>
      <c r="BL240" s="109"/>
      <c r="BM240" s="109"/>
      <c r="BN240" s="109"/>
      <c r="BO240" s="109"/>
      <c r="BP240" s="109"/>
      <c r="BQ240" s="109"/>
      <c r="BR240" s="109"/>
      <c r="BS240" s="109"/>
      <c r="BT240" s="109"/>
      <c r="BU240" s="109"/>
      <c r="BV240" s="109"/>
      <c r="BW240" s="109"/>
      <c r="BX240" s="109"/>
      <c r="BY240" s="109"/>
      <c r="BZ240" s="109"/>
    </row>
    <row r="241" spans="1:78">
      <c r="A241" s="109"/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  <c r="Z241" s="109"/>
      <c r="AA241" s="109"/>
      <c r="AB241" s="109"/>
      <c r="AC241" s="109"/>
      <c r="AD241" s="109"/>
      <c r="AE241" s="109"/>
      <c r="AF241" s="109"/>
      <c r="AG241" s="109"/>
      <c r="AH241" s="109"/>
      <c r="AI241" s="109"/>
      <c r="AJ241" s="109"/>
      <c r="AK241" s="109"/>
      <c r="AL241" s="109"/>
      <c r="AM241" s="109"/>
      <c r="AN241" s="109"/>
      <c r="AO241" s="109"/>
      <c r="AP241" s="109"/>
      <c r="AQ241" s="109"/>
      <c r="AR241" s="109"/>
      <c r="AS241" s="109"/>
      <c r="AT241" s="109"/>
      <c r="AU241" s="109"/>
      <c r="AV241" s="109"/>
      <c r="AW241" s="109"/>
      <c r="AX241" s="109"/>
      <c r="AY241" s="109"/>
      <c r="AZ241" s="109"/>
      <c r="BA241" s="109"/>
      <c r="BB241" s="109"/>
      <c r="BC241" s="109"/>
      <c r="BD241" s="109"/>
      <c r="BE241" s="109"/>
      <c r="BF241" s="109"/>
      <c r="BG241" s="109"/>
      <c r="BH241" s="109"/>
      <c r="BI241" s="109"/>
      <c r="BJ241" s="109"/>
      <c r="BK241" s="109"/>
      <c r="BL241" s="109"/>
      <c r="BM241" s="109"/>
      <c r="BN241" s="109"/>
      <c r="BO241" s="109"/>
      <c r="BP241" s="109"/>
      <c r="BQ241" s="109"/>
      <c r="BR241" s="109"/>
      <c r="BS241" s="109"/>
      <c r="BT241" s="109"/>
      <c r="BU241" s="109"/>
      <c r="BV241" s="109"/>
      <c r="BW241" s="109"/>
      <c r="BX241" s="109"/>
      <c r="BY241" s="109"/>
      <c r="BZ241" s="109"/>
    </row>
    <row r="242" spans="1:78">
      <c r="A242" s="109"/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  <c r="Z242" s="109"/>
      <c r="AA242" s="109"/>
      <c r="AB242" s="109"/>
      <c r="AC242" s="109"/>
      <c r="AD242" s="109"/>
      <c r="AE242" s="109"/>
      <c r="AF242" s="109"/>
      <c r="AG242" s="109"/>
      <c r="AH242" s="109"/>
      <c r="AI242" s="109"/>
      <c r="AJ242" s="109"/>
      <c r="AK242" s="109"/>
      <c r="AL242" s="109"/>
      <c r="AM242" s="109"/>
      <c r="AN242" s="109"/>
      <c r="AO242" s="109"/>
      <c r="AP242" s="109"/>
      <c r="AQ242" s="109"/>
      <c r="AR242" s="109"/>
      <c r="AS242" s="109"/>
      <c r="AT242" s="109"/>
      <c r="AU242" s="109"/>
      <c r="AV242" s="109"/>
      <c r="AW242" s="109"/>
      <c r="AX242" s="109"/>
      <c r="AY242" s="109"/>
      <c r="AZ242" s="109"/>
      <c r="BA242" s="109"/>
      <c r="BB242" s="109"/>
      <c r="BC242" s="109"/>
      <c r="BD242" s="109"/>
      <c r="BE242" s="109"/>
      <c r="BF242" s="109"/>
      <c r="BG242" s="109"/>
      <c r="BH242" s="109"/>
      <c r="BI242" s="109"/>
      <c r="BJ242" s="109"/>
      <c r="BK242" s="109"/>
      <c r="BL242" s="109"/>
      <c r="BM242" s="109"/>
      <c r="BN242" s="109"/>
      <c r="BO242" s="109"/>
      <c r="BP242" s="109"/>
      <c r="BQ242" s="109"/>
      <c r="BR242" s="109"/>
      <c r="BS242" s="109"/>
      <c r="BT242" s="109"/>
      <c r="BU242" s="109"/>
      <c r="BV242" s="109"/>
      <c r="BW242" s="109"/>
      <c r="BX242" s="109"/>
      <c r="BY242" s="109"/>
      <c r="BZ242" s="109"/>
    </row>
    <row r="243" spans="1:78">
      <c r="A243" s="109"/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  <c r="Z243" s="109"/>
      <c r="AA243" s="109"/>
      <c r="AB243" s="109"/>
      <c r="AC243" s="109"/>
      <c r="AD243" s="109"/>
      <c r="AE243" s="109"/>
      <c r="AF243" s="109"/>
      <c r="AG243" s="109"/>
      <c r="AH243" s="109"/>
      <c r="AI243" s="109"/>
      <c r="AJ243" s="109"/>
      <c r="AK243" s="109"/>
      <c r="AL243" s="109"/>
      <c r="AM243" s="109"/>
      <c r="AN243" s="109"/>
      <c r="AO243" s="109"/>
      <c r="AP243" s="109"/>
      <c r="AQ243" s="109"/>
      <c r="AR243" s="109"/>
      <c r="AS243" s="109"/>
      <c r="AT243" s="109"/>
      <c r="AU243" s="109"/>
      <c r="AV243" s="109"/>
      <c r="AW243" s="109"/>
      <c r="AX243" s="109"/>
      <c r="AY243" s="109"/>
      <c r="AZ243" s="109"/>
      <c r="BA243" s="109"/>
      <c r="BB243" s="109"/>
      <c r="BC243" s="109"/>
      <c r="BD243" s="109"/>
      <c r="BE243" s="109"/>
      <c r="BF243" s="109"/>
      <c r="BG243" s="109"/>
      <c r="BH243" s="109"/>
      <c r="BI243" s="109"/>
      <c r="BJ243" s="109"/>
      <c r="BK243" s="109"/>
      <c r="BL243" s="109"/>
      <c r="BM243" s="109"/>
      <c r="BN243" s="109"/>
      <c r="BO243" s="109"/>
      <c r="BP243" s="109"/>
      <c r="BQ243" s="109"/>
      <c r="BR243" s="109"/>
      <c r="BS243" s="109"/>
      <c r="BT243" s="109"/>
      <c r="BU243" s="109"/>
      <c r="BV243" s="109"/>
      <c r="BW243" s="109"/>
      <c r="BX243" s="109"/>
      <c r="BY243" s="109"/>
      <c r="BZ243" s="109"/>
    </row>
    <row r="244" spans="1:78">
      <c r="A244" s="109"/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09"/>
      <c r="AK244" s="109"/>
      <c r="AL244" s="109"/>
      <c r="AM244" s="109"/>
      <c r="AN244" s="109"/>
      <c r="AO244" s="109"/>
      <c r="AP244" s="109"/>
      <c r="AQ244" s="109"/>
      <c r="AR244" s="109"/>
      <c r="AS244" s="109"/>
      <c r="AT244" s="109"/>
      <c r="AU244" s="109"/>
      <c r="AV244" s="109"/>
      <c r="AW244" s="109"/>
      <c r="AX244" s="109"/>
      <c r="AY244" s="109"/>
      <c r="AZ244" s="109"/>
      <c r="BA244" s="109"/>
      <c r="BB244" s="109"/>
      <c r="BC244" s="109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09"/>
      <c r="BO244" s="109"/>
      <c r="BP244" s="109"/>
      <c r="BQ244" s="109"/>
      <c r="BR244" s="109"/>
      <c r="BS244" s="109"/>
      <c r="BT244" s="109"/>
      <c r="BU244" s="109"/>
      <c r="BV244" s="109"/>
      <c r="BW244" s="109"/>
      <c r="BX244" s="109"/>
      <c r="BY244" s="109"/>
      <c r="BZ244" s="109"/>
    </row>
    <row r="245" spans="1:78">
      <c r="A245" s="109"/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09"/>
      <c r="AK245" s="109"/>
      <c r="AL245" s="109"/>
      <c r="AM245" s="109"/>
      <c r="AN245" s="109"/>
      <c r="AO245" s="109"/>
      <c r="AP245" s="109"/>
      <c r="AQ245" s="109"/>
      <c r="AR245" s="109"/>
      <c r="AS245" s="109"/>
      <c r="AT245" s="109"/>
      <c r="AU245" s="109"/>
      <c r="AV245" s="109"/>
      <c r="AW245" s="109"/>
      <c r="AX245" s="109"/>
      <c r="AY245" s="109"/>
      <c r="AZ245" s="109"/>
      <c r="BA245" s="109"/>
      <c r="BB245" s="109"/>
      <c r="BC245" s="109"/>
      <c r="BD245" s="109"/>
      <c r="BE245" s="109"/>
      <c r="BF245" s="109"/>
      <c r="BG245" s="109"/>
      <c r="BH245" s="109"/>
      <c r="BI245" s="109"/>
      <c r="BJ245" s="109"/>
      <c r="BK245" s="109"/>
      <c r="BL245" s="109"/>
      <c r="BM245" s="109"/>
      <c r="BN245" s="109"/>
      <c r="BO245" s="109"/>
      <c r="BP245" s="109"/>
      <c r="BQ245" s="109"/>
      <c r="BR245" s="109"/>
      <c r="BS245" s="109"/>
      <c r="BT245" s="109"/>
      <c r="BU245" s="109"/>
      <c r="BV245" s="109"/>
      <c r="BW245" s="109"/>
      <c r="BX245" s="109"/>
      <c r="BY245" s="109"/>
      <c r="BZ245" s="109"/>
    </row>
    <row r="246" spans="1:78">
      <c r="A246" s="109"/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09"/>
      <c r="AK246" s="109"/>
      <c r="AL246" s="109"/>
      <c r="AM246" s="109"/>
      <c r="AN246" s="109"/>
      <c r="AO246" s="109"/>
      <c r="AP246" s="109"/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9"/>
      <c r="BA246" s="109"/>
      <c r="BB246" s="109"/>
      <c r="BC246" s="109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09"/>
      <c r="BO246" s="109"/>
      <c r="BP246" s="109"/>
      <c r="BQ246" s="109"/>
      <c r="BR246" s="109"/>
      <c r="BS246" s="109"/>
      <c r="BT246" s="109"/>
      <c r="BU246" s="109"/>
      <c r="BV246" s="109"/>
      <c r="BW246" s="109"/>
      <c r="BX246" s="109"/>
      <c r="BY246" s="109"/>
      <c r="BZ246" s="109"/>
    </row>
    <row r="247" spans="1:78">
      <c r="A247" s="109"/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09"/>
      <c r="AK247" s="109"/>
      <c r="AL247" s="109"/>
      <c r="AM247" s="109"/>
      <c r="AN247" s="109"/>
      <c r="AO247" s="109"/>
      <c r="AP247" s="109"/>
      <c r="AQ247" s="109"/>
      <c r="AR247" s="109"/>
      <c r="AS247" s="109"/>
      <c r="AT247" s="109"/>
      <c r="AU247" s="109"/>
      <c r="AV247" s="109"/>
      <c r="AW247" s="109"/>
      <c r="AX247" s="109"/>
      <c r="AY247" s="109"/>
      <c r="AZ247" s="109"/>
      <c r="BA247" s="109"/>
      <c r="BB247" s="109"/>
      <c r="BC247" s="109"/>
      <c r="BD247" s="109"/>
      <c r="BE247" s="109"/>
      <c r="BF247" s="109"/>
      <c r="BG247" s="109"/>
      <c r="BH247" s="109"/>
      <c r="BI247" s="109"/>
      <c r="BJ247" s="109"/>
      <c r="BK247" s="109"/>
      <c r="BL247" s="109"/>
      <c r="BM247" s="109"/>
      <c r="BN247" s="109"/>
      <c r="BO247" s="109"/>
      <c r="BP247" s="109"/>
      <c r="BQ247" s="109"/>
      <c r="BR247" s="109"/>
      <c r="BS247" s="109"/>
      <c r="BT247" s="109"/>
      <c r="BU247" s="109"/>
      <c r="BV247" s="109"/>
      <c r="BW247" s="109"/>
      <c r="BX247" s="109"/>
      <c r="BY247" s="109"/>
      <c r="BZ247" s="109"/>
    </row>
    <row r="248" spans="1:78">
      <c r="A248" s="109"/>
      <c r="B248" s="109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  <c r="Z248" s="109"/>
      <c r="AA248" s="109"/>
      <c r="AB248" s="109"/>
      <c r="AC248" s="109"/>
      <c r="AD248" s="109"/>
      <c r="AE248" s="109"/>
      <c r="AF248" s="109"/>
      <c r="AG248" s="109"/>
      <c r="AH248" s="109"/>
      <c r="AI248" s="109"/>
      <c r="AJ248" s="109"/>
      <c r="AK248" s="109"/>
      <c r="AL248" s="109"/>
      <c r="AM248" s="109"/>
      <c r="AN248" s="109"/>
      <c r="AO248" s="109"/>
      <c r="AP248" s="109"/>
      <c r="AQ248" s="109"/>
      <c r="AR248" s="109"/>
      <c r="AS248" s="109"/>
      <c r="AT248" s="109"/>
      <c r="AU248" s="109"/>
      <c r="AV248" s="109"/>
      <c r="AW248" s="109"/>
      <c r="AX248" s="109"/>
      <c r="AY248" s="109"/>
      <c r="AZ248" s="109"/>
      <c r="BA248" s="109"/>
      <c r="BB248" s="109"/>
      <c r="BC248" s="109"/>
      <c r="BD248" s="109"/>
      <c r="BE248" s="109"/>
      <c r="BF248" s="109"/>
      <c r="BG248" s="109"/>
      <c r="BH248" s="109"/>
      <c r="BI248" s="109"/>
      <c r="BJ248" s="109"/>
      <c r="BK248" s="109"/>
      <c r="BL248" s="109"/>
      <c r="BM248" s="109"/>
      <c r="BN248" s="109"/>
      <c r="BO248" s="109"/>
      <c r="BP248" s="109"/>
      <c r="BQ248" s="109"/>
      <c r="BR248" s="109"/>
      <c r="BS248" s="109"/>
      <c r="BT248" s="109"/>
      <c r="BU248" s="109"/>
      <c r="BV248" s="109"/>
      <c r="BW248" s="109"/>
      <c r="BX248" s="109"/>
      <c r="BY248" s="109"/>
      <c r="BZ248" s="109"/>
    </row>
    <row r="249" spans="1:78">
      <c r="A249" s="109"/>
      <c r="B249" s="109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  <c r="AH249" s="109"/>
      <c r="AI249" s="109"/>
      <c r="AJ249" s="109"/>
      <c r="AK249" s="109"/>
      <c r="AL249" s="109"/>
      <c r="AM249" s="109"/>
      <c r="AN249" s="109"/>
      <c r="AO249" s="109"/>
      <c r="AP249" s="109"/>
      <c r="AQ249" s="109"/>
      <c r="AR249" s="109"/>
      <c r="AS249" s="109"/>
      <c r="AT249" s="109"/>
      <c r="AU249" s="109"/>
      <c r="AV249" s="109"/>
      <c r="AW249" s="109"/>
      <c r="AX249" s="109"/>
      <c r="AY249" s="109"/>
      <c r="AZ249" s="109"/>
      <c r="BA249" s="109"/>
      <c r="BB249" s="109"/>
      <c r="BC249" s="109"/>
      <c r="BD249" s="109"/>
      <c r="BE249" s="109"/>
      <c r="BF249" s="109"/>
      <c r="BG249" s="109"/>
      <c r="BH249" s="109"/>
      <c r="BI249" s="109"/>
      <c r="BJ249" s="109"/>
      <c r="BK249" s="109"/>
      <c r="BL249" s="109"/>
      <c r="BM249" s="109"/>
      <c r="BN249" s="109"/>
      <c r="BO249" s="109"/>
      <c r="BP249" s="109"/>
      <c r="BQ249" s="109"/>
      <c r="BR249" s="109"/>
      <c r="BS249" s="109"/>
      <c r="BT249" s="109"/>
      <c r="BU249" s="109"/>
      <c r="BV249" s="109"/>
      <c r="BW249" s="109"/>
      <c r="BX249" s="109"/>
      <c r="BY249" s="109"/>
      <c r="BZ249" s="109"/>
    </row>
    <row r="250" spans="1:78">
      <c r="A250" s="109"/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  <c r="Z250" s="109"/>
      <c r="AA250" s="109"/>
      <c r="AB250" s="109"/>
      <c r="AC250" s="109"/>
      <c r="AD250" s="109"/>
      <c r="AE250" s="109"/>
      <c r="AF250" s="109"/>
      <c r="AG250" s="109"/>
      <c r="AH250" s="109"/>
      <c r="AI250" s="109"/>
      <c r="AJ250" s="109"/>
      <c r="AK250" s="109"/>
      <c r="AL250" s="109"/>
      <c r="AM250" s="109"/>
      <c r="AN250" s="109"/>
      <c r="AO250" s="109"/>
      <c r="AP250" s="109"/>
      <c r="AQ250" s="109"/>
      <c r="AR250" s="109"/>
      <c r="AS250" s="109"/>
      <c r="AT250" s="109"/>
      <c r="AU250" s="109"/>
      <c r="AV250" s="109"/>
      <c r="AW250" s="109"/>
      <c r="AX250" s="109"/>
      <c r="AY250" s="109"/>
      <c r="AZ250" s="109"/>
      <c r="BA250" s="109"/>
      <c r="BB250" s="109"/>
      <c r="BC250" s="109"/>
      <c r="BD250" s="109"/>
      <c r="BE250" s="109"/>
      <c r="BF250" s="109"/>
      <c r="BG250" s="109"/>
      <c r="BH250" s="109"/>
      <c r="BI250" s="109"/>
      <c r="BJ250" s="109"/>
      <c r="BK250" s="109"/>
      <c r="BL250" s="109"/>
      <c r="BM250" s="109"/>
      <c r="BN250" s="109"/>
      <c r="BO250" s="109"/>
      <c r="BP250" s="109"/>
      <c r="BQ250" s="109"/>
      <c r="BR250" s="109"/>
      <c r="BS250" s="109"/>
      <c r="BT250" s="109"/>
      <c r="BU250" s="109"/>
      <c r="BV250" s="109"/>
      <c r="BW250" s="109"/>
      <c r="BX250" s="109"/>
      <c r="BY250" s="109"/>
      <c r="BZ250" s="109"/>
    </row>
    <row r="251" spans="1:78">
      <c r="A251" s="109"/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  <c r="AH251" s="109"/>
      <c r="AI251" s="109"/>
      <c r="AJ251" s="109"/>
      <c r="AK251" s="109"/>
      <c r="AL251" s="109"/>
      <c r="AM251" s="109"/>
      <c r="AN251" s="109"/>
      <c r="AO251" s="109"/>
      <c r="AP251" s="109"/>
      <c r="AQ251" s="109"/>
      <c r="AR251" s="109"/>
      <c r="AS251" s="109"/>
      <c r="AT251" s="109"/>
      <c r="AU251" s="109"/>
      <c r="AV251" s="109"/>
      <c r="AW251" s="109"/>
      <c r="AX251" s="109"/>
      <c r="AY251" s="109"/>
      <c r="AZ251" s="109"/>
      <c r="BA251" s="109"/>
      <c r="BB251" s="109"/>
      <c r="BC251" s="109"/>
      <c r="BD251" s="109"/>
      <c r="BE251" s="109"/>
      <c r="BF251" s="109"/>
      <c r="BG251" s="109"/>
      <c r="BH251" s="109"/>
      <c r="BI251" s="109"/>
      <c r="BJ251" s="109"/>
      <c r="BK251" s="109"/>
      <c r="BL251" s="109"/>
      <c r="BM251" s="109"/>
      <c r="BN251" s="109"/>
      <c r="BO251" s="109"/>
      <c r="BP251" s="109"/>
      <c r="BQ251" s="109"/>
      <c r="BR251" s="109"/>
      <c r="BS251" s="109"/>
      <c r="BT251" s="109"/>
      <c r="BU251" s="109"/>
      <c r="BV251" s="109"/>
      <c r="BW251" s="109"/>
      <c r="BX251" s="109"/>
      <c r="BY251" s="109"/>
      <c r="BZ251" s="109"/>
    </row>
    <row r="252" spans="1:78">
      <c r="A252" s="109"/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  <c r="Z252" s="109"/>
      <c r="AA252" s="109"/>
      <c r="AB252" s="109"/>
      <c r="AC252" s="109"/>
      <c r="AD252" s="109"/>
      <c r="AE252" s="109"/>
      <c r="AF252" s="109"/>
      <c r="AG252" s="109"/>
      <c r="AH252" s="109"/>
      <c r="AI252" s="109"/>
      <c r="AJ252" s="109"/>
      <c r="AK252" s="109"/>
      <c r="AL252" s="109"/>
      <c r="AM252" s="109"/>
      <c r="AN252" s="109"/>
      <c r="AO252" s="109"/>
      <c r="AP252" s="109"/>
      <c r="AQ252" s="109"/>
      <c r="AR252" s="109"/>
      <c r="AS252" s="109"/>
      <c r="AT252" s="109"/>
      <c r="AU252" s="109"/>
      <c r="AV252" s="109"/>
      <c r="AW252" s="109"/>
      <c r="AX252" s="109"/>
      <c r="AY252" s="109"/>
      <c r="AZ252" s="109"/>
      <c r="BA252" s="109"/>
      <c r="BB252" s="109"/>
      <c r="BC252" s="109"/>
      <c r="BD252" s="109"/>
      <c r="BE252" s="109"/>
      <c r="BF252" s="109"/>
      <c r="BG252" s="109"/>
      <c r="BH252" s="109"/>
      <c r="BI252" s="109"/>
      <c r="BJ252" s="109"/>
      <c r="BK252" s="109"/>
      <c r="BL252" s="109"/>
      <c r="BM252" s="109"/>
      <c r="BN252" s="109"/>
      <c r="BO252" s="109"/>
      <c r="BP252" s="109"/>
      <c r="BQ252" s="109"/>
      <c r="BR252" s="109"/>
      <c r="BS252" s="109"/>
      <c r="BT252" s="109"/>
      <c r="BU252" s="109"/>
      <c r="BV252" s="109"/>
      <c r="BW252" s="109"/>
      <c r="BX252" s="109"/>
      <c r="BY252" s="109"/>
      <c r="BZ252" s="109"/>
    </row>
    <row r="253" spans="1:78">
      <c r="A253" s="109"/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9"/>
      <c r="AD253" s="109"/>
      <c r="AE253" s="109"/>
      <c r="AF253" s="109"/>
      <c r="AG253" s="109"/>
      <c r="AH253" s="109"/>
      <c r="AI253" s="109"/>
      <c r="AJ253" s="109"/>
      <c r="AK253" s="109"/>
      <c r="AL253" s="109"/>
      <c r="AM253" s="109"/>
      <c r="AN253" s="109"/>
      <c r="AO253" s="109"/>
      <c r="AP253" s="109"/>
      <c r="AQ253" s="109"/>
      <c r="AR253" s="109"/>
      <c r="AS253" s="109"/>
      <c r="AT253" s="109"/>
      <c r="AU253" s="109"/>
      <c r="AV253" s="109"/>
      <c r="AW253" s="109"/>
      <c r="AX253" s="109"/>
      <c r="AY253" s="109"/>
      <c r="AZ253" s="109"/>
      <c r="BA253" s="109"/>
      <c r="BB253" s="109"/>
      <c r="BC253" s="109"/>
      <c r="BD253" s="109"/>
      <c r="BE253" s="109"/>
      <c r="BF253" s="109"/>
      <c r="BG253" s="109"/>
      <c r="BH253" s="109"/>
      <c r="BI253" s="109"/>
      <c r="BJ253" s="109"/>
      <c r="BK253" s="109"/>
      <c r="BL253" s="109"/>
      <c r="BM253" s="109"/>
      <c r="BN253" s="109"/>
      <c r="BO253" s="109"/>
      <c r="BP253" s="109"/>
      <c r="BQ253" s="109"/>
      <c r="BR253" s="109"/>
      <c r="BS253" s="109"/>
      <c r="BT253" s="109"/>
      <c r="BU253" s="109"/>
      <c r="BV253" s="109"/>
      <c r="BW253" s="109"/>
      <c r="BX253" s="109"/>
      <c r="BY253" s="109"/>
      <c r="BZ253" s="109"/>
    </row>
    <row r="254" spans="1:78">
      <c r="A254" s="109"/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9"/>
      <c r="AD254" s="109"/>
      <c r="AE254" s="109"/>
      <c r="AF254" s="109"/>
      <c r="AG254" s="109"/>
      <c r="AH254" s="109"/>
      <c r="AI254" s="109"/>
      <c r="AJ254" s="109"/>
      <c r="AK254" s="109"/>
      <c r="AL254" s="109"/>
      <c r="AM254" s="109"/>
      <c r="AN254" s="109"/>
      <c r="AO254" s="109"/>
      <c r="AP254" s="109"/>
      <c r="AQ254" s="109"/>
      <c r="AR254" s="109"/>
      <c r="AS254" s="109"/>
      <c r="AT254" s="109"/>
      <c r="AU254" s="109"/>
      <c r="AV254" s="109"/>
      <c r="AW254" s="109"/>
      <c r="AX254" s="109"/>
      <c r="AY254" s="109"/>
      <c r="AZ254" s="109"/>
      <c r="BA254" s="109"/>
      <c r="BB254" s="109"/>
      <c r="BC254" s="109"/>
      <c r="BD254" s="109"/>
      <c r="BE254" s="109"/>
      <c r="BF254" s="109"/>
      <c r="BG254" s="109"/>
      <c r="BH254" s="109"/>
      <c r="BI254" s="109"/>
      <c r="BJ254" s="109"/>
      <c r="BK254" s="109"/>
      <c r="BL254" s="109"/>
      <c r="BM254" s="109"/>
      <c r="BN254" s="109"/>
      <c r="BO254" s="109"/>
      <c r="BP254" s="109"/>
      <c r="BQ254" s="109"/>
      <c r="BR254" s="109"/>
      <c r="BS254" s="109"/>
      <c r="BT254" s="109"/>
      <c r="BU254" s="109"/>
      <c r="BV254" s="109"/>
      <c r="BW254" s="109"/>
      <c r="BX254" s="109"/>
      <c r="BY254" s="109"/>
      <c r="BZ254" s="109"/>
    </row>
    <row r="255" spans="1:78">
      <c r="A255" s="109"/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/>
      <c r="AM255" s="109"/>
      <c r="AN255" s="109"/>
      <c r="AO255" s="109"/>
      <c r="AP255" s="109"/>
      <c r="AQ255" s="109"/>
      <c r="AR255" s="109"/>
      <c r="AS255" s="109"/>
      <c r="AT255" s="109"/>
      <c r="AU255" s="109"/>
      <c r="AV255" s="109"/>
      <c r="AW255" s="109"/>
      <c r="AX255" s="109"/>
      <c r="AY255" s="109"/>
      <c r="AZ255" s="109"/>
      <c r="BA255" s="109"/>
      <c r="BB255" s="109"/>
      <c r="BC255" s="109"/>
      <c r="BD255" s="109"/>
      <c r="BE255" s="109"/>
      <c r="BF255" s="109"/>
      <c r="BG255" s="109"/>
      <c r="BH255" s="109"/>
      <c r="BI255" s="109"/>
      <c r="BJ255" s="109"/>
      <c r="BK255" s="109"/>
      <c r="BL255" s="109"/>
      <c r="BM255" s="109"/>
      <c r="BN255" s="109"/>
      <c r="BO255" s="109"/>
      <c r="BP255" s="109"/>
      <c r="BQ255" s="109"/>
      <c r="BR255" s="109"/>
      <c r="BS255" s="109"/>
      <c r="BT255" s="109"/>
      <c r="BU255" s="109"/>
      <c r="BV255" s="109"/>
      <c r="BW255" s="109"/>
      <c r="BX255" s="109"/>
      <c r="BY255" s="109"/>
      <c r="BZ255" s="109"/>
    </row>
    <row r="256" spans="1:78">
      <c r="A256" s="109"/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  <c r="AH256" s="109"/>
      <c r="AI256" s="109"/>
      <c r="AJ256" s="109"/>
      <c r="AK256" s="109"/>
      <c r="AL256" s="109"/>
      <c r="AM256" s="109"/>
      <c r="AN256" s="109"/>
      <c r="AO256" s="109"/>
      <c r="AP256" s="109"/>
      <c r="AQ256" s="109"/>
      <c r="AR256" s="109"/>
      <c r="AS256" s="109"/>
      <c r="AT256" s="109"/>
      <c r="AU256" s="109"/>
      <c r="AV256" s="109"/>
      <c r="AW256" s="109"/>
      <c r="AX256" s="109"/>
      <c r="AY256" s="109"/>
      <c r="AZ256" s="109"/>
      <c r="BA256" s="109"/>
      <c r="BB256" s="109"/>
      <c r="BC256" s="109"/>
      <c r="BD256" s="109"/>
      <c r="BE256" s="109"/>
      <c r="BF256" s="109"/>
      <c r="BG256" s="109"/>
      <c r="BH256" s="109"/>
      <c r="BI256" s="109"/>
      <c r="BJ256" s="109"/>
      <c r="BK256" s="109"/>
      <c r="BL256" s="109"/>
      <c r="BM256" s="109"/>
      <c r="BN256" s="109"/>
      <c r="BO256" s="109"/>
      <c r="BP256" s="109"/>
      <c r="BQ256" s="109"/>
      <c r="BR256" s="109"/>
      <c r="BS256" s="109"/>
      <c r="BT256" s="109"/>
      <c r="BU256" s="109"/>
      <c r="BV256" s="109"/>
      <c r="BW256" s="109"/>
      <c r="BX256" s="109"/>
      <c r="BY256" s="109"/>
      <c r="BZ256" s="109"/>
    </row>
    <row r="257" spans="1:78">
      <c r="A257" s="109"/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  <c r="AH257" s="109"/>
      <c r="AI257" s="109"/>
      <c r="AJ257" s="109"/>
      <c r="AK257" s="109"/>
      <c r="AL257" s="109"/>
      <c r="AM257" s="109"/>
      <c r="AN257" s="109"/>
      <c r="AO257" s="109"/>
      <c r="AP257" s="109"/>
      <c r="AQ257" s="109"/>
      <c r="AR257" s="109"/>
      <c r="AS257" s="109"/>
      <c r="AT257" s="109"/>
      <c r="AU257" s="109"/>
      <c r="AV257" s="109"/>
      <c r="AW257" s="109"/>
      <c r="AX257" s="109"/>
      <c r="AY257" s="109"/>
      <c r="AZ257" s="109"/>
      <c r="BA257" s="109"/>
      <c r="BB257" s="109"/>
      <c r="BC257" s="109"/>
      <c r="BD257" s="109"/>
      <c r="BE257" s="109"/>
      <c r="BF257" s="109"/>
      <c r="BG257" s="109"/>
      <c r="BH257" s="109"/>
      <c r="BI257" s="109"/>
      <c r="BJ257" s="109"/>
      <c r="BK257" s="109"/>
      <c r="BL257" s="109"/>
      <c r="BM257" s="109"/>
      <c r="BN257" s="109"/>
      <c r="BO257" s="109"/>
      <c r="BP257" s="109"/>
      <c r="BQ257" s="109"/>
      <c r="BR257" s="109"/>
      <c r="BS257" s="109"/>
      <c r="BT257" s="109"/>
      <c r="BU257" s="109"/>
      <c r="BV257" s="109"/>
      <c r="BW257" s="109"/>
      <c r="BX257" s="109"/>
      <c r="BY257" s="109"/>
      <c r="BZ257" s="109"/>
    </row>
    <row r="258" spans="1:78">
      <c r="A258" s="109"/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09"/>
      <c r="AK258" s="109"/>
      <c r="AL258" s="109"/>
      <c r="AM258" s="109"/>
      <c r="AN258" s="109"/>
      <c r="AO258" s="109"/>
      <c r="AP258" s="109"/>
      <c r="AQ258" s="109"/>
      <c r="AR258" s="109"/>
      <c r="AS258" s="109"/>
      <c r="AT258" s="109"/>
      <c r="AU258" s="109"/>
      <c r="AV258" s="109"/>
      <c r="AW258" s="109"/>
      <c r="AX258" s="109"/>
      <c r="AY258" s="109"/>
      <c r="AZ258" s="109"/>
      <c r="BA258" s="109"/>
      <c r="BB258" s="109"/>
      <c r="BC258" s="109"/>
      <c r="BD258" s="109"/>
      <c r="BE258" s="109"/>
      <c r="BF258" s="109"/>
      <c r="BG258" s="109"/>
      <c r="BH258" s="109"/>
      <c r="BI258" s="109"/>
      <c r="BJ258" s="109"/>
      <c r="BK258" s="109"/>
      <c r="BL258" s="109"/>
      <c r="BM258" s="109"/>
      <c r="BN258" s="109"/>
      <c r="BO258" s="109"/>
      <c r="BP258" s="109"/>
      <c r="BQ258" s="109"/>
      <c r="BR258" s="109"/>
      <c r="BS258" s="109"/>
      <c r="BT258" s="109"/>
      <c r="BU258" s="109"/>
      <c r="BV258" s="109"/>
      <c r="BW258" s="109"/>
      <c r="BX258" s="109"/>
      <c r="BY258" s="109"/>
      <c r="BZ258" s="109"/>
    </row>
    <row r="259" spans="1:78">
      <c r="A259" s="109"/>
      <c r="B259" s="109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9"/>
      <c r="AH259" s="109"/>
      <c r="AI259" s="109"/>
      <c r="AJ259" s="109"/>
      <c r="AK259" s="109"/>
      <c r="AL259" s="109"/>
      <c r="AM259" s="109"/>
      <c r="AN259" s="109"/>
      <c r="AO259" s="109"/>
      <c r="AP259" s="109"/>
      <c r="AQ259" s="109"/>
      <c r="AR259" s="109"/>
      <c r="AS259" s="109"/>
      <c r="AT259" s="109"/>
      <c r="AU259" s="109"/>
      <c r="AV259" s="109"/>
      <c r="AW259" s="109"/>
      <c r="AX259" s="109"/>
      <c r="AY259" s="109"/>
      <c r="AZ259" s="109"/>
      <c r="BA259" s="109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09"/>
      <c r="BQ259" s="109"/>
      <c r="BR259" s="109"/>
      <c r="BS259" s="109"/>
      <c r="BT259" s="109"/>
      <c r="BU259" s="109"/>
      <c r="BV259" s="109"/>
      <c r="BW259" s="109"/>
      <c r="BX259" s="109"/>
      <c r="BY259" s="109"/>
      <c r="BZ259" s="109"/>
    </row>
    <row r="260" spans="1:78">
      <c r="A260" s="109"/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09"/>
      <c r="AK260" s="109"/>
      <c r="AL260" s="109"/>
      <c r="AM260" s="109"/>
      <c r="AN260" s="109"/>
      <c r="AO260" s="109"/>
      <c r="AP260" s="109"/>
      <c r="AQ260" s="109"/>
      <c r="AR260" s="109"/>
      <c r="AS260" s="109"/>
      <c r="AT260" s="109"/>
      <c r="AU260" s="109"/>
      <c r="AV260" s="109"/>
      <c r="AW260" s="109"/>
      <c r="AX260" s="109"/>
      <c r="AY260" s="109"/>
      <c r="AZ260" s="109"/>
      <c r="BA260" s="109"/>
      <c r="BB260" s="109"/>
      <c r="BC260" s="109"/>
      <c r="BD260" s="109"/>
      <c r="BE260" s="109"/>
      <c r="BF260" s="109"/>
      <c r="BG260" s="109"/>
      <c r="BH260" s="109"/>
      <c r="BI260" s="109"/>
      <c r="BJ260" s="109"/>
      <c r="BK260" s="109"/>
      <c r="BL260" s="109"/>
      <c r="BM260" s="109"/>
      <c r="BN260" s="109"/>
      <c r="BO260" s="109"/>
      <c r="BP260" s="109"/>
      <c r="BQ260" s="109"/>
      <c r="BR260" s="109"/>
      <c r="BS260" s="109"/>
      <c r="BT260" s="109"/>
      <c r="BU260" s="109"/>
      <c r="BV260" s="109"/>
      <c r="BW260" s="109"/>
      <c r="BX260" s="109"/>
      <c r="BY260" s="109"/>
      <c r="BZ260" s="109"/>
    </row>
    <row r="261" spans="1:78">
      <c r="A261" s="109"/>
      <c r="B261" s="109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09"/>
      <c r="AK261" s="109"/>
      <c r="AL261" s="109"/>
      <c r="AM261" s="109"/>
      <c r="AN261" s="109"/>
      <c r="AO261" s="109"/>
      <c r="AP261" s="109"/>
      <c r="AQ261" s="109"/>
      <c r="AR261" s="109"/>
      <c r="AS261" s="109"/>
      <c r="AT261" s="109"/>
      <c r="AU261" s="109"/>
      <c r="AV261" s="109"/>
      <c r="AW261" s="109"/>
      <c r="AX261" s="109"/>
      <c r="AY261" s="109"/>
      <c r="AZ261" s="109"/>
      <c r="BA261" s="109"/>
      <c r="BB261" s="109"/>
      <c r="BC261" s="109"/>
      <c r="BD261" s="109"/>
      <c r="BE261" s="109"/>
      <c r="BF261" s="109"/>
      <c r="BG261" s="109"/>
      <c r="BH261" s="109"/>
      <c r="BI261" s="109"/>
      <c r="BJ261" s="109"/>
      <c r="BK261" s="109"/>
      <c r="BL261" s="109"/>
      <c r="BM261" s="109"/>
      <c r="BN261" s="109"/>
      <c r="BO261" s="109"/>
      <c r="BP261" s="109"/>
      <c r="BQ261" s="109"/>
      <c r="BR261" s="109"/>
      <c r="BS261" s="109"/>
      <c r="BT261" s="109"/>
      <c r="BU261" s="109"/>
      <c r="BV261" s="109"/>
      <c r="BW261" s="109"/>
      <c r="BX261" s="109"/>
      <c r="BY261" s="109"/>
      <c r="BZ261" s="109"/>
    </row>
    <row r="262" spans="1:78">
      <c r="A262" s="109"/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9"/>
      <c r="AH262" s="109"/>
      <c r="AI262" s="109"/>
      <c r="AJ262" s="109"/>
      <c r="AK262" s="109"/>
      <c r="AL262" s="109"/>
      <c r="AM262" s="109"/>
      <c r="AN262" s="109"/>
      <c r="AO262" s="109"/>
      <c r="AP262" s="109"/>
      <c r="AQ262" s="109"/>
      <c r="AR262" s="109"/>
      <c r="AS262" s="109"/>
      <c r="AT262" s="109"/>
      <c r="AU262" s="109"/>
      <c r="AV262" s="109"/>
      <c r="AW262" s="109"/>
      <c r="AX262" s="109"/>
      <c r="AY262" s="109"/>
      <c r="AZ262" s="109"/>
      <c r="BA262" s="109"/>
      <c r="BB262" s="109"/>
      <c r="BC262" s="109"/>
      <c r="BD262" s="109"/>
      <c r="BE262" s="109"/>
      <c r="BF262" s="109"/>
      <c r="BG262" s="109"/>
      <c r="BH262" s="109"/>
      <c r="BI262" s="109"/>
      <c r="BJ262" s="109"/>
      <c r="BK262" s="109"/>
      <c r="BL262" s="109"/>
      <c r="BM262" s="109"/>
      <c r="BN262" s="109"/>
      <c r="BO262" s="109"/>
      <c r="BP262" s="109"/>
      <c r="BQ262" s="109"/>
      <c r="BR262" s="109"/>
      <c r="BS262" s="109"/>
      <c r="BT262" s="109"/>
      <c r="BU262" s="109"/>
      <c r="BV262" s="109"/>
      <c r="BW262" s="109"/>
      <c r="BX262" s="109"/>
      <c r="BY262" s="109"/>
      <c r="BZ262" s="109"/>
    </row>
    <row r="263" spans="1:78">
      <c r="A263" s="109"/>
      <c r="B263" s="109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09"/>
      <c r="AK263" s="109"/>
      <c r="AL263" s="109"/>
      <c r="AM263" s="109"/>
      <c r="AN263" s="109"/>
      <c r="AO263" s="109"/>
      <c r="AP263" s="109"/>
      <c r="AQ263" s="109"/>
      <c r="AR263" s="109"/>
      <c r="AS263" s="109"/>
      <c r="AT263" s="109"/>
      <c r="AU263" s="109"/>
      <c r="AV263" s="109"/>
      <c r="AW263" s="109"/>
      <c r="AX263" s="109"/>
      <c r="AY263" s="109"/>
      <c r="AZ263" s="109"/>
      <c r="BA263" s="109"/>
      <c r="BB263" s="109"/>
      <c r="BC263" s="109"/>
      <c r="BD263" s="109"/>
      <c r="BE263" s="109"/>
      <c r="BF263" s="109"/>
      <c r="BG263" s="109"/>
      <c r="BH263" s="109"/>
      <c r="BI263" s="109"/>
      <c r="BJ263" s="109"/>
      <c r="BK263" s="109"/>
      <c r="BL263" s="109"/>
      <c r="BM263" s="109"/>
      <c r="BN263" s="109"/>
      <c r="BO263" s="109"/>
      <c r="BP263" s="109"/>
      <c r="BQ263" s="109"/>
      <c r="BR263" s="109"/>
      <c r="BS263" s="109"/>
      <c r="BT263" s="109"/>
      <c r="BU263" s="109"/>
      <c r="BV263" s="109"/>
      <c r="BW263" s="109"/>
      <c r="BX263" s="109"/>
      <c r="BY263" s="109"/>
      <c r="BZ263" s="109"/>
    </row>
    <row r="264" spans="1:78">
      <c r="A264" s="109"/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9"/>
      <c r="AH264" s="109"/>
      <c r="AI264" s="109"/>
      <c r="AJ264" s="109"/>
      <c r="AK264" s="109"/>
      <c r="AL264" s="109"/>
      <c r="AM264" s="109"/>
      <c r="AN264" s="109"/>
      <c r="AO264" s="109"/>
      <c r="AP264" s="109"/>
      <c r="AQ264" s="109"/>
      <c r="AR264" s="109"/>
      <c r="AS264" s="109"/>
      <c r="AT264" s="109"/>
      <c r="AU264" s="109"/>
      <c r="AV264" s="109"/>
      <c r="AW264" s="109"/>
      <c r="AX264" s="109"/>
      <c r="AY264" s="109"/>
      <c r="AZ264" s="109"/>
      <c r="BA264" s="109"/>
      <c r="BB264" s="109"/>
      <c r="BC264" s="109"/>
      <c r="BD264" s="109"/>
      <c r="BE264" s="109"/>
      <c r="BF264" s="109"/>
      <c r="BG264" s="109"/>
      <c r="BH264" s="109"/>
      <c r="BI264" s="109"/>
      <c r="BJ264" s="109"/>
      <c r="BK264" s="109"/>
      <c r="BL264" s="109"/>
      <c r="BM264" s="109"/>
      <c r="BN264" s="109"/>
      <c r="BO264" s="109"/>
      <c r="BP264" s="109"/>
      <c r="BQ264" s="109"/>
      <c r="BR264" s="109"/>
      <c r="BS264" s="109"/>
      <c r="BT264" s="109"/>
      <c r="BU264" s="109"/>
      <c r="BV264" s="109"/>
      <c r="BW264" s="109"/>
      <c r="BX264" s="109"/>
      <c r="BY264" s="109"/>
      <c r="BZ264" s="109"/>
    </row>
    <row r="265" spans="1:78">
      <c r="A265" s="109"/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9"/>
      <c r="AH265" s="109"/>
      <c r="AI265" s="109"/>
      <c r="AJ265" s="109"/>
      <c r="AK265" s="109"/>
      <c r="AL265" s="109"/>
      <c r="AM265" s="109"/>
      <c r="AN265" s="109"/>
      <c r="AO265" s="109"/>
      <c r="AP265" s="109"/>
      <c r="AQ265" s="109"/>
      <c r="AR265" s="109"/>
      <c r="AS265" s="109"/>
      <c r="AT265" s="109"/>
      <c r="AU265" s="109"/>
      <c r="AV265" s="109"/>
      <c r="AW265" s="109"/>
      <c r="AX265" s="109"/>
      <c r="AY265" s="109"/>
      <c r="AZ265" s="109"/>
      <c r="BA265" s="109"/>
      <c r="BB265" s="109"/>
      <c r="BC265" s="109"/>
      <c r="BD265" s="109"/>
      <c r="BE265" s="109"/>
      <c r="BF265" s="109"/>
      <c r="BG265" s="109"/>
      <c r="BH265" s="109"/>
      <c r="BI265" s="109"/>
      <c r="BJ265" s="109"/>
      <c r="BK265" s="109"/>
      <c r="BL265" s="109"/>
      <c r="BM265" s="109"/>
      <c r="BN265" s="109"/>
      <c r="BO265" s="109"/>
      <c r="BP265" s="109"/>
      <c r="BQ265" s="109"/>
      <c r="BR265" s="109"/>
      <c r="BS265" s="109"/>
      <c r="BT265" s="109"/>
      <c r="BU265" s="109"/>
      <c r="BV265" s="109"/>
      <c r="BW265" s="109"/>
      <c r="BX265" s="109"/>
      <c r="BY265" s="109"/>
      <c r="BZ265" s="109"/>
    </row>
    <row r="266" spans="1:78">
      <c r="A266" s="109"/>
      <c r="B266" s="109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9"/>
      <c r="AH266" s="109"/>
      <c r="AI266" s="109"/>
      <c r="AJ266" s="109"/>
      <c r="AK266" s="109"/>
      <c r="AL266" s="109"/>
      <c r="AM266" s="109"/>
      <c r="AN266" s="109"/>
      <c r="AO266" s="109"/>
      <c r="AP266" s="109"/>
      <c r="AQ266" s="109"/>
      <c r="AR266" s="109"/>
      <c r="AS266" s="109"/>
      <c r="AT266" s="109"/>
      <c r="AU266" s="109"/>
      <c r="AV266" s="109"/>
      <c r="AW266" s="109"/>
      <c r="AX266" s="109"/>
      <c r="AY266" s="109"/>
      <c r="AZ266" s="109"/>
      <c r="BA266" s="109"/>
      <c r="BB266" s="109"/>
      <c r="BC266" s="109"/>
      <c r="BD266" s="109"/>
      <c r="BE266" s="109"/>
      <c r="BF266" s="109"/>
      <c r="BG266" s="109"/>
      <c r="BH266" s="109"/>
      <c r="BI266" s="109"/>
      <c r="BJ266" s="109"/>
      <c r="BK266" s="109"/>
      <c r="BL266" s="109"/>
      <c r="BM266" s="109"/>
      <c r="BN266" s="109"/>
      <c r="BO266" s="109"/>
      <c r="BP266" s="109"/>
      <c r="BQ266" s="109"/>
      <c r="BR266" s="109"/>
      <c r="BS266" s="109"/>
      <c r="BT266" s="109"/>
      <c r="BU266" s="109"/>
      <c r="BV266" s="109"/>
      <c r="BW266" s="109"/>
      <c r="BX266" s="109"/>
      <c r="BY266" s="109"/>
      <c r="BZ266" s="109"/>
    </row>
    <row r="267" spans="1:78">
      <c r="A267" s="109"/>
      <c r="B267" s="109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9"/>
      <c r="AH267" s="109"/>
      <c r="AI267" s="109"/>
      <c r="AJ267" s="109"/>
      <c r="AK267" s="109"/>
      <c r="AL267" s="109"/>
      <c r="AM267" s="109"/>
      <c r="AN267" s="109"/>
      <c r="AO267" s="109"/>
      <c r="AP267" s="109"/>
      <c r="AQ267" s="109"/>
      <c r="AR267" s="109"/>
      <c r="AS267" s="109"/>
      <c r="AT267" s="109"/>
      <c r="AU267" s="109"/>
      <c r="AV267" s="109"/>
      <c r="AW267" s="109"/>
      <c r="AX267" s="109"/>
      <c r="AY267" s="109"/>
      <c r="AZ267" s="109"/>
      <c r="BA267" s="109"/>
      <c r="BB267" s="109"/>
      <c r="BC267" s="109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09"/>
      <c r="BO267" s="109"/>
      <c r="BP267" s="109"/>
      <c r="BQ267" s="109"/>
      <c r="BR267" s="109"/>
      <c r="BS267" s="109"/>
      <c r="BT267" s="109"/>
      <c r="BU267" s="109"/>
      <c r="BV267" s="109"/>
      <c r="BW267" s="109"/>
      <c r="BX267" s="109"/>
      <c r="BY267" s="109"/>
      <c r="BZ267" s="109"/>
    </row>
    <row r="268" spans="1:78">
      <c r="A268" s="109"/>
      <c r="B268" s="109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/>
      <c r="AL268" s="109"/>
      <c r="AM268" s="109"/>
      <c r="AN268" s="109"/>
      <c r="AO268" s="109"/>
      <c r="AP268" s="109"/>
      <c r="AQ268" s="109"/>
      <c r="AR268" s="109"/>
      <c r="AS268" s="109"/>
      <c r="AT268" s="109"/>
      <c r="AU268" s="109"/>
      <c r="AV268" s="109"/>
      <c r="AW268" s="109"/>
      <c r="AX268" s="109"/>
      <c r="AY268" s="109"/>
      <c r="AZ268" s="109"/>
      <c r="BA268" s="109"/>
      <c r="BB268" s="109"/>
      <c r="BC268" s="109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09"/>
      <c r="BO268" s="109"/>
      <c r="BP268" s="109"/>
      <c r="BQ268" s="109"/>
      <c r="BR268" s="109"/>
      <c r="BS268" s="109"/>
      <c r="BT268" s="109"/>
      <c r="BU268" s="109"/>
      <c r="BV268" s="109"/>
      <c r="BW268" s="109"/>
      <c r="BX268" s="109"/>
      <c r="BY268" s="109"/>
      <c r="BZ268" s="109"/>
    </row>
    <row r="269" spans="1:78">
      <c r="A269" s="109"/>
      <c r="B269" s="109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09"/>
      <c r="AK269" s="109"/>
      <c r="AL269" s="109"/>
      <c r="AM269" s="109"/>
      <c r="AN269" s="109"/>
      <c r="AO269" s="109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  <c r="BB269" s="109"/>
      <c r="BC269" s="109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09"/>
      <c r="BO269" s="109"/>
      <c r="BP269" s="109"/>
      <c r="BQ269" s="109"/>
      <c r="BR269" s="109"/>
      <c r="BS269" s="109"/>
      <c r="BT269" s="109"/>
      <c r="BU269" s="109"/>
      <c r="BV269" s="109"/>
      <c r="BW269" s="109"/>
      <c r="BX269" s="109"/>
      <c r="BY269" s="109"/>
      <c r="BZ269" s="109"/>
    </row>
    <row r="270" spans="1:78">
      <c r="A270" s="109"/>
      <c r="B270" s="109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9"/>
      <c r="AH270" s="109"/>
      <c r="AI270" s="109"/>
      <c r="AJ270" s="109"/>
      <c r="AK270" s="109"/>
      <c r="AL270" s="109"/>
      <c r="AM270" s="109"/>
      <c r="AN270" s="109"/>
      <c r="AO270" s="109"/>
      <c r="AP270" s="109"/>
      <c r="AQ270" s="109"/>
      <c r="AR270" s="109"/>
      <c r="AS270" s="109"/>
      <c r="AT270" s="109"/>
      <c r="AU270" s="109"/>
      <c r="AV270" s="109"/>
      <c r="AW270" s="109"/>
      <c r="AX270" s="109"/>
      <c r="AY270" s="109"/>
      <c r="AZ270" s="109"/>
      <c r="BA270" s="109"/>
      <c r="BB270" s="109"/>
      <c r="BC270" s="109"/>
      <c r="BD270" s="109"/>
      <c r="BE270" s="109"/>
      <c r="BF270" s="109"/>
      <c r="BG270" s="109"/>
      <c r="BH270" s="109"/>
      <c r="BI270" s="109"/>
      <c r="BJ270" s="109"/>
      <c r="BK270" s="109"/>
      <c r="BL270" s="109"/>
      <c r="BM270" s="109"/>
      <c r="BN270" s="109"/>
      <c r="BO270" s="109"/>
      <c r="BP270" s="109"/>
      <c r="BQ270" s="109"/>
      <c r="BR270" s="109"/>
      <c r="BS270" s="109"/>
      <c r="BT270" s="109"/>
      <c r="BU270" s="109"/>
      <c r="BV270" s="109"/>
      <c r="BW270" s="109"/>
      <c r="BX270" s="109"/>
      <c r="BY270" s="109"/>
      <c r="BZ270" s="109"/>
    </row>
    <row r="271" spans="1:78">
      <c r="A271" s="109"/>
      <c r="B271" s="109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9"/>
      <c r="AH271" s="109"/>
      <c r="AI271" s="109"/>
      <c r="AJ271" s="109"/>
      <c r="AK271" s="109"/>
      <c r="AL271" s="109"/>
      <c r="AM271" s="109"/>
      <c r="AN271" s="109"/>
      <c r="AO271" s="109"/>
      <c r="AP271" s="109"/>
      <c r="AQ271" s="109"/>
      <c r="AR271" s="109"/>
      <c r="AS271" s="109"/>
      <c r="AT271" s="109"/>
      <c r="AU271" s="109"/>
      <c r="AV271" s="109"/>
      <c r="AW271" s="109"/>
      <c r="AX271" s="109"/>
      <c r="AY271" s="109"/>
      <c r="AZ271" s="109"/>
      <c r="BA271" s="109"/>
      <c r="BB271" s="109"/>
      <c r="BC271" s="109"/>
      <c r="BD271" s="109"/>
      <c r="BE271" s="109"/>
      <c r="BF271" s="109"/>
      <c r="BG271" s="109"/>
      <c r="BH271" s="109"/>
      <c r="BI271" s="109"/>
      <c r="BJ271" s="109"/>
      <c r="BK271" s="109"/>
      <c r="BL271" s="109"/>
      <c r="BM271" s="109"/>
      <c r="BN271" s="109"/>
      <c r="BO271" s="109"/>
      <c r="BP271" s="109"/>
      <c r="BQ271" s="109"/>
      <c r="BR271" s="109"/>
      <c r="BS271" s="109"/>
      <c r="BT271" s="109"/>
      <c r="BU271" s="109"/>
      <c r="BV271" s="109"/>
      <c r="BW271" s="109"/>
      <c r="BX271" s="109"/>
      <c r="BY271" s="109"/>
      <c r="BZ271" s="109"/>
    </row>
    <row r="272" spans="1:78">
      <c r="A272" s="109"/>
      <c r="B272" s="109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9"/>
      <c r="AH272" s="109"/>
      <c r="AI272" s="109"/>
      <c r="AJ272" s="109"/>
      <c r="AK272" s="109"/>
      <c r="AL272" s="109"/>
      <c r="AM272" s="109"/>
      <c r="AN272" s="109"/>
      <c r="AO272" s="109"/>
      <c r="AP272" s="109"/>
      <c r="AQ272" s="109"/>
      <c r="AR272" s="109"/>
      <c r="AS272" s="109"/>
      <c r="AT272" s="109"/>
      <c r="AU272" s="109"/>
      <c r="AV272" s="109"/>
      <c r="AW272" s="109"/>
      <c r="AX272" s="109"/>
      <c r="AY272" s="109"/>
      <c r="AZ272" s="109"/>
      <c r="BA272" s="109"/>
      <c r="BB272" s="109"/>
      <c r="BC272" s="109"/>
      <c r="BD272" s="109"/>
      <c r="BE272" s="109"/>
      <c r="BF272" s="109"/>
      <c r="BG272" s="109"/>
      <c r="BH272" s="109"/>
      <c r="BI272" s="109"/>
      <c r="BJ272" s="109"/>
      <c r="BK272" s="109"/>
      <c r="BL272" s="109"/>
      <c r="BM272" s="109"/>
      <c r="BN272" s="109"/>
      <c r="BO272" s="109"/>
      <c r="BP272" s="109"/>
      <c r="BQ272" s="109"/>
      <c r="BR272" s="109"/>
      <c r="BS272" s="109"/>
      <c r="BT272" s="109"/>
      <c r="BU272" s="109"/>
      <c r="BV272" s="109"/>
      <c r="BW272" s="109"/>
      <c r="BX272" s="109"/>
      <c r="BY272" s="109"/>
      <c r="BZ272" s="109"/>
    </row>
    <row r="273" spans="1:78">
      <c r="A273" s="109"/>
      <c r="B273" s="109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  <c r="AH273" s="109"/>
      <c r="AI273" s="109"/>
      <c r="AJ273" s="109"/>
      <c r="AK273" s="109"/>
      <c r="AL273" s="109"/>
      <c r="AM273" s="109"/>
      <c r="AN273" s="109"/>
      <c r="AO273" s="109"/>
      <c r="AP273" s="109"/>
      <c r="AQ273" s="109"/>
      <c r="AR273" s="109"/>
      <c r="AS273" s="109"/>
      <c r="AT273" s="109"/>
      <c r="AU273" s="109"/>
      <c r="AV273" s="109"/>
      <c r="AW273" s="109"/>
      <c r="AX273" s="109"/>
      <c r="AY273" s="109"/>
      <c r="AZ273" s="109"/>
      <c r="BA273" s="109"/>
      <c r="BB273" s="109"/>
      <c r="BC273" s="109"/>
      <c r="BD273" s="109"/>
      <c r="BE273" s="109"/>
      <c r="BF273" s="109"/>
      <c r="BG273" s="109"/>
      <c r="BH273" s="109"/>
      <c r="BI273" s="109"/>
      <c r="BJ273" s="109"/>
      <c r="BK273" s="109"/>
      <c r="BL273" s="109"/>
      <c r="BM273" s="109"/>
      <c r="BN273" s="109"/>
      <c r="BO273" s="109"/>
      <c r="BP273" s="109"/>
      <c r="BQ273" s="109"/>
      <c r="BR273" s="109"/>
      <c r="BS273" s="109"/>
      <c r="BT273" s="109"/>
      <c r="BU273" s="109"/>
      <c r="BV273" s="109"/>
      <c r="BW273" s="109"/>
      <c r="BX273" s="109"/>
      <c r="BY273" s="109"/>
      <c r="BZ273" s="109"/>
    </row>
    <row r="274" spans="1:78">
      <c r="A274" s="109"/>
      <c r="B274" s="109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Q274" s="109"/>
      <c r="AR274" s="109"/>
      <c r="AS274" s="109"/>
      <c r="AT274" s="109"/>
      <c r="AU274" s="109"/>
      <c r="AV274" s="109"/>
      <c r="AW274" s="109"/>
      <c r="AX274" s="109"/>
      <c r="AY274" s="109"/>
      <c r="AZ274" s="109"/>
      <c r="BA274" s="109"/>
      <c r="BB274" s="109"/>
      <c r="BC274" s="109"/>
      <c r="BD274" s="109"/>
      <c r="BE274" s="109"/>
      <c r="BF274" s="109"/>
      <c r="BG274" s="109"/>
      <c r="BH274" s="109"/>
      <c r="BI274" s="109"/>
      <c r="BJ274" s="109"/>
      <c r="BK274" s="109"/>
      <c r="BL274" s="109"/>
      <c r="BM274" s="109"/>
      <c r="BN274" s="109"/>
      <c r="BO274" s="109"/>
      <c r="BP274" s="109"/>
      <c r="BQ274" s="109"/>
      <c r="BR274" s="109"/>
      <c r="BS274" s="109"/>
      <c r="BT274" s="109"/>
      <c r="BU274" s="109"/>
      <c r="BV274" s="109"/>
      <c r="BW274" s="109"/>
      <c r="BX274" s="109"/>
      <c r="BY274" s="109"/>
      <c r="BZ274" s="109"/>
    </row>
    <row r="275" spans="1:78">
      <c r="A275" s="109"/>
      <c r="B275" s="109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109"/>
      <c r="Z275" s="109"/>
      <c r="AA275" s="109"/>
      <c r="AB275" s="109"/>
      <c r="AC275" s="109"/>
      <c r="AD275" s="109"/>
      <c r="AE275" s="109"/>
      <c r="AF275" s="109"/>
      <c r="AG275" s="109"/>
      <c r="AH275" s="109"/>
      <c r="AI275" s="109"/>
      <c r="AJ275" s="109"/>
      <c r="AK275" s="109"/>
      <c r="AL275" s="109"/>
      <c r="AM275" s="109"/>
      <c r="AN275" s="109"/>
      <c r="AO275" s="109"/>
      <c r="AP275" s="109"/>
      <c r="AQ275" s="109"/>
      <c r="AR275" s="109"/>
      <c r="AS275" s="109"/>
      <c r="AT275" s="109"/>
      <c r="AU275" s="109"/>
      <c r="AV275" s="109"/>
      <c r="AW275" s="109"/>
      <c r="AX275" s="109"/>
      <c r="AY275" s="109"/>
      <c r="AZ275" s="109"/>
      <c r="BA275" s="109"/>
      <c r="BB275" s="109"/>
      <c r="BC275" s="109"/>
      <c r="BD275" s="109"/>
      <c r="BE275" s="109"/>
      <c r="BF275" s="109"/>
      <c r="BG275" s="109"/>
      <c r="BH275" s="109"/>
      <c r="BI275" s="109"/>
      <c r="BJ275" s="109"/>
      <c r="BK275" s="109"/>
      <c r="BL275" s="109"/>
      <c r="BM275" s="109"/>
      <c r="BN275" s="109"/>
      <c r="BO275" s="109"/>
      <c r="BP275" s="109"/>
      <c r="BQ275" s="109"/>
      <c r="BR275" s="109"/>
      <c r="BS275" s="109"/>
      <c r="BT275" s="109"/>
      <c r="BU275" s="109"/>
      <c r="BV275" s="109"/>
      <c r="BW275" s="109"/>
      <c r="BX275" s="109"/>
      <c r="BY275" s="109"/>
      <c r="BZ275" s="109"/>
    </row>
    <row r="276" spans="1:78">
      <c r="A276" s="109"/>
      <c r="B276" s="109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  <c r="Z276" s="109"/>
      <c r="AA276" s="109"/>
      <c r="AB276" s="109"/>
      <c r="AC276" s="109"/>
      <c r="AD276" s="109"/>
      <c r="AE276" s="109"/>
      <c r="AF276" s="109"/>
      <c r="AG276" s="109"/>
      <c r="AH276" s="109"/>
      <c r="AI276" s="109"/>
      <c r="AJ276" s="109"/>
      <c r="AK276" s="109"/>
      <c r="AL276" s="109"/>
      <c r="AM276" s="109"/>
      <c r="AN276" s="109"/>
      <c r="AO276" s="109"/>
      <c r="AP276" s="109"/>
      <c r="AQ276" s="109"/>
      <c r="AR276" s="109"/>
      <c r="AS276" s="109"/>
      <c r="AT276" s="109"/>
      <c r="AU276" s="109"/>
      <c r="AV276" s="109"/>
      <c r="AW276" s="109"/>
      <c r="AX276" s="109"/>
      <c r="AY276" s="109"/>
      <c r="AZ276" s="109"/>
      <c r="BA276" s="109"/>
      <c r="BB276" s="109"/>
      <c r="BC276" s="109"/>
      <c r="BD276" s="109"/>
      <c r="BE276" s="109"/>
      <c r="BF276" s="109"/>
      <c r="BG276" s="109"/>
      <c r="BH276" s="109"/>
      <c r="BI276" s="109"/>
      <c r="BJ276" s="109"/>
      <c r="BK276" s="109"/>
      <c r="BL276" s="109"/>
      <c r="BM276" s="109"/>
      <c r="BN276" s="109"/>
      <c r="BO276" s="109"/>
      <c r="BP276" s="109"/>
      <c r="BQ276" s="109"/>
      <c r="BR276" s="109"/>
      <c r="BS276" s="109"/>
      <c r="BT276" s="109"/>
      <c r="BU276" s="109"/>
      <c r="BV276" s="109"/>
      <c r="BW276" s="109"/>
      <c r="BX276" s="109"/>
      <c r="BY276" s="109"/>
      <c r="BZ276" s="109"/>
    </row>
    <row r="277" spans="1:78">
      <c r="A277" s="109"/>
      <c r="B277" s="109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09"/>
      <c r="AK277" s="109"/>
      <c r="AL277" s="109"/>
      <c r="AM277" s="109"/>
      <c r="AN277" s="109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  <c r="BA277" s="109"/>
      <c r="BB277" s="109"/>
      <c r="BC277" s="109"/>
      <c r="BD277" s="109"/>
      <c r="BE277" s="109"/>
      <c r="BF277" s="109"/>
      <c r="BG277" s="109"/>
      <c r="BH277" s="109"/>
      <c r="BI277" s="109"/>
      <c r="BJ277" s="109"/>
      <c r="BK277" s="109"/>
      <c r="BL277" s="109"/>
      <c r="BM277" s="109"/>
      <c r="BN277" s="109"/>
      <c r="BO277" s="109"/>
      <c r="BP277" s="109"/>
      <c r="BQ277" s="109"/>
      <c r="BR277" s="109"/>
      <c r="BS277" s="109"/>
      <c r="BT277" s="109"/>
      <c r="BU277" s="109"/>
      <c r="BV277" s="109"/>
      <c r="BW277" s="109"/>
      <c r="BX277" s="109"/>
      <c r="BY277" s="109"/>
      <c r="BZ277" s="109"/>
    </row>
    <row r="278" spans="1:78">
      <c r="A278" s="109"/>
      <c r="B278" s="109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H278" s="109"/>
      <c r="AI278" s="109"/>
      <c r="AJ278" s="109"/>
      <c r="AK278" s="109"/>
      <c r="AL278" s="109"/>
      <c r="AM278" s="109"/>
      <c r="AN278" s="109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09"/>
      <c r="BD278" s="109"/>
      <c r="BE278" s="109"/>
      <c r="BF278" s="109"/>
      <c r="BG278" s="109"/>
      <c r="BH278" s="109"/>
      <c r="BI278" s="109"/>
      <c r="BJ278" s="109"/>
      <c r="BK278" s="109"/>
      <c r="BL278" s="109"/>
      <c r="BM278" s="109"/>
      <c r="BN278" s="109"/>
      <c r="BO278" s="109"/>
      <c r="BP278" s="109"/>
      <c r="BQ278" s="109"/>
      <c r="BR278" s="109"/>
      <c r="BS278" s="109"/>
      <c r="BT278" s="109"/>
      <c r="BU278" s="109"/>
      <c r="BV278" s="109"/>
      <c r="BW278" s="109"/>
      <c r="BX278" s="109"/>
      <c r="BY278" s="109"/>
      <c r="BZ278" s="109"/>
    </row>
    <row r="279" spans="1:78">
      <c r="A279" s="109"/>
      <c r="B279" s="109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  <c r="Y279" s="109"/>
      <c r="Z279" s="109"/>
      <c r="AA279" s="109"/>
      <c r="AB279" s="109"/>
      <c r="AC279" s="109"/>
      <c r="AD279" s="109"/>
      <c r="AE279" s="109"/>
      <c r="AF279" s="109"/>
      <c r="AG279" s="109"/>
      <c r="AH279" s="109"/>
      <c r="AI279" s="109"/>
      <c r="AJ279" s="109"/>
      <c r="AK279" s="109"/>
      <c r="AL279" s="109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09"/>
      <c r="BD279" s="109"/>
      <c r="BE279" s="109"/>
      <c r="BF279" s="109"/>
      <c r="BG279" s="109"/>
      <c r="BH279" s="109"/>
      <c r="BI279" s="109"/>
      <c r="BJ279" s="109"/>
      <c r="BK279" s="109"/>
      <c r="BL279" s="109"/>
      <c r="BM279" s="109"/>
      <c r="BN279" s="109"/>
      <c r="BO279" s="109"/>
      <c r="BP279" s="109"/>
      <c r="BQ279" s="109"/>
      <c r="BR279" s="109"/>
      <c r="BS279" s="109"/>
      <c r="BT279" s="109"/>
      <c r="BU279" s="109"/>
      <c r="BV279" s="109"/>
      <c r="BW279" s="109"/>
      <c r="BX279" s="109"/>
      <c r="BY279" s="109"/>
      <c r="BZ279" s="109"/>
    </row>
    <row r="280" spans="1:78">
      <c r="A280" s="109"/>
      <c r="B280" s="109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  <c r="Y280" s="109"/>
      <c r="Z280" s="109"/>
      <c r="AA280" s="109"/>
      <c r="AB280" s="109"/>
      <c r="AC280" s="109"/>
      <c r="AD280" s="109"/>
      <c r="AE280" s="109"/>
      <c r="AF280" s="109"/>
      <c r="AG280" s="109"/>
      <c r="AH280" s="109"/>
      <c r="AI280" s="109"/>
      <c r="AJ280" s="109"/>
      <c r="AK280" s="109"/>
      <c r="AL280" s="109"/>
      <c r="AM280" s="109"/>
      <c r="AN280" s="109"/>
      <c r="AO280" s="109"/>
      <c r="AP280" s="109"/>
      <c r="AQ280" s="109"/>
      <c r="AR280" s="109"/>
      <c r="AS280" s="109"/>
      <c r="AT280" s="109"/>
      <c r="AU280" s="109"/>
      <c r="AV280" s="109"/>
      <c r="AW280" s="109"/>
      <c r="AX280" s="109"/>
      <c r="AY280" s="109"/>
      <c r="AZ280" s="109"/>
      <c r="BA280" s="109"/>
      <c r="BB280" s="109"/>
      <c r="BC280" s="109"/>
      <c r="BD280" s="109"/>
      <c r="BE280" s="109"/>
      <c r="BF280" s="109"/>
      <c r="BG280" s="109"/>
      <c r="BH280" s="109"/>
      <c r="BI280" s="109"/>
      <c r="BJ280" s="109"/>
      <c r="BK280" s="109"/>
      <c r="BL280" s="109"/>
      <c r="BM280" s="109"/>
      <c r="BN280" s="109"/>
      <c r="BO280" s="109"/>
      <c r="BP280" s="109"/>
      <c r="BQ280" s="109"/>
      <c r="BR280" s="109"/>
      <c r="BS280" s="109"/>
      <c r="BT280" s="109"/>
      <c r="BU280" s="109"/>
      <c r="BV280" s="109"/>
      <c r="BW280" s="109"/>
      <c r="BX280" s="109"/>
      <c r="BY280" s="109"/>
      <c r="BZ280" s="109"/>
    </row>
    <row r="281" spans="1:78">
      <c r="A281" s="109"/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  <c r="Y281" s="109"/>
      <c r="Z281" s="109"/>
      <c r="AA281" s="109"/>
      <c r="AB281" s="109"/>
      <c r="AC281" s="109"/>
      <c r="AD281" s="109"/>
      <c r="AE281" s="109"/>
      <c r="AF281" s="109"/>
      <c r="AG281" s="109"/>
      <c r="AH281" s="109"/>
      <c r="AI281" s="109"/>
      <c r="AJ281" s="109"/>
      <c r="AK281" s="109"/>
      <c r="AL281" s="109"/>
      <c r="AM281" s="109"/>
      <c r="AN281" s="109"/>
      <c r="AO281" s="109"/>
      <c r="AP281" s="109"/>
      <c r="AQ281" s="109"/>
      <c r="AR281" s="109"/>
      <c r="AS281" s="109"/>
      <c r="AT281" s="109"/>
      <c r="AU281" s="109"/>
      <c r="AV281" s="109"/>
      <c r="AW281" s="109"/>
      <c r="AX281" s="109"/>
      <c r="AY281" s="109"/>
      <c r="AZ281" s="109"/>
      <c r="BA281" s="109"/>
      <c r="BB281" s="109"/>
      <c r="BC281" s="109"/>
      <c r="BD281" s="109"/>
      <c r="BE281" s="109"/>
      <c r="BF281" s="109"/>
      <c r="BG281" s="109"/>
      <c r="BH281" s="109"/>
      <c r="BI281" s="109"/>
      <c r="BJ281" s="109"/>
      <c r="BK281" s="109"/>
      <c r="BL281" s="109"/>
      <c r="BM281" s="109"/>
      <c r="BN281" s="109"/>
      <c r="BO281" s="109"/>
      <c r="BP281" s="109"/>
      <c r="BQ281" s="109"/>
      <c r="BR281" s="109"/>
      <c r="BS281" s="109"/>
      <c r="BT281" s="109"/>
      <c r="BU281" s="109"/>
      <c r="BV281" s="109"/>
      <c r="BW281" s="109"/>
      <c r="BX281" s="109"/>
      <c r="BY281" s="109"/>
      <c r="BZ281" s="109"/>
    </row>
    <row r="282" spans="1:78">
      <c r="A282" s="109"/>
      <c r="B282" s="109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09"/>
      <c r="X282" s="109"/>
      <c r="Y282" s="109"/>
      <c r="Z282" s="109"/>
      <c r="AA282" s="109"/>
      <c r="AB282" s="109"/>
      <c r="AC282" s="109"/>
      <c r="AD282" s="109"/>
      <c r="AE282" s="109"/>
      <c r="AF282" s="109"/>
      <c r="AG282" s="109"/>
      <c r="AH282" s="109"/>
      <c r="AI282" s="109"/>
      <c r="AJ282" s="109"/>
      <c r="AK282" s="109"/>
      <c r="AL282" s="109"/>
      <c r="AM282" s="109"/>
      <c r="AN282" s="109"/>
      <c r="AO282" s="109"/>
      <c r="AP282" s="109"/>
      <c r="AQ282" s="109"/>
      <c r="AR282" s="109"/>
      <c r="AS282" s="109"/>
      <c r="AT282" s="109"/>
      <c r="AU282" s="109"/>
      <c r="AV282" s="109"/>
      <c r="AW282" s="109"/>
      <c r="AX282" s="109"/>
      <c r="AY282" s="109"/>
      <c r="AZ282" s="109"/>
      <c r="BA282" s="109"/>
      <c r="BB282" s="109"/>
      <c r="BC282" s="109"/>
      <c r="BD282" s="109"/>
      <c r="BE282" s="109"/>
      <c r="BF282" s="109"/>
      <c r="BG282" s="109"/>
      <c r="BH282" s="109"/>
      <c r="BI282" s="109"/>
      <c r="BJ282" s="109"/>
      <c r="BK282" s="109"/>
      <c r="BL282" s="109"/>
      <c r="BM282" s="109"/>
      <c r="BN282" s="109"/>
      <c r="BO282" s="109"/>
      <c r="BP282" s="109"/>
      <c r="BQ282" s="109"/>
      <c r="BR282" s="109"/>
      <c r="BS282" s="109"/>
      <c r="BT282" s="109"/>
      <c r="BU282" s="109"/>
      <c r="BV282" s="109"/>
      <c r="BW282" s="109"/>
      <c r="BX282" s="109"/>
      <c r="BY282" s="109"/>
      <c r="BZ282" s="109"/>
    </row>
    <row r="283" spans="1:78">
      <c r="A283" s="109"/>
      <c r="B283" s="109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  <c r="X283" s="109"/>
      <c r="Y283" s="109"/>
      <c r="Z283" s="109"/>
      <c r="AA283" s="109"/>
      <c r="AB283" s="109"/>
      <c r="AC283" s="109"/>
      <c r="AD283" s="109"/>
      <c r="AE283" s="109"/>
      <c r="AF283" s="109"/>
      <c r="AG283" s="109"/>
      <c r="AH283" s="109"/>
      <c r="AI283" s="109"/>
      <c r="AJ283" s="109"/>
      <c r="AK283" s="109"/>
      <c r="AL283" s="109"/>
      <c r="AM283" s="109"/>
      <c r="AN283" s="109"/>
      <c r="AO283" s="109"/>
      <c r="AP283" s="109"/>
      <c r="AQ283" s="109"/>
      <c r="AR283" s="109"/>
      <c r="AS283" s="109"/>
      <c r="AT283" s="109"/>
      <c r="AU283" s="109"/>
      <c r="AV283" s="109"/>
      <c r="AW283" s="109"/>
      <c r="AX283" s="109"/>
      <c r="AY283" s="109"/>
      <c r="AZ283" s="109"/>
      <c r="BA283" s="109"/>
      <c r="BB283" s="109"/>
      <c r="BC283" s="109"/>
      <c r="BD283" s="109"/>
      <c r="BE283" s="109"/>
      <c r="BF283" s="109"/>
      <c r="BG283" s="109"/>
      <c r="BH283" s="109"/>
      <c r="BI283" s="109"/>
      <c r="BJ283" s="109"/>
      <c r="BK283" s="109"/>
      <c r="BL283" s="109"/>
      <c r="BM283" s="109"/>
      <c r="BN283" s="109"/>
      <c r="BO283" s="109"/>
      <c r="BP283" s="109"/>
      <c r="BQ283" s="109"/>
      <c r="BR283" s="109"/>
      <c r="BS283" s="109"/>
      <c r="BT283" s="109"/>
      <c r="BU283" s="109"/>
      <c r="BV283" s="109"/>
      <c r="BW283" s="109"/>
      <c r="BX283" s="109"/>
      <c r="BY283" s="109"/>
      <c r="BZ283" s="109"/>
    </row>
    <row r="284" spans="1:78">
      <c r="A284" s="109"/>
      <c r="B284" s="109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  <c r="X284" s="109"/>
      <c r="Y284" s="109"/>
      <c r="Z284" s="109"/>
      <c r="AA284" s="109"/>
      <c r="AB284" s="109"/>
      <c r="AC284" s="109"/>
      <c r="AD284" s="109"/>
      <c r="AE284" s="109"/>
      <c r="AF284" s="109"/>
      <c r="AG284" s="109"/>
      <c r="AH284" s="109"/>
      <c r="AI284" s="109"/>
      <c r="AJ284" s="109"/>
      <c r="AK284" s="109"/>
      <c r="AL284" s="109"/>
      <c r="AM284" s="109"/>
      <c r="AN284" s="109"/>
      <c r="AO284" s="109"/>
      <c r="AP284" s="109"/>
      <c r="AQ284" s="109"/>
      <c r="AR284" s="109"/>
      <c r="AS284" s="109"/>
      <c r="AT284" s="109"/>
      <c r="AU284" s="109"/>
      <c r="AV284" s="109"/>
      <c r="AW284" s="109"/>
      <c r="AX284" s="109"/>
      <c r="AY284" s="109"/>
      <c r="AZ284" s="109"/>
      <c r="BA284" s="109"/>
      <c r="BB284" s="109"/>
      <c r="BC284" s="109"/>
      <c r="BD284" s="109"/>
      <c r="BE284" s="109"/>
      <c r="BF284" s="109"/>
      <c r="BG284" s="109"/>
      <c r="BH284" s="109"/>
      <c r="BI284" s="109"/>
      <c r="BJ284" s="109"/>
      <c r="BK284" s="109"/>
      <c r="BL284" s="109"/>
      <c r="BM284" s="109"/>
      <c r="BN284" s="109"/>
      <c r="BO284" s="109"/>
      <c r="BP284" s="109"/>
      <c r="BQ284" s="109"/>
      <c r="BR284" s="109"/>
      <c r="BS284" s="109"/>
      <c r="BT284" s="109"/>
      <c r="BU284" s="109"/>
      <c r="BV284" s="109"/>
      <c r="BW284" s="109"/>
      <c r="BX284" s="109"/>
      <c r="BY284" s="109"/>
      <c r="BZ284" s="109"/>
    </row>
    <row r="285" spans="1:78">
      <c r="A285" s="109"/>
      <c r="B285" s="109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109"/>
      <c r="Z285" s="109"/>
      <c r="AA285" s="109"/>
      <c r="AB285" s="109"/>
      <c r="AC285" s="109"/>
      <c r="AD285" s="109"/>
      <c r="AE285" s="109"/>
      <c r="AF285" s="109"/>
      <c r="AG285" s="109"/>
      <c r="AH285" s="109"/>
      <c r="AI285" s="109"/>
      <c r="AJ285" s="109"/>
      <c r="AK285" s="109"/>
      <c r="AL285" s="109"/>
      <c r="AM285" s="109"/>
      <c r="AN285" s="109"/>
      <c r="AO285" s="109"/>
      <c r="AP285" s="109"/>
      <c r="AQ285" s="109"/>
      <c r="AR285" s="109"/>
      <c r="AS285" s="109"/>
      <c r="AT285" s="109"/>
      <c r="AU285" s="109"/>
      <c r="AV285" s="109"/>
      <c r="AW285" s="109"/>
      <c r="AX285" s="109"/>
      <c r="AY285" s="109"/>
      <c r="AZ285" s="109"/>
      <c r="BA285" s="109"/>
      <c r="BB285" s="109"/>
      <c r="BC285" s="109"/>
      <c r="BD285" s="109"/>
      <c r="BE285" s="109"/>
      <c r="BF285" s="109"/>
      <c r="BG285" s="109"/>
      <c r="BH285" s="109"/>
      <c r="BI285" s="109"/>
      <c r="BJ285" s="109"/>
      <c r="BK285" s="109"/>
      <c r="BL285" s="109"/>
      <c r="BM285" s="109"/>
      <c r="BN285" s="109"/>
      <c r="BO285" s="109"/>
      <c r="BP285" s="109"/>
      <c r="BQ285" s="109"/>
      <c r="BR285" s="109"/>
      <c r="BS285" s="109"/>
      <c r="BT285" s="109"/>
      <c r="BU285" s="109"/>
      <c r="BV285" s="109"/>
      <c r="BW285" s="109"/>
      <c r="BX285" s="109"/>
      <c r="BY285" s="109"/>
      <c r="BZ285" s="109"/>
    </row>
    <row r="286" spans="1:78">
      <c r="A286" s="109"/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  <c r="Z286" s="109"/>
      <c r="AA286" s="109"/>
      <c r="AB286" s="109"/>
      <c r="AC286" s="109"/>
      <c r="AD286" s="109"/>
      <c r="AE286" s="109"/>
      <c r="AF286" s="109"/>
      <c r="AG286" s="109"/>
      <c r="AH286" s="109"/>
      <c r="AI286" s="109"/>
      <c r="AJ286" s="109"/>
      <c r="AK286" s="109"/>
      <c r="AL286" s="109"/>
      <c r="AM286" s="109"/>
      <c r="AN286" s="109"/>
      <c r="AO286" s="109"/>
      <c r="AP286" s="109"/>
      <c r="AQ286" s="109"/>
      <c r="AR286" s="109"/>
      <c r="AS286" s="109"/>
      <c r="AT286" s="109"/>
      <c r="AU286" s="109"/>
      <c r="AV286" s="109"/>
      <c r="AW286" s="109"/>
      <c r="AX286" s="109"/>
      <c r="AY286" s="109"/>
      <c r="AZ286" s="109"/>
      <c r="BA286" s="109"/>
      <c r="BB286" s="109"/>
      <c r="BC286" s="109"/>
      <c r="BD286" s="109"/>
      <c r="BE286" s="109"/>
      <c r="BF286" s="109"/>
      <c r="BG286" s="109"/>
      <c r="BH286" s="109"/>
      <c r="BI286" s="109"/>
      <c r="BJ286" s="109"/>
      <c r="BK286" s="109"/>
      <c r="BL286" s="109"/>
      <c r="BM286" s="109"/>
      <c r="BN286" s="109"/>
      <c r="BO286" s="109"/>
      <c r="BP286" s="109"/>
      <c r="BQ286" s="109"/>
      <c r="BR286" s="109"/>
      <c r="BS286" s="109"/>
      <c r="BT286" s="109"/>
      <c r="BU286" s="109"/>
      <c r="BV286" s="109"/>
      <c r="BW286" s="109"/>
      <c r="BX286" s="109"/>
      <c r="BY286" s="109"/>
      <c r="BZ286" s="109"/>
    </row>
    <row r="287" spans="1:78">
      <c r="A287" s="109"/>
      <c r="B287" s="109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109"/>
      <c r="Z287" s="109"/>
      <c r="AA287" s="109"/>
      <c r="AB287" s="109"/>
      <c r="AC287" s="109"/>
      <c r="AD287" s="109"/>
      <c r="AE287" s="109"/>
      <c r="AF287" s="109"/>
      <c r="AG287" s="109"/>
      <c r="AH287" s="109"/>
      <c r="AI287" s="109"/>
      <c r="AJ287" s="109"/>
      <c r="AK287" s="109"/>
      <c r="AL287" s="109"/>
      <c r="AM287" s="109"/>
      <c r="AN287" s="109"/>
      <c r="AO287" s="109"/>
      <c r="AP287" s="109"/>
      <c r="AQ287" s="109"/>
      <c r="AR287" s="109"/>
      <c r="AS287" s="109"/>
      <c r="AT287" s="109"/>
      <c r="AU287" s="109"/>
      <c r="AV287" s="109"/>
      <c r="AW287" s="109"/>
      <c r="AX287" s="109"/>
      <c r="AY287" s="109"/>
      <c r="AZ287" s="109"/>
      <c r="BA287" s="109"/>
      <c r="BB287" s="109"/>
      <c r="BC287" s="109"/>
      <c r="BD287" s="109"/>
      <c r="BE287" s="109"/>
      <c r="BF287" s="109"/>
      <c r="BG287" s="109"/>
      <c r="BH287" s="109"/>
      <c r="BI287" s="109"/>
      <c r="BJ287" s="109"/>
      <c r="BK287" s="109"/>
      <c r="BL287" s="109"/>
      <c r="BM287" s="109"/>
      <c r="BN287" s="109"/>
      <c r="BO287" s="109"/>
      <c r="BP287" s="109"/>
      <c r="BQ287" s="109"/>
      <c r="BR287" s="109"/>
      <c r="BS287" s="109"/>
      <c r="BT287" s="109"/>
      <c r="BU287" s="109"/>
      <c r="BV287" s="109"/>
      <c r="BW287" s="109"/>
      <c r="BX287" s="109"/>
      <c r="BY287" s="109"/>
      <c r="BZ287" s="109"/>
    </row>
    <row r="288" spans="1:78">
      <c r="A288" s="109"/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  <c r="Z288" s="109"/>
      <c r="AA288" s="109"/>
      <c r="AB288" s="109"/>
      <c r="AC288" s="109"/>
      <c r="AD288" s="109"/>
      <c r="AE288" s="109"/>
      <c r="AF288" s="109"/>
      <c r="AG288" s="109"/>
      <c r="AH288" s="109"/>
      <c r="AI288" s="109"/>
      <c r="AJ288" s="109"/>
      <c r="AK288" s="109"/>
      <c r="AL288" s="109"/>
      <c r="AM288" s="109"/>
      <c r="AN288" s="109"/>
      <c r="AO288" s="109"/>
      <c r="AP288" s="109"/>
      <c r="AQ288" s="109"/>
      <c r="AR288" s="109"/>
      <c r="AS288" s="109"/>
      <c r="AT288" s="109"/>
      <c r="AU288" s="109"/>
      <c r="AV288" s="109"/>
      <c r="AW288" s="109"/>
      <c r="AX288" s="109"/>
      <c r="AY288" s="109"/>
      <c r="AZ288" s="109"/>
      <c r="BA288" s="109"/>
      <c r="BB288" s="109"/>
      <c r="BC288" s="109"/>
      <c r="BD288" s="109"/>
      <c r="BE288" s="109"/>
      <c r="BF288" s="109"/>
      <c r="BG288" s="109"/>
      <c r="BH288" s="109"/>
      <c r="BI288" s="109"/>
      <c r="BJ288" s="109"/>
      <c r="BK288" s="109"/>
      <c r="BL288" s="109"/>
      <c r="BM288" s="109"/>
      <c r="BN288" s="109"/>
      <c r="BO288" s="109"/>
      <c r="BP288" s="109"/>
      <c r="BQ288" s="109"/>
      <c r="BR288" s="109"/>
      <c r="BS288" s="109"/>
      <c r="BT288" s="109"/>
      <c r="BU288" s="109"/>
      <c r="BV288" s="109"/>
      <c r="BW288" s="109"/>
      <c r="BX288" s="109"/>
      <c r="BY288" s="109"/>
      <c r="BZ288" s="109"/>
    </row>
    <row r="289" spans="1:78">
      <c r="A289" s="109"/>
      <c r="B289" s="109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  <c r="Z289" s="109"/>
      <c r="AA289" s="109"/>
      <c r="AB289" s="109"/>
      <c r="AC289" s="109"/>
      <c r="AD289" s="109"/>
      <c r="AE289" s="109"/>
      <c r="AF289" s="109"/>
      <c r="AG289" s="109"/>
      <c r="AH289" s="109"/>
      <c r="AI289" s="109"/>
      <c r="AJ289" s="109"/>
      <c r="AK289" s="109"/>
      <c r="AL289" s="109"/>
      <c r="AM289" s="109"/>
      <c r="AN289" s="109"/>
      <c r="AO289" s="109"/>
      <c r="AP289" s="109"/>
      <c r="AQ289" s="109"/>
      <c r="AR289" s="109"/>
      <c r="AS289" s="109"/>
      <c r="AT289" s="109"/>
      <c r="AU289" s="109"/>
      <c r="AV289" s="109"/>
      <c r="AW289" s="109"/>
      <c r="AX289" s="109"/>
      <c r="AY289" s="109"/>
      <c r="AZ289" s="109"/>
      <c r="BA289" s="109"/>
      <c r="BB289" s="109"/>
      <c r="BC289" s="109"/>
      <c r="BD289" s="109"/>
      <c r="BE289" s="109"/>
      <c r="BF289" s="109"/>
      <c r="BG289" s="109"/>
      <c r="BH289" s="109"/>
      <c r="BI289" s="109"/>
      <c r="BJ289" s="109"/>
      <c r="BK289" s="109"/>
      <c r="BL289" s="109"/>
      <c r="BM289" s="109"/>
      <c r="BN289" s="109"/>
      <c r="BO289" s="109"/>
      <c r="BP289" s="109"/>
      <c r="BQ289" s="109"/>
      <c r="BR289" s="109"/>
      <c r="BS289" s="109"/>
      <c r="BT289" s="109"/>
      <c r="BU289" s="109"/>
      <c r="BV289" s="109"/>
      <c r="BW289" s="109"/>
      <c r="BX289" s="109"/>
      <c r="BY289" s="109"/>
      <c r="BZ289" s="109"/>
    </row>
    <row r="290" spans="1:78">
      <c r="A290" s="109"/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  <c r="Z290" s="109"/>
      <c r="AA290" s="109"/>
      <c r="AB290" s="109"/>
      <c r="AC290" s="109"/>
      <c r="AD290" s="109"/>
      <c r="AE290" s="109"/>
      <c r="AF290" s="109"/>
      <c r="AG290" s="109"/>
      <c r="AH290" s="109"/>
      <c r="AI290" s="109"/>
      <c r="AJ290" s="109"/>
      <c r="AK290" s="109"/>
      <c r="AL290" s="109"/>
      <c r="AM290" s="109"/>
      <c r="AN290" s="109"/>
      <c r="AO290" s="109"/>
      <c r="AP290" s="109"/>
      <c r="AQ290" s="109"/>
      <c r="AR290" s="109"/>
      <c r="AS290" s="109"/>
      <c r="AT290" s="109"/>
      <c r="AU290" s="109"/>
      <c r="AV290" s="109"/>
      <c r="AW290" s="109"/>
      <c r="AX290" s="109"/>
      <c r="AY290" s="109"/>
      <c r="AZ290" s="109"/>
      <c r="BA290" s="109"/>
      <c r="BB290" s="109"/>
      <c r="BC290" s="109"/>
      <c r="BD290" s="109"/>
      <c r="BE290" s="109"/>
      <c r="BF290" s="109"/>
      <c r="BG290" s="109"/>
      <c r="BH290" s="109"/>
      <c r="BI290" s="109"/>
      <c r="BJ290" s="109"/>
      <c r="BK290" s="109"/>
      <c r="BL290" s="109"/>
      <c r="BM290" s="109"/>
      <c r="BN290" s="109"/>
      <c r="BO290" s="109"/>
      <c r="BP290" s="109"/>
      <c r="BQ290" s="109"/>
      <c r="BR290" s="109"/>
      <c r="BS290" s="109"/>
      <c r="BT290" s="109"/>
      <c r="BU290" s="109"/>
      <c r="BV290" s="109"/>
      <c r="BW290" s="109"/>
      <c r="BX290" s="109"/>
      <c r="BY290" s="109"/>
      <c r="BZ290" s="109"/>
    </row>
    <row r="291" spans="1:78">
      <c r="A291" s="109"/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109"/>
      <c r="Y291" s="109"/>
      <c r="Z291" s="109"/>
      <c r="AA291" s="109"/>
      <c r="AB291" s="109"/>
      <c r="AC291" s="109"/>
      <c r="AD291" s="109"/>
      <c r="AE291" s="109"/>
      <c r="AF291" s="109"/>
      <c r="AG291" s="109"/>
      <c r="AH291" s="109"/>
      <c r="AI291" s="109"/>
      <c r="AJ291" s="109"/>
      <c r="AK291" s="109"/>
      <c r="AL291" s="109"/>
      <c r="AM291" s="109"/>
      <c r="AN291" s="109"/>
      <c r="AO291" s="109"/>
      <c r="AP291" s="109"/>
      <c r="AQ291" s="109"/>
      <c r="AR291" s="109"/>
      <c r="AS291" s="109"/>
      <c r="AT291" s="109"/>
      <c r="AU291" s="109"/>
      <c r="AV291" s="109"/>
      <c r="AW291" s="109"/>
      <c r="AX291" s="109"/>
      <c r="AY291" s="109"/>
      <c r="AZ291" s="109"/>
      <c r="BA291" s="109"/>
      <c r="BB291" s="109"/>
      <c r="BC291" s="109"/>
      <c r="BD291" s="109"/>
      <c r="BE291" s="109"/>
      <c r="BF291" s="109"/>
      <c r="BG291" s="109"/>
      <c r="BH291" s="109"/>
      <c r="BI291" s="109"/>
      <c r="BJ291" s="109"/>
      <c r="BK291" s="109"/>
      <c r="BL291" s="109"/>
      <c r="BM291" s="109"/>
      <c r="BN291" s="109"/>
      <c r="BO291" s="109"/>
      <c r="BP291" s="109"/>
      <c r="BQ291" s="109"/>
      <c r="BR291" s="109"/>
      <c r="BS291" s="109"/>
      <c r="BT291" s="109"/>
      <c r="BU291" s="109"/>
      <c r="BV291" s="109"/>
      <c r="BW291" s="109"/>
      <c r="BX291" s="109"/>
      <c r="BY291" s="109"/>
      <c r="BZ291" s="109"/>
    </row>
    <row r="292" spans="1:78">
      <c r="A292" s="109"/>
      <c r="B292" s="109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09"/>
      <c r="AH292" s="109"/>
      <c r="AI292" s="109"/>
      <c r="AJ292" s="109"/>
      <c r="AK292" s="109"/>
      <c r="AL292" s="109"/>
      <c r="AM292" s="109"/>
      <c r="AN292" s="109"/>
      <c r="AO292" s="109"/>
      <c r="AP292" s="109"/>
      <c r="AQ292" s="109"/>
      <c r="AR292" s="109"/>
      <c r="AS292" s="109"/>
      <c r="AT292" s="109"/>
      <c r="AU292" s="109"/>
      <c r="AV292" s="109"/>
      <c r="AW292" s="109"/>
      <c r="AX292" s="109"/>
      <c r="AY292" s="109"/>
      <c r="AZ292" s="109"/>
      <c r="BA292" s="109"/>
      <c r="BB292" s="109"/>
      <c r="BC292" s="109"/>
      <c r="BD292" s="109"/>
      <c r="BE292" s="109"/>
      <c r="BF292" s="109"/>
      <c r="BG292" s="109"/>
      <c r="BH292" s="109"/>
      <c r="BI292" s="109"/>
      <c r="BJ292" s="109"/>
      <c r="BK292" s="109"/>
      <c r="BL292" s="109"/>
      <c r="BM292" s="109"/>
      <c r="BN292" s="109"/>
      <c r="BO292" s="109"/>
      <c r="BP292" s="109"/>
      <c r="BQ292" s="109"/>
      <c r="BR292" s="109"/>
      <c r="BS292" s="109"/>
      <c r="BT292" s="109"/>
      <c r="BU292" s="109"/>
      <c r="BV292" s="109"/>
      <c r="BW292" s="109"/>
      <c r="BX292" s="109"/>
      <c r="BY292" s="109"/>
      <c r="BZ292" s="109"/>
    </row>
    <row r="293" spans="1:78">
      <c r="A293" s="109"/>
      <c r="B293" s="109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  <c r="Y293" s="109"/>
      <c r="Z293" s="109"/>
      <c r="AA293" s="109"/>
      <c r="AB293" s="109"/>
      <c r="AC293" s="109"/>
      <c r="AD293" s="109"/>
      <c r="AE293" s="109"/>
      <c r="AF293" s="109"/>
      <c r="AG293" s="109"/>
      <c r="AH293" s="109"/>
      <c r="AI293" s="109"/>
      <c r="AJ293" s="109"/>
      <c r="AK293" s="109"/>
      <c r="AL293" s="109"/>
      <c r="AM293" s="109"/>
      <c r="AN293" s="109"/>
      <c r="AO293" s="109"/>
      <c r="AP293" s="109"/>
      <c r="AQ293" s="109"/>
      <c r="AR293" s="109"/>
      <c r="AS293" s="109"/>
      <c r="AT293" s="109"/>
      <c r="AU293" s="109"/>
      <c r="AV293" s="109"/>
      <c r="AW293" s="109"/>
      <c r="AX293" s="109"/>
      <c r="AY293" s="109"/>
      <c r="AZ293" s="109"/>
      <c r="BA293" s="109"/>
      <c r="BB293" s="109"/>
      <c r="BC293" s="109"/>
      <c r="BD293" s="109"/>
      <c r="BE293" s="109"/>
      <c r="BF293" s="109"/>
      <c r="BG293" s="109"/>
      <c r="BH293" s="109"/>
      <c r="BI293" s="109"/>
      <c r="BJ293" s="109"/>
      <c r="BK293" s="109"/>
      <c r="BL293" s="109"/>
      <c r="BM293" s="109"/>
      <c r="BN293" s="109"/>
      <c r="BO293" s="109"/>
      <c r="BP293" s="109"/>
      <c r="BQ293" s="109"/>
      <c r="BR293" s="109"/>
      <c r="BS293" s="109"/>
      <c r="BT293" s="109"/>
      <c r="BU293" s="109"/>
      <c r="BV293" s="109"/>
      <c r="BW293" s="109"/>
      <c r="BX293" s="109"/>
      <c r="BY293" s="109"/>
      <c r="BZ293" s="109"/>
    </row>
    <row r="294" spans="1:78">
      <c r="A294" s="109"/>
      <c r="B294" s="109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  <c r="Y294" s="109"/>
      <c r="Z294" s="109"/>
      <c r="AA294" s="109"/>
      <c r="AB294" s="109"/>
      <c r="AC294" s="109"/>
      <c r="AD294" s="109"/>
      <c r="AE294" s="109"/>
      <c r="AF294" s="109"/>
      <c r="AG294" s="109"/>
      <c r="AH294" s="109"/>
      <c r="AI294" s="109"/>
      <c r="AJ294" s="109"/>
      <c r="AK294" s="109"/>
      <c r="AL294" s="109"/>
      <c r="AM294" s="109"/>
      <c r="AN294" s="109"/>
      <c r="AO294" s="109"/>
      <c r="AP294" s="109"/>
      <c r="AQ294" s="109"/>
      <c r="AR294" s="109"/>
      <c r="AS294" s="109"/>
      <c r="AT294" s="109"/>
      <c r="AU294" s="109"/>
      <c r="AV294" s="109"/>
      <c r="AW294" s="109"/>
      <c r="AX294" s="109"/>
      <c r="AY294" s="109"/>
      <c r="AZ294" s="109"/>
      <c r="BA294" s="109"/>
      <c r="BB294" s="109"/>
      <c r="BC294" s="109"/>
      <c r="BD294" s="109"/>
      <c r="BE294" s="109"/>
      <c r="BF294" s="109"/>
      <c r="BG294" s="109"/>
      <c r="BH294" s="109"/>
      <c r="BI294" s="109"/>
      <c r="BJ294" s="109"/>
      <c r="BK294" s="109"/>
      <c r="BL294" s="109"/>
      <c r="BM294" s="109"/>
      <c r="BN294" s="109"/>
      <c r="BO294" s="109"/>
      <c r="BP294" s="109"/>
      <c r="BQ294" s="109"/>
      <c r="BR294" s="109"/>
      <c r="BS294" s="109"/>
      <c r="BT294" s="109"/>
      <c r="BU294" s="109"/>
      <c r="BV294" s="109"/>
      <c r="BW294" s="109"/>
      <c r="BX294" s="109"/>
      <c r="BY294" s="109"/>
      <c r="BZ294" s="109"/>
    </row>
    <row r="295" spans="1:78">
      <c r="A295" s="109"/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  <c r="Y295" s="109"/>
      <c r="Z295" s="109"/>
      <c r="AA295" s="109"/>
      <c r="AB295" s="109"/>
      <c r="AC295" s="109"/>
      <c r="AD295" s="109"/>
      <c r="AE295" s="109"/>
      <c r="AF295" s="109"/>
      <c r="AG295" s="109"/>
      <c r="AH295" s="109"/>
      <c r="AI295" s="109"/>
      <c r="AJ295" s="109"/>
      <c r="AK295" s="109"/>
      <c r="AL295" s="109"/>
      <c r="AM295" s="109"/>
      <c r="AN295" s="109"/>
      <c r="AO295" s="109"/>
      <c r="AP295" s="109"/>
      <c r="AQ295" s="109"/>
      <c r="AR295" s="109"/>
      <c r="AS295" s="109"/>
      <c r="AT295" s="109"/>
      <c r="AU295" s="109"/>
      <c r="AV295" s="109"/>
      <c r="AW295" s="109"/>
      <c r="AX295" s="109"/>
      <c r="AY295" s="109"/>
      <c r="AZ295" s="109"/>
      <c r="BA295" s="109"/>
      <c r="BB295" s="109"/>
      <c r="BC295" s="109"/>
      <c r="BD295" s="109"/>
      <c r="BE295" s="109"/>
      <c r="BF295" s="109"/>
      <c r="BG295" s="109"/>
      <c r="BH295" s="109"/>
      <c r="BI295" s="109"/>
      <c r="BJ295" s="109"/>
      <c r="BK295" s="109"/>
      <c r="BL295" s="109"/>
      <c r="BM295" s="109"/>
      <c r="BN295" s="109"/>
      <c r="BO295" s="109"/>
      <c r="BP295" s="109"/>
      <c r="BQ295" s="109"/>
      <c r="BR295" s="109"/>
      <c r="BS295" s="109"/>
      <c r="BT295" s="109"/>
      <c r="BU295" s="109"/>
      <c r="BV295" s="109"/>
      <c r="BW295" s="109"/>
      <c r="BX295" s="109"/>
      <c r="BY295" s="109"/>
      <c r="BZ295" s="109"/>
    </row>
    <row r="296" spans="1:78">
      <c r="A296" s="109"/>
      <c r="B296" s="109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H296" s="109"/>
      <c r="AI296" s="109"/>
      <c r="AJ296" s="109"/>
      <c r="AK296" s="109"/>
      <c r="AL296" s="109"/>
      <c r="AM296" s="109"/>
      <c r="AN296" s="109"/>
      <c r="AO296" s="109"/>
      <c r="AP296" s="109"/>
      <c r="AQ296" s="109"/>
      <c r="AR296" s="109"/>
      <c r="AS296" s="109"/>
      <c r="AT296" s="109"/>
      <c r="AU296" s="109"/>
      <c r="AV296" s="109"/>
      <c r="AW296" s="109"/>
      <c r="AX296" s="109"/>
      <c r="AY296" s="109"/>
      <c r="AZ296" s="109"/>
      <c r="BA296" s="109"/>
      <c r="BB296" s="109"/>
      <c r="BC296" s="109"/>
      <c r="BD296" s="109"/>
      <c r="BE296" s="109"/>
      <c r="BF296" s="109"/>
      <c r="BG296" s="109"/>
      <c r="BH296" s="109"/>
      <c r="BI296" s="109"/>
      <c r="BJ296" s="109"/>
      <c r="BK296" s="109"/>
      <c r="BL296" s="109"/>
      <c r="BM296" s="109"/>
      <c r="BN296" s="109"/>
      <c r="BO296" s="109"/>
      <c r="BP296" s="109"/>
      <c r="BQ296" s="109"/>
      <c r="BR296" s="109"/>
      <c r="BS296" s="109"/>
      <c r="BT296" s="109"/>
      <c r="BU296" s="109"/>
      <c r="BV296" s="109"/>
      <c r="BW296" s="109"/>
      <c r="BX296" s="109"/>
      <c r="BY296" s="109"/>
      <c r="BZ296" s="109"/>
    </row>
    <row r="297" spans="1:78">
      <c r="A297" s="109"/>
      <c r="B297" s="109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  <c r="Y297" s="109"/>
      <c r="Z297" s="109"/>
      <c r="AA297" s="109"/>
      <c r="AB297" s="109"/>
      <c r="AC297" s="109"/>
      <c r="AD297" s="109"/>
      <c r="AE297" s="109"/>
      <c r="AF297" s="109"/>
      <c r="AG297" s="109"/>
      <c r="AH297" s="109"/>
      <c r="AI297" s="109"/>
      <c r="AJ297" s="109"/>
      <c r="AK297" s="109"/>
      <c r="AL297" s="109"/>
      <c r="AM297" s="109"/>
      <c r="AN297" s="109"/>
      <c r="AO297" s="109"/>
      <c r="AP297" s="109"/>
      <c r="AQ297" s="109"/>
      <c r="AR297" s="109"/>
      <c r="AS297" s="109"/>
      <c r="AT297" s="109"/>
      <c r="AU297" s="109"/>
      <c r="AV297" s="109"/>
      <c r="AW297" s="109"/>
      <c r="AX297" s="109"/>
      <c r="AY297" s="109"/>
      <c r="AZ297" s="109"/>
      <c r="BA297" s="109"/>
      <c r="BB297" s="109"/>
      <c r="BC297" s="109"/>
      <c r="BD297" s="109"/>
      <c r="BE297" s="109"/>
      <c r="BF297" s="109"/>
      <c r="BG297" s="109"/>
      <c r="BH297" s="109"/>
      <c r="BI297" s="109"/>
      <c r="BJ297" s="109"/>
      <c r="BK297" s="109"/>
      <c r="BL297" s="109"/>
      <c r="BM297" s="109"/>
      <c r="BN297" s="109"/>
      <c r="BO297" s="109"/>
      <c r="BP297" s="109"/>
      <c r="BQ297" s="109"/>
      <c r="BR297" s="109"/>
      <c r="BS297" s="109"/>
      <c r="BT297" s="109"/>
      <c r="BU297" s="109"/>
      <c r="BV297" s="109"/>
      <c r="BW297" s="109"/>
      <c r="BX297" s="109"/>
      <c r="BY297" s="109"/>
      <c r="BZ297" s="109"/>
    </row>
    <row r="298" spans="1:78">
      <c r="A298" s="109"/>
      <c r="B298" s="109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  <c r="AG298" s="109"/>
      <c r="AH298" s="109"/>
      <c r="AI298" s="109"/>
      <c r="AJ298" s="109"/>
      <c r="AK298" s="109"/>
      <c r="AL298" s="109"/>
      <c r="AM298" s="109"/>
      <c r="AN298" s="109"/>
      <c r="AO298" s="109"/>
      <c r="AP298" s="109"/>
      <c r="AQ298" s="109"/>
      <c r="AR298" s="109"/>
      <c r="AS298" s="109"/>
      <c r="AT298" s="109"/>
      <c r="AU298" s="109"/>
      <c r="AV298" s="109"/>
      <c r="AW298" s="109"/>
      <c r="AX298" s="109"/>
      <c r="AY298" s="109"/>
      <c r="AZ298" s="109"/>
      <c r="BA298" s="109"/>
      <c r="BB298" s="109"/>
      <c r="BC298" s="109"/>
      <c r="BD298" s="109"/>
      <c r="BE298" s="109"/>
      <c r="BF298" s="109"/>
      <c r="BG298" s="109"/>
      <c r="BH298" s="109"/>
      <c r="BI298" s="109"/>
      <c r="BJ298" s="109"/>
      <c r="BK298" s="109"/>
      <c r="BL298" s="109"/>
      <c r="BM298" s="109"/>
      <c r="BN298" s="109"/>
      <c r="BO298" s="109"/>
      <c r="BP298" s="109"/>
      <c r="BQ298" s="109"/>
      <c r="BR298" s="109"/>
      <c r="BS298" s="109"/>
      <c r="BT298" s="109"/>
      <c r="BU298" s="109"/>
      <c r="BV298" s="109"/>
      <c r="BW298" s="109"/>
      <c r="BX298" s="109"/>
      <c r="BY298" s="109"/>
      <c r="BZ298" s="109"/>
    </row>
    <row r="299" spans="1:78">
      <c r="A299" s="109"/>
      <c r="B299" s="109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/>
      <c r="AL299" s="109"/>
      <c r="AM299" s="109"/>
      <c r="AN299" s="109"/>
      <c r="AO299" s="109"/>
      <c r="AP299" s="109"/>
      <c r="AQ299" s="109"/>
      <c r="AR299" s="109"/>
      <c r="AS299" s="109"/>
      <c r="AT299" s="109"/>
      <c r="AU299" s="109"/>
      <c r="AV299" s="109"/>
      <c r="AW299" s="109"/>
      <c r="AX299" s="109"/>
      <c r="AY299" s="109"/>
      <c r="AZ299" s="109"/>
      <c r="BA299" s="109"/>
      <c r="BB299" s="109"/>
      <c r="BC299" s="109"/>
      <c r="BD299" s="109"/>
      <c r="BE299" s="109"/>
      <c r="BF299" s="109"/>
      <c r="BG299" s="109"/>
      <c r="BH299" s="109"/>
      <c r="BI299" s="109"/>
      <c r="BJ299" s="109"/>
      <c r="BK299" s="109"/>
      <c r="BL299" s="109"/>
      <c r="BM299" s="109"/>
      <c r="BN299" s="109"/>
      <c r="BO299" s="109"/>
      <c r="BP299" s="109"/>
      <c r="BQ299" s="109"/>
      <c r="BR299" s="109"/>
      <c r="BS299" s="109"/>
      <c r="BT299" s="109"/>
      <c r="BU299" s="109"/>
      <c r="BV299" s="109"/>
      <c r="BW299" s="109"/>
      <c r="BX299" s="109"/>
      <c r="BY299" s="109"/>
      <c r="BZ299" s="109"/>
    </row>
    <row r="300" spans="1:78">
      <c r="A300" s="109"/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H300" s="109"/>
      <c r="AI300" s="109"/>
      <c r="AJ300" s="109"/>
      <c r="AK300" s="109"/>
      <c r="AL300" s="109"/>
      <c r="AM300" s="109"/>
      <c r="AN300" s="109"/>
      <c r="AO300" s="109"/>
      <c r="AP300" s="109"/>
      <c r="AQ300" s="109"/>
      <c r="AR300" s="109"/>
      <c r="AS300" s="109"/>
      <c r="AT300" s="109"/>
      <c r="AU300" s="109"/>
      <c r="AV300" s="109"/>
      <c r="AW300" s="109"/>
      <c r="AX300" s="109"/>
      <c r="AY300" s="109"/>
      <c r="AZ300" s="109"/>
      <c r="BA300" s="109"/>
      <c r="BB300" s="109"/>
      <c r="BC300" s="109"/>
      <c r="BD300" s="109"/>
      <c r="BE300" s="109"/>
      <c r="BF300" s="109"/>
      <c r="BG300" s="109"/>
      <c r="BH300" s="109"/>
      <c r="BI300" s="109"/>
      <c r="BJ300" s="109"/>
      <c r="BK300" s="109"/>
      <c r="BL300" s="109"/>
      <c r="BM300" s="109"/>
      <c r="BN300" s="109"/>
      <c r="BO300" s="109"/>
      <c r="BP300" s="109"/>
      <c r="BQ300" s="109"/>
      <c r="BR300" s="109"/>
      <c r="BS300" s="109"/>
      <c r="BT300" s="109"/>
      <c r="BU300" s="109"/>
      <c r="BV300" s="109"/>
      <c r="BW300" s="109"/>
      <c r="BX300" s="109"/>
      <c r="BY300" s="109"/>
      <c r="BZ300" s="109"/>
    </row>
    <row r="301" spans="1:78">
      <c r="A301" s="109"/>
      <c r="B301" s="109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  <c r="Z301" s="109"/>
      <c r="AA301" s="109"/>
      <c r="AB301" s="109"/>
      <c r="AC301" s="109"/>
      <c r="AD301" s="109"/>
      <c r="AE301" s="109"/>
      <c r="AF301" s="109"/>
      <c r="AG301" s="109"/>
      <c r="AH301" s="109"/>
      <c r="AI301" s="109"/>
      <c r="AJ301" s="109"/>
      <c r="AK301" s="109"/>
      <c r="AL301" s="109"/>
      <c r="AM301" s="109"/>
      <c r="AN301" s="109"/>
      <c r="AO301" s="109"/>
      <c r="AP301" s="109"/>
      <c r="AQ301" s="109"/>
      <c r="AR301" s="109"/>
      <c r="AS301" s="109"/>
      <c r="AT301" s="109"/>
      <c r="AU301" s="109"/>
      <c r="AV301" s="109"/>
      <c r="AW301" s="109"/>
      <c r="AX301" s="109"/>
      <c r="AY301" s="109"/>
      <c r="AZ301" s="109"/>
      <c r="BA301" s="109"/>
      <c r="BB301" s="109"/>
      <c r="BC301" s="109"/>
      <c r="BD301" s="109"/>
      <c r="BE301" s="109"/>
      <c r="BF301" s="109"/>
      <c r="BG301" s="109"/>
      <c r="BH301" s="109"/>
      <c r="BI301" s="109"/>
      <c r="BJ301" s="109"/>
      <c r="BK301" s="109"/>
      <c r="BL301" s="109"/>
      <c r="BM301" s="109"/>
      <c r="BN301" s="109"/>
      <c r="BO301" s="109"/>
      <c r="BP301" s="109"/>
      <c r="BQ301" s="109"/>
      <c r="BR301" s="109"/>
      <c r="BS301" s="109"/>
      <c r="BT301" s="109"/>
      <c r="BU301" s="109"/>
      <c r="BV301" s="109"/>
      <c r="BW301" s="109"/>
      <c r="BX301" s="109"/>
      <c r="BY301" s="109"/>
      <c r="BZ301" s="109"/>
    </row>
    <row r="302" spans="1:78">
      <c r="A302" s="109"/>
      <c r="B302" s="109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H302" s="109"/>
      <c r="AI302" s="109"/>
      <c r="AJ302" s="109"/>
      <c r="AK302" s="109"/>
      <c r="AL302" s="109"/>
      <c r="AM302" s="109"/>
      <c r="AN302" s="109"/>
      <c r="AO302" s="109"/>
      <c r="AP302" s="109"/>
      <c r="AQ302" s="109"/>
      <c r="AR302" s="109"/>
      <c r="AS302" s="109"/>
      <c r="AT302" s="109"/>
      <c r="AU302" s="109"/>
      <c r="AV302" s="109"/>
      <c r="AW302" s="109"/>
      <c r="AX302" s="109"/>
      <c r="AY302" s="109"/>
      <c r="AZ302" s="109"/>
      <c r="BA302" s="109"/>
      <c r="BB302" s="109"/>
      <c r="BC302" s="109"/>
      <c r="BD302" s="109"/>
      <c r="BE302" s="109"/>
      <c r="BF302" s="109"/>
      <c r="BG302" s="109"/>
      <c r="BH302" s="109"/>
      <c r="BI302" s="109"/>
      <c r="BJ302" s="109"/>
      <c r="BK302" s="109"/>
      <c r="BL302" s="109"/>
      <c r="BM302" s="109"/>
      <c r="BN302" s="109"/>
      <c r="BO302" s="109"/>
      <c r="BP302" s="109"/>
      <c r="BQ302" s="109"/>
      <c r="BR302" s="109"/>
      <c r="BS302" s="109"/>
      <c r="BT302" s="109"/>
      <c r="BU302" s="109"/>
      <c r="BV302" s="109"/>
      <c r="BW302" s="109"/>
      <c r="BX302" s="109"/>
      <c r="BY302" s="109"/>
      <c r="BZ302" s="109"/>
    </row>
    <row r="303" spans="1:78">
      <c r="A303" s="109"/>
      <c r="B303" s="109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  <c r="Y303" s="109"/>
      <c r="Z303" s="109"/>
      <c r="AA303" s="109"/>
      <c r="AB303" s="109"/>
      <c r="AC303" s="109"/>
      <c r="AD303" s="109"/>
      <c r="AE303" s="109"/>
      <c r="AF303" s="109"/>
      <c r="AG303" s="109"/>
      <c r="AH303" s="109"/>
      <c r="AI303" s="109"/>
      <c r="AJ303" s="109"/>
      <c r="AK303" s="109"/>
      <c r="AL303" s="109"/>
      <c r="AM303" s="109"/>
      <c r="AN303" s="109"/>
      <c r="AO303" s="109"/>
      <c r="AP303" s="109"/>
      <c r="AQ303" s="109"/>
      <c r="AR303" s="109"/>
      <c r="AS303" s="109"/>
      <c r="AT303" s="109"/>
      <c r="AU303" s="109"/>
      <c r="AV303" s="109"/>
      <c r="AW303" s="109"/>
      <c r="AX303" s="109"/>
      <c r="AY303" s="109"/>
      <c r="AZ303" s="109"/>
      <c r="BA303" s="109"/>
      <c r="BB303" s="109"/>
      <c r="BC303" s="109"/>
      <c r="BD303" s="109"/>
      <c r="BE303" s="109"/>
      <c r="BF303" s="109"/>
      <c r="BG303" s="109"/>
      <c r="BH303" s="109"/>
      <c r="BI303" s="109"/>
      <c r="BJ303" s="109"/>
      <c r="BK303" s="109"/>
      <c r="BL303" s="109"/>
      <c r="BM303" s="109"/>
      <c r="BN303" s="109"/>
      <c r="BO303" s="109"/>
      <c r="BP303" s="109"/>
      <c r="BQ303" s="109"/>
      <c r="BR303" s="109"/>
      <c r="BS303" s="109"/>
      <c r="BT303" s="109"/>
      <c r="BU303" s="109"/>
      <c r="BV303" s="109"/>
      <c r="BW303" s="109"/>
      <c r="BX303" s="109"/>
      <c r="BY303" s="109"/>
      <c r="BZ303" s="109"/>
    </row>
    <row r="304" spans="1:78">
      <c r="A304" s="109"/>
      <c r="B304" s="109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  <c r="Y304" s="109"/>
      <c r="Z304" s="109"/>
      <c r="AA304" s="109"/>
      <c r="AB304" s="109"/>
      <c r="AC304" s="109"/>
      <c r="AD304" s="109"/>
      <c r="AE304" s="109"/>
      <c r="AF304" s="109"/>
      <c r="AG304" s="109"/>
      <c r="AH304" s="109"/>
      <c r="AI304" s="109"/>
      <c r="AJ304" s="109"/>
      <c r="AK304" s="109"/>
      <c r="AL304" s="109"/>
      <c r="AM304" s="109"/>
      <c r="AN304" s="109"/>
      <c r="AO304" s="109"/>
      <c r="AP304" s="109"/>
      <c r="AQ304" s="109"/>
      <c r="AR304" s="109"/>
      <c r="AS304" s="109"/>
      <c r="AT304" s="109"/>
      <c r="AU304" s="109"/>
      <c r="AV304" s="109"/>
      <c r="AW304" s="109"/>
      <c r="AX304" s="109"/>
      <c r="AY304" s="109"/>
      <c r="AZ304" s="109"/>
      <c r="BA304" s="109"/>
      <c r="BB304" s="109"/>
      <c r="BC304" s="109"/>
      <c r="BD304" s="109"/>
      <c r="BE304" s="109"/>
      <c r="BF304" s="109"/>
      <c r="BG304" s="109"/>
      <c r="BH304" s="109"/>
      <c r="BI304" s="109"/>
      <c r="BJ304" s="109"/>
      <c r="BK304" s="109"/>
      <c r="BL304" s="109"/>
      <c r="BM304" s="109"/>
      <c r="BN304" s="109"/>
      <c r="BO304" s="109"/>
      <c r="BP304" s="109"/>
      <c r="BQ304" s="109"/>
      <c r="BR304" s="109"/>
      <c r="BS304" s="109"/>
      <c r="BT304" s="109"/>
      <c r="BU304" s="109"/>
      <c r="BV304" s="109"/>
      <c r="BW304" s="109"/>
      <c r="BX304" s="109"/>
      <c r="BY304" s="109"/>
      <c r="BZ304" s="109"/>
    </row>
    <row r="305" spans="1:78">
      <c r="A305" s="109"/>
      <c r="B305" s="109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9"/>
      <c r="AD305" s="109"/>
      <c r="AE305" s="109"/>
      <c r="AF305" s="109"/>
      <c r="AG305" s="109"/>
      <c r="AH305" s="109"/>
      <c r="AI305" s="109"/>
      <c r="AJ305" s="109"/>
      <c r="AK305" s="109"/>
      <c r="AL305" s="109"/>
      <c r="AM305" s="109"/>
      <c r="AN305" s="109"/>
      <c r="AO305" s="109"/>
      <c r="AP305" s="109"/>
      <c r="AQ305" s="109"/>
      <c r="AR305" s="109"/>
      <c r="AS305" s="109"/>
      <c r="AT305" s="109"/>
      <c r="AU305" s="109"/>
      <c r="AV305" s="109"/>
      <c r="AW305" s="109"/>
      <c r="AX305" s="109"/>
      <c r="AY305" s="109"/>
      <c r="AZ305" s="109"/>
      <c r="BA305" s="109"/>
      <c r="BB305" s="109"/>
      <c r="BC305" s="109"/>
      <c r="BD305" s="109"/>
      <c r="BE305" s="109"/>
      <c r="BF305" s="109"/>
      <c r="BG305" s="109"/>
      <c r="BH305" s="109"/>
      <c r="BI305" s="109"/>
      <c r="BJ305" s="109"/>
      <c r="BK305" s="109"/>
      <c r="BL305" s="109"/>
      <c r="BM305" s="109"/>
      <c r="BN305" s="109"/>
      <c r="BO305" s="109"/>
      <c r="BP305" s="109"/>
      <c r="BQ305" s="109"/>
      <c r="BR305" s="109"/>
      <c r="BS305" s="109"/>
      <c r="BT305" s="109"/>
      <c r="BU305" s="109"/>
      <c r="BV305" s="109"/>
      <c r="BW305" s="109"/>
      <c r="BX305" s="109"/>
      <c r="BY305" s="109"/>
      <c r="BZ305" s="109"/>
    </row>
    <row r="306" spans="1:78">
      <c r="A306" s="109"/>
      <c r="B306" s="109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H306" s="109"/>
      <c r="AI306" s="109"/>
      <c r="AJ306" s="109"/>
      <c r="AK306" s="109"/>
      <c r="AL306" s="109"/>
      <c r="AM306" s="109"/>
      <c r="AN306" s="109"/>
      <c r="AO306" s="109"/>
      <c r="AP306" s="109"/>
      <c r="AQ306" s="109"/>
      <c r="AR306" s="109"/>
      <c r="AS306" s="109"/>
      <c r="AT306" s="109"/>
      <c r="AU306" s="109"/>
      <c r="AV306" s="109"/>
      <c r="AW306" s="109"/>
      <c r="AX306" s="109"/>
      <c r="AY306" s="109"/>
      <c r="AZ306" s="109"/>
      <c r="BA306" s="109"/>
      <c r="BB306" s="109"/>
      <c r="BC306" s="109"/>
      <c r="BD306" s="109"/>
      <c r="BE306" s="109"/>
      <c r="BF306" s="109"/>
      <c r="BG306" s="109"/>
      <c r="BH306" s="109"/>
      <c r="BI306" s="109"/>
      <c r="BJ306" s="109"/>
      <c r="BK306" s="109"/>
      <c r="BL306" s="109"/>
      <c r="BM306" s="109"/>
      <c r="BN306" s="109"/>
      <c r="BO306" s="109"/>
      <c r="BP306" s="109"/>
      <c r="BQ306" s="109"/>
      <c r="BR306" s="109"/>
      <c r="BS306" s="109"/>
      <c r="BT306" s="109"/>
      <c r="BU306" s="109"/>
      <c r="BV306" s="109"/>
      <c r="BW306" s="109"/>
      <c r="BX306" s="109"/>
      <c r="BY306" s="109"/>
      <c r="BZ306" s="109"/>
    </row>
    <row r="307" spans="1:78">
      <c r="A307" s="109"/>
      <c r="B307" s="109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H307" s="109"/>
      <c r="AI307" s="109"/>
      <c r="AJ307" s="109"/>
      <c r="AK307" s="109"/>
      <c r="AL307" s="109"/>
      <c r="AM307" s="109"/>
      <c r="AN307" s="109"/>
      <c r="AO307" s="109"/>
      <c r="AP307" s="109"/>
      <c r="AQ307" s="109"/>
      <c r="AR307" s="109"/>
      <c r="AS307" s="109"/>
      <c r="AT307" s="109"/>
      <c r="AU307" s="109"/>
      <c r="AV307" s="109"/>
      <c r="AW307" s="109"/>
      <c r="AX307" s="109"/>
      <c r="AY307" s="109"/>
      <c r="AZ307" s="109"/>
      <c r="BA307" s="109"/>
      <c r="BB307" s="109"/>
      <c r="BC307" s="109"/>
      <c r="BD307" s="109"/>
      <c r="BE307" s="109"/>
      <c r="BF307" s="109"/>
      <c r="BG307" s="109"/>
      <c r="BH307" s="109"/>
      <c r="BI307" s="109"/>
      <c r="BJ307" s="109"/>
      <c r="BK307" s="109"/>
      <c r="BL307" s="109"/>
      <c r="BM307" s="109"/>
      <c r="BN307" s="109"/>
      <c r="BO307" s="109"/>
      <c r="BP307" s="109"/>
      <c r="BQ307" s="109"/>
      <c r="BR307" s="109"/>
      <c r="BS307" s="109"/>
      <c r="BT307" s="109"/>
      <c r="BU307" s="109"/>
      <c r="BV307" s="109"/>
      <c r="BW307" s="109"/>
      <c r="BX307" s="109"/>
      <c r="BY307" s="109"/>
      <c r="BZ307" s="109"/>
    </row>
    <row r="308" spans="1:78">
      <c r="A308" s="109"/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H308" s="109"/>
      <c r="AI308" s="109"/>
      <c r="AJ308" s="109"/>
      <c r="AK308" s="109"/>
      <c r="AL308" s="109"/>
      <c r="AM308" s="109"/>
      <c r="AN308" s="109"/>
      <c r="AO308" s="109"/>
      <c r="AP308" s="109"/>
      <c r="AQ308" s="109"/>
      <c r="AR308" s="109"/>
      <c r="AS308" s="109"/>
      <c r="AT308" s="109"/>
      <c r="AU308" s="109"/>
      <c r="AV308" s="109"/>
      <c r="AW308" s="109"/>
      <c r="AX308" s="109"/>
      <c r="AY308" s="109"/>
      <c r="AZ308" s="109"/>
      <c r="BA308" s="109"/>
      <c r="BB308" s="109"/>
      <c r="BC308" s="109"/>
      <c r="BD308" s="109"/>
      <c r="BE308" s="109"/>
      <c r="BF308" s="109"/>
      <c r="BG308" s="109"/>
      <c r="BH308" s="109"/>
      <c r="BI308" s="109"/>
      <c r="BJ308" s="109"/>
      <c r="BK308" s="109"/>
      <c r="BL308" s="109"/>
      <c r="BM308" s="109"/>
      <c r="BN308" s="109"/>
      <c r="BO308" s="109"/>
      <c r="BP308" s="109"/>
      <c r="BQ308" s="109"/>
      <c r="BR308" s="109"/>
      <c r="BS308" s="109"/>
      <c r="BT308" s="109"/>
      <c r="BU308" s="109"/>
      <c r="BV308" s="109"/>
      <c r="BW308" s="109"/>
      <c r="BX308" s="109"/>
      <c r="BY308" s="109"/>
      <c r="BZ308" s="109"/>
    </row>
    <row r="309" spans="1:78">
      <c r="A309" s="109"/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  <c r="Y309" s="109"/>
      <c r="Z309" s="109"/>
      <c r="AA309" s="109"/>
      <c r="AB309" s="109"/>
      <c r="AC309" s="109"/>
      <c r="AD309" s="109"/>
      <c r="AE309" s="109"/>
      <c r="AF309" s="109"/>
      <c r="AG309" s="109"/>
      <c r="AH309" s="109"/>
      <c r="AI309" s="109"/>
      <c r="AJ309" s="109"/>
      <c r="AK309" s="109"/>
      <c r="AL309" s="109"/>
      <c r="AM309" s="109"/>
      <c r="AN309" s="109"/>
      <c r="AO309" s="109"/>
      <c r="AP309" s="109"/>
      <c r="AQ309" s="109"/>
      <c r="AR309" s="109"/>
      <c r="AS309" s="109"/>
      <c r="AT309" s="109"/>
      <c r="AU309" s="109"/>
      <c r="AV309" s="109"/>
      <c r="AW309" s="109"/>
      <c r="AX309" s="109"/>
      <c r="AY309" s="109"/>
      <c r="AZ309" s="109"/>
      <c r="BA309" s="109"/>
      <c r="BB309" s="109"/>
      <c r="BC309" s="109"/>
      <c r="BD309" s="109"/>
      <c r="BE309" s="109"/>
      <c r="BF309" s="109"/>
      <c r="BG309" s="109"/>
      <c r="BH309" s="109"/>
      <c r="BI309" s="109"/>
      <c r="BJ309" s="109"/>
      <c r="BK309" s="109"/>
      <c r="BL309" s="109"/>
      <c r="BM309" s="109"/>
      <c r="BN309" s="109"/>
      <c r="BO309" s="109"/>
      <c r="BP309" s="109"/>
      <c r="BQ309" s="109"/>
      <c r="BR309" s="109"/>
      <c r="BS309" s="109"/>
      <c r="BT309" s="109"/>
      <c r="BU309" s="109"/>
      <c r="BV309" s="109"/>
      <c r="BW309" s="109"/>
      <c r="BX309" s="109"/>
      <c r="BY309" s="109"/>
      <c r="BZ309" s="109"/>
    </row>
    <row r="310" spans="1:78">
      <c r="A310" s="109"/>
      <c r="B310" s="109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  <c r="Y310" s="109"/>
      <c r="Z310" s="109"/>
      <c r="AA310" s="109"/>
      <c r="AB310" s="109"/>
      <c r="AC310" s="109"/>
      <c r="AD310" s="109"/>
      <c r="AE310" s="109"/>
      <c r="AF310" s="109"/>
      <c r="AG310" s="109"/>
      <c r="AH310" s="109"/>
      <c r="AI310" s="109"/>
      <c r="AJ310" s="109"/>
      <c r="AK310" s="109"/>
      <c r="AL310" s="109"/>
      <c r="AM310" s="109"/>
      <c r="AN310" s="109"/>
      <c r="AO310" s="109"/>
      <c r="AP310" s="109"/>
      <c r="AQ310" s="109"/>
      <c r="AR310" s="109"/>
      <c r="AS310" s="109"/>
      <c r="AT310" s="109"/>
      <c r="AU310" s="109"/>
      <c r="AV310" s="109"/>
      <c r="AW310" s="109"/>
      <c r="AX310" s="109"/>
      <c r="AY310" s="109"/>
      <c r="AZ310" s="109"/>
      <c r="BA310" s="109"/>
      <c r="BB310" s="109"/>
      <c r="BC310" s="109"/>
      <c r="BD310" s="109"/>
      <c r="BE310" s="109"/>
      <c r="BF310" s="109"/>
      <c r="BG310" s="109"/>
      <c r="BH310" s="109"/>
      <c r="BI310" s="109"/>
      <c r="BJ310" s="109"/>
      <c r="BK310" s="109"/>
      <c r="BL310" s="109"/>
      <c r="BM310" s="109"/>
      <c r="BN310" s="109"/>
      <c r="BO310" s="109"/>
      <c r="BP310" s="109"/>
      <c r="BQ310" s="109"/>
      <c r="BR310" s="109"/>
      <c r="BS310" s="109"/>
      <c r="BT310" s="109"/>
      <c r="BU310" s="109"/>
      <c r="BV310" s="109"/>
      <c r="BW310" s="109"/>
      <c r="BX310" s="109"/>
      <c r="BY310" s="109"/>
      <c r="BZ310" s="109"/>
    </row>
    <row r="311" spans="1:78">
      <c r="A311" s="109"/>
      <c r="B311" s="109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  <c r="AD311" s="109"/>
      <c r="AE311" s="109"/>
      <c r="AF311" s="109"/>
      <c r="AG311" s="109"/>
      <c r="AH311" s="109"/>
      <c r="AI311" s="109"/>
      <c r="AJ311" s="109"/>
      <c r="AK311" s="109"/>
      <c r="AL311" s="109"/>
      <c r="AM311" s="109"/>
      <c r="AN311" s="109"/>
      <c r="AO311" s="109"/>
      <c r="AP311" s="109"/>
      <c r="AQ311" s="109"/>
      <c r="AR311" s="109"/>
      <c r="AS311" s="109"/>
      <c r="AT311" s="109"/>
      <c r="AU311" s="109"/>
      <c r="AV311" s="109"/>
      <c r="AW311" s="109"/>
      <c r="AX311" s="109"/>
      <c r="AY311" s="109"/>
      <c r="AZ311" s="109"/>
      <c r="BA311" s="109"/>
      <c r="BB311" s="109"/>
      <c r="BC311" s="109"/>
      <c r="BD311" s="109"/>
      <c r="BE311" s="109"/>
      <c r="BF311" s="109"/>
      <c r="BG311" s="109"/>
      <c r="BH311" s="109"/>
      <c r="BI311" s="109"/>
      <c r="BJ311" s="109"/>
      <c r="BK311" s="109"/>
      <c r="BL311" s="109"/>
      <c r="BM311" s="109"/>
      <c r="BN311" s="109"/>
      <c r="BO311" s="109"/>
      <c r="BP311" s="109"/>
      <c r="BQ311" s="109"/>
      <c r="BR311" s="109"/>
      <c r="BS311" s="109"/>
      <c r="BT311" s="109"/>
      <c r="BU311" s="109"/>
      <c r="BV311" s="109"/>
      <c r="BW311" s="109"/>
      <c r="BX311" s="109"/>
      <c r="BY311" s="109"/>
      <c r="BZ311" s="109"/>
    </row>
    <row r="312" spans="1:78">
      <c r="A312" s="109"/>
      <c r="B312" s="109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09"/>
      <c r="X312" s="109"/>
      <c r="Y312" s="109"/>
      <c r="Z312" s="109"/>
      <c r="AA312" s="109"/>
      <c r="AB312" s="109"/>
      <c r="AC312" s="109"/>
      <c r="AD312" s="109"/>
      <c r="AE312" s="109"/>
      <c r="AF312" s="109"/>
      <c r="AG312" s="109"/>
      <c r="AH312" s="109"/>
      <c r="AI312" s="109"/>
      <c r="AJ312" s="109"/>
      <c r="AK312" s="109"/>
      <c r="AL312" s="109"/>
      <c r="AM312" s="109"/>
      <c r="AN312" s="109"/>
      <c r="AO312" s="109"/>
      <c r="AP312" s="109"/>
      <c r="AQ312" s="109"/>
      <c r="AR312" s="109"/>
      <c r="AS312" s="109"/>
      <c r="AT312" s="109"/>
      <c r="AU312" s="109"/>
      <c r="AV312" s="109"/>
      <c r="AW312" s="109"/>
      <c r="AX312" s="109"/>
      <c r="AY312" s="109"/>
      <c r="AZ312" s="109"/>
      <c r="BA312" s="109"/>
      <c r="BB312" s="109"/>
      <c r="BC312" s="109"/>
      <c r="BD312" s="109"/>
      <c r="BE312" s="109"/>
      <c r="BF312" s="109"/>
      <c r="BG312" s="109"/>
      <c r="BH312" s="109"/>
      <c r="BI312" s="109"/>
      <c r="BJ312" s="109"/>
      <c r="BK312" s="109"/>
      <c r="BL312" s="109"/>
      <c r="BM312" s="109"/>
      <c r="BN312" s="109"/>
      <c r="BO312" s="109"/>
      <c r="BP312" s="109"/>
      <c r="BQ312" s="109"/>
      <c r="BR312" s="109"/>
      <c r="BS312" s="109"/>
      <c r="BT312" s="109"/>
      <c r="BU312" s="109"/>
      <c r="BV312" s="109"/>
      <c r="BW312" s="109"/>
      <c r="BX312" s="109"/>
      <c r="BY312" s="109"/>
      <c r="BZ312" s="109"/>
    </row>
    <row r="313" spans="1:78">
      <c r="A313" s="109"/>
      <c r="B313" s="109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  <c r="Y313" s="109"/>
      <c r="Z313" s="109"/>
      <c r="AA313" s="109"/>
      <c r="AB313" s="109"/>
      <c r="AC313" s="109"/>
      <c r="AD313" s="109"/>
      <c r="AE313" s="109"/>
      <c r="AF313" s="109"/>
      <c r="AG313" s="109"/>
      <c r="AH313" s="109"/>
      <c r="AI313" s="109"/>
      <c r="AJ313" s="109"/>
      <c r="AK313" s="109"/>
      <c r="AL313" s="109"/>
      <c r="AM313" s="109"/>
      <c r="AN313" s="109"/>
      <c r="AO313" s="109"/>
      <c r="AP313" s="109"/>
      <c r="AQ313" s="109"/>
      <c r="AR313" s="109"/>
      <c r="AS313" s="109"/>
      <c r="AT313" s="109"/>
      <c r="AU313" s="109"/>
      <c r="AV313" s="109"/>
      <c r="AW313" s="109"/>
      <c r="AX313" s="109"/>
      <c r="AY313" s="109"/>
      <c r="AZ313" s="109"/>
      <c r="BA313" s="109"/>
      <c r="BB313" s="109"/>
      <c r="BC313" s="109"/>
      <c r="BD313" s="109"/>
      <c r="BE313" s="109"/>
      <c r="BF313" s="109"/>
      <c r="BG313" s="109"/>
      <c r="BH313" s="109"/>
      <c r="BI313" s="109"/>
      <c r="BJ313" s="109"/>
      <c r="BK313" s="109"/>
      <c r="BL313" s="109"/>
      <c r="BM313" s="109"/>
      <c r="BN313" s="109"/>
      <c r="BO313" s="109"/>
      <c r="BP313" s="109"/>
      <c r="BQ313" s="109"/>
      <c r="BR313" s="109"/>
      <c r="BS313" s="109"/>
      <c r="BT313" s="109"/>
      <c r="BU313" s="109"/>
      <c r="BV313" s="109"/>
      <c r="BW313" s="109"/>
      <c r="BX313" s="109"/>
      <c r="BY313" s="109"/>
      <c r="BZ313" s="109"/>
    </row>
    <row r="314" spans="1:78">
      <c r="A314" s="109"/>
      <c r="B314" s="109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/>
      <c r="X314" s="109"/>
      <c r="Y314" s="109"/>
      <c r="Z314" s="109"/>
      <c r="AA314" s="109"/>
      <c r="AB314" s="109"/>
      <c r="AC314" s="109"/>
      <c r="AD314" s="109"/>
      <c r="AE314" s="109"/>
      <c r="AF314" s="109"/>
      <c r="AG314" s="109"/>
      <c r="AH314" s="109"/>
      <c r="AI314" s="109"/>
      <c r="AJ314" s="109"/>
      <c r="AK314" s="109"/>
      <c r="AL314" s="109"/>
      <c r="AM314" s="109"/>
      <c r="AN314" s="109"/>
      <c r="AO314" s="109"/>
      <c r="AP314" s="109"/>
      <c r="AQ314" s="109"/>
      <c r="AR314" s="109"/>
      <c r="AS314" s="109"/>
      <c r="AT314" s="109"/>
      <c r="AU314" s="109"/>
      <c r="AV314" s="109"/>
      <c r="AW314" s="109"/>
      <c r="AX314" s="109"/>
      <c r="AY314" s="109"/>
      <c r="AZ314" s="109"/>
      <c r="BA314" s="109"/>
      <c r="BB314" s="109"/>
      <c r="BC314" s="109"/>
      <c r="BD314" s="109"/>
      <c r="BE314" s="109"/>
      <c r="BF314" s="109"/>
      <c r="BG314" s="109"/>
      <c r="BH314" s="109"/>
      <c r="BI314" s="109"/>
      <c r="BJ314" s="109"/>
      <c r="BK314" s="109"/>
      <c r="BL314" s="109"/>
      <c r="BM314" s="109"/>
      <c r="BN314" s="109"/>
      <c r="BO314" s="109"/>
      <c r="BP314" s="109"/>
      <c r="BQ314" s="109"/>
      <c r="BR314" s="109"/>
      <c r="BS314" s="109"/>
      <c r="BT314" s="109"/>
      <c r="BU314" s="109"/>
      <c r="BV314" s="109"/>
      <c r="BW314" s="109"/>
      <c r="BX314" s="109"/>
      <c r="BY314" s="109"/>
      <c r="BZ314" s="109"/>
    </row>
    <row r="315" spans="1:78">
      <c r="A315" s="109"/>
      <c r="B315" s="109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109"/>
      <c r="X315" s="109"/>
      <c r="Y315" s="109"/>
      <c r="Z315" s="109"/>
      <c r="AA315" s="109"/>
      <c r="AB315" s="109"/>
      <c r="AC315" s="109"/>
      <c r="AD315" s="109"/>
      <c r="AE315" s="109"/>
      <c r="AF315" s="109"/>
      <c r="AG315" s="109"/>
      <c r="AH315" s="109"/>
      <c r="AI315" s="109"/>
      <c r="AJ315" s="109"/>
      <c r="AK315" s="109"/>
      <c r="AL315" s="109"/>
      <c r="AM315" s="109"/>
      <c r="AN315" s="109"/>
      <c r="AO315" s="109"/>
      <c r="AP315" s="109"/>
      <c r="AQ315" s="109"/>
      <c r="AR315" s="109"/>
      <c r="AS315" s="109"/>
      <c r="AT315" s="109"/>
      <c r="AU315" s="109"/>
      <c r="AV315" s="109"/>
      <c r="AW315" s="109"/>
      <c r="AX315" s="109"/>
      <c r="AY315" s="109"/>
      <c r="AZ315" s="109"/>
      <c r="BA315" s="109"/>
      <c r="BB315" s="109"/>
      <c r="BC315" s="109"/>
      <c r="BD315" s="109"/>
      <c r="BE315" s="109"/>
      <c r="BF315" s="109"/>
      <c r="BG315" s="109"/>
      <c r="BH315" s="109"/>
      <c r="BI315" s="109"/>
      <c r="BJ315" s="109"/>
      <c r="BK315" s="109"/>
      <c r="BL315" s="109"/>
      <c r="BM315" s="109"/>
      <c r="BN315" s="109"/>
      <c r="BO315" s="109"/>
      <c r="BP315" s="109"/>
      <c r="BQ315" s="109"/>
      <c r="BR315" s="109"/>
      <c r="BS315" s="109"/>
      <c r="BT315" s="109"/>
      <c r="BU315" s="109"/>
      <c r="BV315" s="109"/>
      <c r="BW315" s="109"/>
      <c r="BX315" s="109"/>
      <c r="BY315" s="109"/>
      <c r="BZ315" s="109"/>
    </row>
    <row r="316" spans="1:78">
      <c r="A316" s="109"/>
      <c r="B316" s="109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  <c r="Y316" s="109"/>
      <c r="Z316" s="109"/>
      <c r="AA316" s="109"/>
      <c r="AB316" s="109"/>
      <c r="AC316" s="109"/>
      <c r="AD316" s="109"/>
      <c r="AE316" s="109"/>
      <c r="AF316" s="109"/>
      <c r="AG316" s="109"/>
      <c r="AH316" s="109"/>
      <c r="AI316" s="109"/>
      <c r="AJ316" s="109"/>
      <c r="AK316" s="109"/>
      <c r="AL316" s="109"/>
      <c r="AM316" s="109"/>
      <c r="AN316" s="109"/>
      <c r="AO316" s="109"/>
      <c r="AP316" s="109"/>
      <c r="AQ316" s="109"/>
      <c r="AR316" s="109"/>
      <c r="AS316" s="109"/>
      <c r="AT316" s="109"/>
      <c r="AU316" s="109"/>
      <c r="AV316" s="109"/>
      <c r="AW316" s="109"/>
      <c r="AX316" s="109"/>
      <c r="AY316" s="109"/>
      <c r="AZ316" s="109"/>
      <c r="BA316" s="109"/>
      <c r="BB316" s="109"/>
      <c r="BC316" s="109"/>
      <c r="BD316" s="109"/>
      <c r="BE316" s="109"/>
      <c r="BF316" s="109"/>
      <c r="BG316" s="109"/>
      <c r="BH316" s="109"/>
      <c r="BI316" s="109"/>
      <c r="BJ316" s="109"/>
      <c r="BK316" s="109"/>
      <c r="BL316" s="109"/>
      <c r="BM316" s="109"/>
      <c r="BN316" s="109"/>
      <c r="BO316" s="109"/>
      <c r="BP316" s="109"/>
      <c r="BQ316" s="109"/>
      <c r="BR316" s="109"/>
      <c r="BS316" s="109"/>
      <c r="BT316" s="109"/>
      <c r="BU316" s="109"/>
      <c r="BV316" s="109"/>
      <c r="BW316" s="109"/>
      <c r="BX316" s="109"/>
      <c r="BY316" s="109"/>
      <c r="BZ316" s="109"/>
    </row>
    <row r="317" spans="1:78">
      <c r="A317" s="109"/>
      <c r="B317" s="109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09"/>
      <c r="X317" s="109"/>
      <c r="Y317" s="109"/>
      <c r="Z317" s="109"/>
      <c r="AA317" s="109"/>
      <c r="AB317" s="109"/>
      <c r="AC317" s="109"/>
      <c r="AD317" s="109"/>
      <c r="AE317" s="109"/>
      <c r="AF317" s="109"/>
      <c r="AG317" s="109"/>
      <c r="AH317" s="109"/>
      <c r="AI317" s="109"/>
      <c r="AJ317" s="109"/>
      <c r="AK317" s="109"/>
      <c r="AL317" s="109"/>
      <c r="AM317" s="109"/>
      <c r="AN317" s="109"/>
      <c r="AO317" s="109"/>
      <c r="AP317" s="109"/>
      <c r="AQ317" s="109"/>
      <c r="AR317" s="109"/>
      <c r="AS317" s="109"/>
      <c r="AT317" s="109"/>
      <c r="AU317" s="109"/>
      <c r="AV317" s="109"/>
      <c r="AW317" s="109"/>
      <c r="AX317" s="109"/>
      <c r="AY317" s="109"/>
      <c r="AZ317" s="109"/>
      <c r="BA317" s="109"/>
      <c r="BB317" s="109"/>
      <c r="BC317" s="109"/>
      <c r="BD317" s="109"/>
      <c r="BE317" s="109"/>
      <c r="BF317" s="109"/>
      <c r="BG317" s="109"/>
      <c r="BH317" s="109"/>
      <c r="BI317" s="109"/>
      <c r="BJ317" s="109"/>
      <c r="BK317" s="109"/>
      <c r="BL317" s="109"/>
      <c r="BM317" s="109"/>
      <c r="BN317" s="109"/>
      <c r="BO317" s="109"/>
      <c r="BP317" s="109"/>
      <c r="BQ317" s="109"/>
      <c r="BR317" s="109"/>
      <c r="BS317" s="109"/>
      <c r="BT317" s="109"/>
      <c r="BU317" s="109"/>
      <c r="BV317" s="109"/>
      <c r="BW317" s="109"/>
      <c r="BX317" s="109"/>
      <c r="BY317" s="109"/>
      <c r="BZ317" s="109"/>
    </row>
    <row r="318" spans="1:78">
      <c r="A318" s="109"/>
      <c r="B318" s="109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  <c r="Y318" s="109"/>
      <c r="Z318" s="109"/>
      <c r="AA318" s="109"/>
      <c r="AB318" s="109"/>
      <c r="AC318" s="109"/>
      <c r="AD318" s="109"/>
      <c r="AE318" s="109"/>
      <c r="AF318" s="109"/>
      <c r="AG318" s="109"/>
      <c r="AH318" s="109"/>
      <c r="AI318" s="109"/>
      <c r="AJ318" s="109"/>
      <c r="AK318" s="109"/>
      <c r="AL318" s="109"/>
      <c r="AM318" s="109"/>
      <c r="AN318" s="109"/>
      <c r="AO318" s="109"/>
      <c r="AP318" s="109"/>
      <c r="AQ318" s="109"/>
      <c r="AR318" s="109"/>
      <c r="AS318" s="109"/>
      <c r="AT318" s="109"/>
      <c r="AU318" s="109"/>
      <c r="AV318" s="109"/>
      <c r="AW318" s="109"/>
      <c r="AX318" s="109"/>
      <c r="AY318" s="109"/>
      <c r="AZ318" s="109"/>
      <c r="BA318" s="109"/>
      <c r="BB318" s="109"/>
      <c r="BC318" s="109"/>
      <c r="BD318" s="109"/>
      <c r="BE318" s="109"/>
      <c r="BF318" s="109"/>
      <c r="BG318" s="109"/>
      <c r="BH318" s="109"/>
      <c r="BI318" s="109"/>
      <c r="BJ318" s="109"/>
      <c r="BK318" s="109"/>
      <c r="BL318" s="109"/>
      <c r="BM318" s="109"/>
      <c r="BN318" s="109"/>
      <c r="BO318" s="109"/>
      <c r="BP318" s="109"/>
      <c r="BQ318" s="109"/>
      <c r="BR318" s="109"/>
      <c r="BS318" s="109"/>
      <c r="BT318" s="109"/>
      <c r="BU318" s="109"/>
      <c r="BV318" s="109"/>
      <c r="BW318" s="109"/>
      <c r="BX318" s="109"/>
      <c r="BY318" s="109"/>
      <c r="BZ318" s="109"/>
    </row>
    <row r="319" spans="1:78">
      <c r="A319" s="109"/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  <c r="Y319" s="109"/>
      <c r="Z319" s="109"/>
      <c r="AA319" s="109"/>
      <c r="AB319" s="109"/>
      <c r="AC319" s="109"/>
      <c r="AD319" s="109"/>
      <c r="AE319" s="109"/>
      <c r="AF319" s="109"/>
      <c r="AG319" s="109"/>
      <c r="AH319" s="109"/>
      <c r="AI319" s="109"/>
      <c r="AJ319" s="109"/>
      <c r="AK319" s="109"/>
      <c r="AL319" s="109"/>
      <c r="AM319" s="109"/>
      <c r="AN319" s="109"/>
      <c r="AO319" s="109"/>
      <c r="AP319" s="109"/>
      <c r="AQ319" s="109"/>
      <c r="AR319" s="109"/>
      <c r="AS319" s="109"/>
      <c r="AT319" s="109"/>
      <c r="AU319" s="109"/>
      <c r="AV319" s="109"/>
      <c r="AW319" s="109"/>
      <c r="AX319" s="109"/>
      <c r="AY319" s="109"/>
      <c r="AZ319" s="109"/>
      <c r="BA319" s="109"/>
      <c r="BB319" s="109"/>
      <c r="BC319" s="109"/>
      <c r="BD319" s="109"/>
      <c r="BE319" s="109"/>
      <c r="BF319" s="109"/>
      <c r="BG319" s="109"/>
      <c r="BH319" s="109"/>
      <c r="BI319" s="109"/>
      <c r="BJ319" s="109"/>
      <c r="BK319" s="109"/>
      <c r="BL319" s="109"/>
      <c r="BM319" s="109"/>
      <c r="BN319" s="109"/>
      <c r="BO319" s="109"/>
      <c r="BP319" s="109"/>
      <c r="BQ319" s="109"/>
      <c r="BR319" s="109"/>
      <c r="BS319" s="109"/>
      <c r="BT319" s="109"/>
      <c r="BU319" s="109"/>
      <c r="BV319" s="109"/>
      <c r="BW319" s="109"/>
      <c r="BX319" s="109"/>
      <c r="BY319" s="109"/>
      <c r="BZ319" s="109"/>
    </row>
    <row r="320" spans="1:78">
      <c r="A320" s="109"/>
      <c r="B320" s="109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  <c r="Y320" s="109"/>
      <c r="Z320" s="109"/>
      <c r="AA320" s="109"/>
      <c r="AB320" s="109"/>
      <c r="AC320" s="109"/>
      <c r="AD320" s="109"/>
      <c r="AE320" s="109"/>
      <c r="AF320" s="109"/>
      <c r="AG320" s="109"/>
      <c r="AH320" s="109"/>
      <c r="AI320" s="109"/>
      <c r="AJ320" s="109"/>
      <c r="AK320" s="109"/>
      <c r="AL320" s="109"/>
      <c r="AM320" s="109"/>
      <c r="AN320" s="109"/>
      <c r="AO320" s="109"/>
      <c r="AP320" s="109"/>
      <c r="AQ320" s="109"/>
      <c r="AR320" s="109"/>
      <c r="AS320" s="109"/>
      <c r="AT320" s="109"/>
      <c r="AU320" s="109"/>
      <c r="AV320" s="109"/>
      <c r="AW320" s="109"/>
      <c r="AX320" s="109"/>
      <c r="AY320" s="109"/>
      <c r="AZ320" s="109"/>
      <c r="BA320" s="109"/>
      <c r="BB320" s="109"/>
      <c r="BC320" s="109"/>
      <c r="BD320" s="109"/>
      <c r="BE320" s="109"/>
      <c r="BF320" s="109"/>
      <c r="BG320" s="109"/>
      <c r="BH320" s="109"/>
      <c r="BI320" s="109"/>
      <c r="BJ320" s="109"/>
      <c r="BK320" s="109"/>
      <c r="BL320" s="109"/>
      <c r="BM320" s="109"/>
      <c r="BN320" s="109"/>
      <c r="BO320" s="109"/>
      <c r="BP320" s="109"/>
      <c r="BQ320" s="109"/>
      <c r="BR320" s="109"/>
      <c r="BS320" s="109"/>
      <c r="BT320" s="109"/>
      <c r="BU320" s="109"/>
      <c r="BV320" s="109"/>
      <c r="BW320" s="109"/>
      <c r="BX320" s="109"/>
      <c r="BY320" s="109"/>
      <c r="BZ320" s="109"/>
    </row>
    <row r="321" spans="1:78">
      <c r="A321" s="109"/>
      <c r="B321" s="109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  <c r="Y321" s="109"/>
      <c r="Z321" s="109"/>
      <c r="AA321" s="109"/>
      <c r="AB321" s="109"/>
      <c r="AC321" s="109"/>
      <c r="AD321" s="109"/>
      <c r="AE321" s="109"/>
      <c r="AF321" s="109"/>
      <c r="AG321" s="109"/>
      <c r="AH321" s="109"/>
      <c r="AI321" s="109"/>
      <c r="AJ321" s="109"/>
      <c r="AK321" s="109"/>
      <c r="AL321" s="109"/>
      <c r="AM321" s="109"/>
      <c r="AN321" s="109"/>
      <c r="AO321" s="109"/>
      <c r="AP321" s="109"/>
      <c r="AQ321" s="109"/>
      <c r="AR321" s="109"/>
      <c r="AS321" s="109"/>
      <c r="AT321" s="109"/>
      <c r="AU321" s="109"/>
      <c r="AV321" s="109"/>
      <c r="AW321" s="109"/>
      <c r="AX321" s="109"/>
      <c r="AY321" s="109"/>
      <c r="AZ321" s="109"/>
      <c r="BA321" s="109"/>
      <c r="BB321" s="109"/>
      <c r="BC321" s="109"/>
      <c r="BD321" s="109"/>
      <c r="BE321" s="109"/>
      <c r="BF321" s="109"/>
      <c r="BG321" s="109"/>
      <c r="BH321" s="109"/>
      <c r="BI321" s="109"/>
      <c r="BJ321" s="109"/>
      <c r="BK321" s="109"/>
      <c r="BL321" s="109"/>
      <c r="BM321" s="109"/>
      <c r="BN321" s="109"/>
      <c r="BO321" s="109"/>
      <c r="BP321" s="109"/>
      <c r="BQ321" s="109"/>
      <c r="BR321" s="109"/>
      <c r="BS321" s="109"/>
      <c r="BT321" s="109"/>
      <c r="BU321" s="109"/>
      <c r="BV321" s="109"/>
      <c r="BW321" s="109"/>
      <c r="BX321" s="109"/>
      <c r="BY321" s="109"/>
      <c r="BZ321" s="109"/>
    </row>
    <row r="322" spans="1:78">
      <c r="A322" s="109"/>
      <c r="B322" s="109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  <c r="X322" s="109"/>
      <c r="Y322" s="109"/>
      <c r="Z322" s="109"/>
      <c r="AA322" s="109"/>
      <c r="AB322" s="109"/>
      <c r="AC322" s="109"/>
      <c r="AD322" s="109"/>
      <c r="AE322" s="109"/>
      <c r="AF322" s="109"/>
      <c r="AG322" s="109"/>
      <c r="AH322" s="109"/>
      <c r="AI322" s="109"/>
      <c r="AJ322" s="109"/>
      <c r="AK322" s="109"/>
      <c r="AL322" s="109"/>
      <c r="AM322" s="109"/>
      <c r="AN322" s="109"/>
      <c r="AO322" s="109"/>
      <c r="AP322" s="109"/>
      <c r="AQ322" s="109"/>
      <c r="AR322" s="109"/>
      <c r="AS322" s="109"/>
      <c r="AT322" s="109"/>
      <c r="AU322" s="109"/>
      <c r="AV322" s="109"/>
      <c r="AW322" s="109"/>
      <c r="AX322" s="109"/>
      <c r="AY322" s="109"/>
      <c r="AZ322" s="109"/>
      <c r="BA322" s="109"/>
      <c r="BB322" s="109"/>
      <c r="BC322" s="109"/>
      <c r="BD322" s="109"/>
      <c r="BE322" s="109"/>
      <c r="BF322" s="109"/>
      <c r="BG322" s="109"/>
      <c r="BH322" s="109"/>
      <c r="BI322" s="109"/>
      <c r="BJ322" s="109"/>
      <c r="BK322" s="109"/>
      <c r="BL322" s="109"/>
      <c r="BM322" s="109"/>
      <c r="BN322" s="109"/>
      <c r="BO322" s="109"/>
      <c r="BP322" s="109"/>
      <c r="BQ322" s="109"/>
      <c r="BR322" s="109"/>
      <c r="BS322" s="109"/>
      <c r="BT322" s="109"/>
      <c r="BU322" s="109"/>
      <c r="BV322" s="109"/>
      <c r="BW322" s="109"/>
      <c r="BX322" s="109"/>
      <c r="BY322" s="109"/>
      <c r="BZ322" s="109"/>
    </row>
    <row r="323" spans="1:78">
      <c r="A323" s="109"/>
      <c r="B323" s="109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  <c r="X323" s="109"/>
      <c r="Y323" s="109"/>
      <c r="Z323" s="109"/>
      <c r="AA323" s="109"/>
      <c r="AB323" s="109"/>
      <c r="AC323" s="109"/>
      <c r="AD323" s="109"/>
      <c r="AE323" s="109"/>
      <c r="AF323" s="109"/>
      <c r="AG323" s="109"/>
      <c r="AH323" s="109"/>
      <c r="AI323" s="109"/>
      <c r="AJ323" s="109"/>
      <c r="AK323" s="109"/>
      <c r="AL323" s="109"/>
      <c r="AM323" s="109"/>
      <c r="AN323" s="109"/>
      <c r="AO323" s="109"/>
      <c r="AP323" s="109"/>
      <c r="AQ323" s="109"/>
      <c r="AR323" s="109"/>
      <c r="AS323" s="109"/>
      <c r="AT323" s="109"/>
      <c r="AU323" s="109"/>
      <c r="AV323" s="109"/>
      <c r="AW323" s="109"/>
      <c r="AX323" s="109"/>
      <c r="AY323" s="109"/>
      <c r="AZ323" s="109"/>
      <c r="BA323" s="109"/>
      <c r="BB323" s="109"/>
      <c r="BC323" s="109"/>
      <c r="BD323" s="109"/>
      <c r="BE323" s="109"/>
      <c r="BF323" s="109"/>
      <c r="BG323" s="109"/>
      <c r="BH323" s="109"/>
      <c r="BI323" s="109"/>
      <c r="BJ323" s="109"/>
      <c r="BK323" s="109"/>
      <c r="BL323" s="109"/>
      <c r="BM323" s="109"/>
      <c r="BN323" s="109"/>
      <c r="BO323" s="109"/>
      <c r="BP323" s="109"/>
      <c r="BQ323" s="109"/>
      <c r="BR323" s="109"/>
      <c r="BS323" s="109"/>
      <c r="BT323" s="109"/>
      <c r="BU323" s="109"/>
      <c r="BV323" s="109"/>
      <c r="BW323" s="109"/>
      <c r="BX323" s="109"/>
      <c r="BY323" s="109"/>
      <c r="BZ323" s="109"/>
    </row>
    <row r="324" spans="1:78">
      <c r="A324" s="109"/>
      <c r="B324" s="109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  <c r="AD324" s="109"/>
      <c r="AE324" s="109"/>
      <c r="AF324" s="109"/>
      <c r="AG324" s="109"/>
      <c r="AH324" s="109"/>
      <c r="AI324" s="109"/>
      <c r="AJ324" s="109"/>
      <c r="AK324" s="109"/>
      <c r="AL324" s="109"/>
      <c r="AM324" s="109"/>
      <c r="AN324" s="109"/>
      <c r="AO324" s="109"/>
      <c r="AP324" s="109"/>
      <c r="AQ324" s="109"/>
      <c r="AR324" s="109"/>
      <c r="AS324" s="109"/>
      <c r="AT324" s="109"/>
      <c r="AU324" s="109"/>
      <c r="AV324" s="109"/>
      <c r="AW324" s="109"/>
      <c r="AX324" s="109"/>
      <c r="AY324" s="109"/>
      <c r="AZ324" s="109"/>
      <c r="BA324" s="109"/>
      <c r="BB324" s="109"/>
      <c r="BC324" s="109"/>
      <c r="BD324" s="109"/>
      <c r="BE324" s="109"/>
      <c r="BF324" s="109"/>
      <c r="BG324" s="109"/>
      <c r="BH324" s="109"/>
      <c r="BI324" s="109"/>
      <c r="BJ324" s="109"/>
      <c r="BK324" s="109"/>
      <c r="BL324" s="109"/>
      <c r="BM324" s="109"/>
      <c r="BN324" s="109"/>
      <c r="BO324" s="109"/>
      <c r="BP324" s="109"/>
      <c r="BQ324" s="109"/>
      <c r="BR324" s="109"/>
      <c r="BS324" s="109"/>
      <c r="BT324" s="109"/>
      <c r="BU324" s="109"/>
      <c r="BV324" s="109"/>
      <c r="BW324" s="109"/>
      <c r="BX324" s="109"/>
      <c r="BY324" s="109"/>
      <c r="BZ324" s="109"/>
    </row>
    <row r="325" spans="1:78">
      <c r="A325" s="109"/>
      <c r="B325" s="109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  <c r="AD325" s="109"/>
      <c r="AE325" s="109"/>
      <c r="AF325" s="109"/>
      <c r="AG325" s="109"/>
      <c r="AH325" s="109"/>
      <c r="AI325" s="109"/>
      <c r="AJ325" s="109"/>
      <c r="AK325" s="109"/>
      <c r="AL325" s="109"/>
      <c r="AM325" s="109"/>
      <c r="AN325" s="109"/>
      <c r="AO325" s="109"/>
      <c r="AP325" s="109"/>
      <c r="AQ325" s="109"/>
      <c r="AR325" s="109"/>
      <c r="AS325" s="109"/>
      <c r="AT325" s="109"/>
      <c r="AU325" s="109"/>
      <c r="AV325" s="109"/>
      <c r="AW325" s="109"/>
      <c r="AX325" s="109"/>
      <c r="AY325" s="109"/>
      <c r="AZ325" s="109"/>
      <c r="BA325" s="109"/>
      <c r="BB325" s="109"/>
      <c r="BC325" s="109"/>
      <c r="BD325" s="109"/>
      <c r="BE325" s="109"/>
      <c r="BF325" s="109"/>
      <c r="BG325" s="109"/>
      <c r="BH325" s="109"/>
      <c r="BI325" s="109"/>
      <c r="BJ325" s="109"/>
      <c r="BK325" s="109"/>
      <c r="BL325" s="109"/>
      <c r="BM325" s="109"/>
      <c r="BN325" s="109"/>
      <c r="BO325" s="109"/>
      <c r="BP325" s="109"/>
      <c r="BQ325" s="109"/>
      <c r="BR325" s="109"/>
      <c r="BS325" s="109"/>
      <c r="BT325" s="109"/>
      <c r="BU325" s="109"/>
      <c r="BV325" s="109"/>
      <c r="BW325" s="109"/>
      <c r="BX325" s="109"/>
      <c r="BY325" s="109"/>
      <c r="BZ325" s="109"/>
    </row>
    <row r="326" spans="1:78">
      <c r="A326" s="109"/>
      <c r="B326" s="109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109"/>
      <c r="X326" s="109"/>
      <c r="Y326" s="109"/>
      <c r="Z326" s="109"/>
      <c r="AA326" s="109"/>
      <c r="AB326" s="109"/>
      <c r="AC326" s="109"/>
      <c r="AD326" s="109"/>
      <c r="AE326" s="109"/>
      <c r="AF326" s="109"/>
      <c r="AG326" s="109"/>
      <c r="AH326" s="109"/>
      <c r="AI326" s="109"/>
      <c r="AJ326" s="109"/>
      <c r="AK326" s="109"/>
      <c r="AL326" s="109"/>
      <c r="AM326" s="109"/>
      <c r="AN326" s="109"/>
      <c r="AO326" s="109"/>
      <c r="AP326" s="109"/>
      <c r="AQ326" s="109"/>
      <c r="AR326" s="109"/>
      <c r="AS326" s="109"/>
      <c r="AT326" s="109"/>
      <c r="AU326" s="109"/>
      <c r="AV326" s="109"/>
      <c r="AW326" s="109"/>
      <c r="AX326" s="109"/>
      <c r="AY326" s="109"/>
      <c r="AZ326" s="109"/>
      <c r="BA326" s="109"/>
      <c r="BB326" s="109"/>
      <c r="BC326" s="109"/>
      <c r="BD326" s="109"/>
      <c r="BE326" s="109"/>
      <c r="BF326" s="109"/>
      <c r="BG326" s="109"/>
      <c r="BH326" s="109"/>
      <c r="BI326" s="109"/>
      <c r="BJ326" s="109"/>
      <c r="BK326" s="109"/>
      <c r="BL326" s="109"/>
      <c r="BM326" s="109"/>
      <c r="BN326" s="109"/>
      <c r="BO326" s="109"/>
      <c r="BP326" s="109"/>
      <c r="BQ326" s="109"/>
      <c r="BR326" s="109"/>
      <c r="BS326" s="109"/>
      <c r="BT326" s="109"/>
      <c r="BU326" s="109"/>
      <c r="BV326" s="109"/>
      <c r="BW326" s="109"/>
      <c r="BX326" s="109"/>
      <c r="BY326" s="109"/>
      <c r="BZ326" s="109"/>
    </row>
    <row r="327" spans="1:78">
      <c r="A327" s="109"/>
      <c r="B327" s="109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  <c r="Y327" s="109"/>
      <c r="Z327" s="109"/>
      <c r="AA327" s="109"/>
      <c r="AB327" s="109"/>
      <c r="AC327" s="109"/>
      <c r="AD327" s="109"/>
      <c r="AE327" s="109"/>
      <c r="AF327" s="109"/>
      <c r="AG327" s="109"/>
      <c r="AH327" s="109"/>
      <c r="AI327" s="109"/>
      <c r="AJ327" s="109"/>
      <c r="AK327" s="109"/>
      <c r="AL327" s="109"/>
      <c r="AM327" s="109"/>
      <c r="AN327" s="109"/>
      <c r="AO327" s="109"/>
      <c r="AP327" s="109"/>
      <c r="AQ327" s="109"/>
      <c r="AR327" s="109"/>
      <c r="AS327" s="109"/>
      <c r="AT327" s="109"/>
      <c r="AU327" s="109"/>
      <c r="AV327" s="109"/>
      <c r="AW327" s="109"/>
      <c r="AX327" s="109"/>
      <c r="AY327" s="109"/>
      <c r="AZ327" s="109"/>
      <c r="BA327" s="109"/>
      <c r="BB327" s="109"/>
      <c r="BC327" s="109"/>
      <c r="BD327" s="109"/>
      <c r="BE327" s="109"/>
      <c r="BF327" s="109"/>
      <c r="BG327" s="109"/>
      <c r="BH327" s="109"/>
      <c r="BI327" s="109"/>
      <c r="BJ327" s="109"/>
      <c r="BK327" s="109"/>
      <c r="BL327" s="109"/>
      <c r="BM327" s="109"/>
      <c r="BN327" s="109"/>
      <c r="BO327" s="109"/>
      <c r="BP327" s="109"/>
      <c r="BQ327" s="109"/>
      <c r="BR327" s="109"/>
      <c r="BS327" s="109"/>
      <c r="BT327" s="109"/>
      <c r="BU327" s="109"/>
      <c r="BV327" s="109"/>
      <c r="BW327" s="109"/>
      <c r="BX327" s="109"/>
      <c r="BY327" s="109"/>
      <c r="BZ327" s="109"/>
    </row>
    <row r="328" spans="1:78">
      <c r="A328" s="109"/>
      <c r="B328" s="109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  <c r="Y328" s="109"/>
      <c r="Z328" s="109"/>
      <c r="AA328" s="109"/>
      <c r="AB328" s="109"/>
      <c r="AC328" s="109"/>
      <c r="AD328" s="109"/>
      <c r="AE328" s="109"/>
      <c r="AF328" s="109"/>
      <c r="AG328" s="109"/>
      <c r="AH328" s="109"/>
      <c r="AI328" s="109"/>
      <c r="AJ328" s="109"/>
      <c r="AK328" s="109"/>
      <c r="AL328" s="109"/>
      <c r="AM328" s="109"/>
      <c r="AN328" s="109"/>
      <c r="AO328" s="109"/>
      <c r="AP328" s="109"/>
      <c r="AQ328" s="109"/>
      <c r="AR328" s="109"/>
      <c r="AS328" s="109"/>
      <c r="AT328" s="109"/>
      <c r="AU328" s="109"/>
      <c r="AV328" s="109"/>
      <c r="AW328" s="109"/>
      <c r="AX328" s="109"/>
      <c r="AY328" s="109"/>
      <c r="AZ328" s="109"/>
      <c r="BA328" s="109"/>
      <c r="BB328" s="109"/>
      <c r="BC328" s="109"/>
      <c r="BD328" s="109"/>
      <c r="BE328" s="109"/>
      <c r="BF328" s="109"/>
      <c r="BG328" s="109"/>
      <c r="BH328" s="109"/>
      <c r="BI328" s="109"/>
      <c r="BJ328" s="109"/>
      <c r="BK328" s="109"/>
      <c r="BL328" s="109"/>
      <c r="BM328" s="109"/>
      <c r="BN328" s="109"/>
      <c r="BO328" s="109"/>
      <c r="BP328" s="109"/>
      <c r="BQ328" s="109"/>
      <c r="BR328" s="109"/>
      <c r="BS328" s="109"/>
      <c r="BT328" s="109"/>
      <c r="BU328" s="109"/>
      <c r="BV328" s="109"/>
      <c r="BW328" s="109"/>
      <c r="BX328" s="109"/>
      <c r="BY328" s="109"/>
      <c r="BZ328" s="109"/>
    </row>
    <row r="329" spans="1:78">
      <c r="A329" s="109"/>
      <c r="B329" s="109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  <c r="Y329" s="109"/>
      <c r="Z329" s="109"/>
      <c r="AA329" s="109"/>
      <c r="AB329" s="109"/>
      <c r="AC329" s="109"/>
      <c r="AD329" s="109"/>
      <c r="AE329" s="109"/>
      <c r="AF329" s="109"/>
      <c r="AG329" s="109"/>
      <c r="AH329" s="109"/>
      <c r="AI329" s="109"/>
      <c r="AJ329" s="109"/>
      <c r="AK329" s="109"/>
      <c r="AL329" s="109"/>
      <c r="AM329" s="109"/>
      <c r="AN329" s="109"/>
      <c r="AO329" s="109"/>
      <c r="AP329" s="109"/>
      <c r="AQ329" s="109"/>
      <c r="AR329" s="109"/>
      <c r="AS329" s="109"/>
      <c r="AT329" s="109"/>
      <c r="AU329" s="109"/>
      <c r="AV329" s="109"/>
      <c r="AW329" s="109"/>
      <c r="AX329" s="109"/>
      <c r="AY329" s="109"/>
      <c r="AZ329" s="109"/>
      <c r="BA329" s="109"/>
      <c r="BB329" s="109"/>
      <c r="BC329" s="109"/>
      <c r="BD329" s="109"/>
      <c r="BE329" s="109"/>
      <c r="BF329" s="109"/>
      <c r="BG329" s="109"/>
      <c r="BH329" s="109"/>
      <c r="BI329" s="109"/>
      <c r="BJ329" s="109"/>
      <c r="BK329" s="109"/>
      <c r="BL329" s="109"/>
      <c r="BM329" s="109"/>
      <c r="BN329" s="109"/>
      <c r="BO329" s="109"/>
      <c r="BP329" s="109"/>
      <c r="BQ329" s="109"/>
      <c r="BR329" s="109"/>
      <c r="BS329" s="109"/>
      <c r="BT329" s="109"/>
      <c r="BU329" s="109"/>
      <c r="BV329" s="109"/>
      <c r="BW329" s="109"/>
      <c r="BX329" s="109"/>
      <c r="BY329" s="109"/>
      <c r="BZ329" s="109"/>
    </row>
    <row r="330" spans="1:78">
      <c r="A330" s="109"/>
      <c r="B330" s="109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  <c r="Y330" s="109"/>
      <c r="Z330" s="109"/>
      <c r="AA330" s="109"/>
      <c r="AB330" s="109"/>
      <c r="AC330" s="109"/>
      <c r="AD330" s="109"/>
      <c r="AE330" s="109"/>
      <c r="AF330" s="109"/>
      <c r="AG330" s="109"/>
      <c r="AH330" s="109"/>
      <c r="AI330" s="109"/>
      <c r="AJ330" s="109"/>
      <c r="AK330" s="109"/>
      <c r="AL330" s="109"/>
      <c r="AM330" s="109"/>
      <c r="AN330" s="109"/>
      <c r="AO330" s="109"/>
      <c r="AP330" s="109"/>
      <c r="AQ330" s="109"/>
      <c r="AR330" s="109"/>
      <c r="AS330" s="109"/>
      <c r="AT330" s="109"/>
      <c r="AU330" s="109"/>
      <c r="AV330" s="109"/>
      <c r="AW330" s="109"/>
      <c r="AX330" s="109"/>
      <c r="AY330" s="109"/>
      <c r="AZ330" s="109"/>
      <c r="BA330" s="109"/>
      <c r="BB330" s="109"/>
      <c r="BC330" s="109"/>
      <c r="BD330" s="109"/>
      <c r="BE330" s="109"/>
      <c r="BF330" s="109"/>
      <c r="BG330" s="109"/>
      <c r="BH330" s="109"/>
      <c r="BI330" s="109"/>
      <c r="BJ330" s="109"/>
      <c r="BK330" s="109"/>
      <c r="BL330" s="109"/>
      <c r="BM330" s="109"/>
      <c r="BN330" s="109"/>
      <c r="BO330" s="109"/>
      <c r="BP330" s="109"/>
      <c r="BQ330" s="109"/>
      <c r="BR330" s="109"/>
      <c r="BS330" s="109"/>
      <c r="BT330" s="109"/>
      <c r="BU330" s="109"/>
      <c r="BV330" s="109"/>
      <c r="BW330" s="109"/>
      <c r="BX330" s="109"/>
      <c r="BY330" s="109"/>
      <c r="BZ330" s="109"/>
    </row>
    <row r="331" spans="1:78">
      <c r="A331" s="109"/>
      <c r="B331" s="109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  <c r="Z331" s="109"/>
      <c r="AA331" s="109"/>
      <c r="AB331" s="109"/>
      <c r="AC331" s="109"/>
      <c r="AD331" s="109"/>
      <c r="AE331" s="109"/>
      <c r="AF331" s="109"/>
      <c r="AG331" s="109"/>
      <c r="AH331" s="109"/>
      <c r="AI331" s="109"/>
      <c r="AJ331" s="109"/>
      <c r="AK331" s="109"/>
      <c r="AL331" s="109"/>
      <c r="AM331" s="109"/>
      <c r="AN331" s="109"/>
      <c r="AO331" s="109"/>
      <c r="AP331" s="109"/>
      <c r="AQ331" s="109"/>
      <c r="AR331" s="109"/>
      <c r="AS331" s="109"/>
      <c r="AT331" s="109"/>
      <c r="AU331" s="109"/>
      <c r="AV331" s="109"/>
      <c r="AW331" s="109"/>
      <c r="AX331" s="109"/>
      <c r="AY331" s="109"/>
      <c r="AZ331" s="109"/>
      <c r="BA331" s="109"/>
      <c r="BB331" s="109"/>
      <c r="BC331" s="109"/>
      <c r="BD331" s="109"/>
      <c r="BE331" s="109"/>
      <c r="BF331" s="109"/>
      <c r="BG331" s="109"/>
      <c r="BH331" s="109"/>
      <c r="BI331" s="109"/>
      <c r="BJ331" s="109"/>
      <c r="BK331" s="109"/>
      <c r="BL331" s="109"/>
      <c r="BM331" s="109"/>
      <c r="BN331" s="109"/>
      <c r="BO331" s="109"/>
      <c r="BP331" s="109"/>
      <c r="BQ331" s="109"/>
      <c r="BR331" s="109"/>
      <c r="BS331" s="109"/>
      <c r="BT331" s="109"/>
      <c r="BU331" s="109"/>
      <c r="BV331" s="109"/>
      <c r="BW331" s="109"/>
      <c r="BX331" s="109"/>
      <c r="BY331" s="109"/>
      <c r="BZ331" s="109"/>
    </row>
    <row r="332" spans="1:78">
      <c r="A332" s="109"/>
      <c r="B332" s="109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  <c r="Z332" s="109"/>
      <c r="AA332" s="109"/>
      <c r="AB332" s="109"/>
      <c r="AC332" s="109"/>
      <c r="AD332" s="109"/>
      <c r="AE332" s="109"/>
      <c r="AF332" s="109"/>
      <c r="AG332" s="109"/>
      <c r="AH332" s="109"/>
      <c r="AI332" s="109"/>
      <c r="AJ332" s="109"/>
      <c r="AK332" s="109"/>
      <c r="AL332" s="109"/>
      <c r="AM332" s="109"/>
      <c r="AN332" s="109"/>
      <c r="AO332" s="109"/>
      <c r="AP332" s="109"/>
      <c r="AQ332" s="109"/>
      <c r="AR332" s="109"/>
      <c r="AS332" s="109"/>
      <c r="AT332" s="109"/>
      <c r="AU332" s="109"/>
      <c r="AV332" s="109"/>
      <c r="AW332" s="109"/>
      <c r="AX332" s="109"/>
      <c r="AY332" s="109"/>
      <c r="AZ332" s="109"/>
      <c r="BA332" s="109"/>
      <c r="BB332" s="109"/>
      <c r="BC332" s="109"/>
      <c r="BD332" s="109"/>
      <c r="BE332" s="109"/>
      <c r="BF332" s="109"/>
      <c r="BG332" s="109"/>
      <c r="BH332" s="109"/>
      <c r="BI332" s="109"/>
      <c r="BJ332" s="109"/>
      <c r="BK332" s="109"/>
      <c r="BL332" s="109"/>
      <c r="BM332" s="109"/>
      <c r="BN332" s="109"/>
      <c r="BO332" s="109"/>
      <c r="BP332" s="109"/>
      <c r="BQ332" s="109"/>
      <c r="BR332" s="109"/>
      <c r="BS332" s="109"/>
      <c r="BT332" s="109"/>
      <c r="BU332" s="109"/>
      <c r="BV332" s="109"/>
      <c r="BW332" s="109"/>
      <c r="BX332" s="109"/>
      <c r="BY332" s="109"/>
      <c r="BZ332" s="109"/>
    </row>
    <row r="333" spans="1:78">
      <c r="A333" s="109"/>
      <c r="B333" s="109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  <c r="Y333" s="109"/>
      <c r="Z333" s="109"/>
      <c r="AA333" s="109"/>
      <c r="AB333" s="109"/>
      <c r="AC333" s="109"/>
      <c r="AD333" s="109"/>
      <c r="AE333" s="109"/>
      <c r="AF333" s="109"/>
      <c r="AG333" s="109"/>
      <c r="AH333" s="109"/>
      <c r="AI333" s="109"/>
      <c r="AJ333" s="109"/>
      <c r="AK333" s="109"/>
      <c r="AL333" s="109"/>
      <c r="AM333" s="109"/>
      <c r="AN333" s="109"/>
      <c r="AO333" s="109"/>
      <c r="AP333" s="109"/>
      <c r="AQ333" s="109"/>
      <c r="AR333" s="109"/>
      <c r="AS333" s="109"/>
      <c r="AT333" s="109"/>
      <c r="AU333" s="109"/>
      <c r="AV333" s="109"/>
      <c r="AW333" s="109"/>
      <c r="AX333" s="109"/>
      <c r="AY333" s="109"/>
      <c r="AZ333" s="109"/>
      <c r="BA333" s="109"/>
      <c r="BB333" s="109"/>
      <c r="BC333" s="109"/>
      <c r="BD333" s="109"/>
      <c r="BE333" s="109"/>
      <c r="BF333" s="109"/>
      <c r="BG333" s="109"/>
      <c r="BH333" s="109"/>
      <c r="BI333" s="109"/>
      <c r="BJ333" s="109"/>
      <c r="BK333" s="109"/>
      <c r="BL333" s="109"/>
      <c r="BM333" s="109"/>
      <c r="BN333" s="109"/>
      <c r="BO333" s="109"/>
      <c r="BP333" s="109"/>
      <c r="BQ333" s="109"/>
      <c r="BR333" s="109"/>
      <c r="BS333" s="109"/>
      <c r="BT333" s="109"/>
      <c r="BU333" s="109"/>
      <c r="BV333" s="109"/>
      <c r="BW333" s="109"/>
      <c r="BX333" s="109"/>
      <c r="BY333" s="109"/>
      <c r="BZ333" s="109"/>
    </row>
    <row r="334" spans="1:78">
      <c r="A334" s="109"/>
      <c r="B334" s="109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  <c r="Y334" s="109"/>
      <c r="Z334" s="109"/>
      <c r="AA334" s="109"/>
      <c r="AB334" s="109"/>
      <c r="AC334" s="109"/>
      <c r="AD334" s="109"/>
      <c r="AE334" s="109"/>
      <c r="AF334" s="109"/>
      <c r="AG334" s="109"/>
      <c r="AH334" s="109"/>
      <c r="AI334" s="109"/>
      <c r="AJ334" s="109"/>
      <c r="AK334" s="109"/>
      <c r="AL334" s="109"/>
      <c r="AM334" s="109"/>
      <c r="AN334" s="109"/>
      <c r="AO334" s="109"/>
      <c r="AP334" s="109"/>
      <c r="AQ334" s="109"/>
      <c r="AR334" s="109"/>
      <c r="AS334" s="109"/>
      <c r="AT334" s="109"/>
      <c r="AU334" s="109"/>
      <c r="AV334" s="109"/>
      <c r="AW334" s="109"/>
      <c r="AX334" s="109"/>
      <c r="AY334" s="109"/>
      <c r="AZ334" s="109"/>
      <c r="BA334" s="109"/>
      <c r="BB334" s="109"/>
      <c r="BC334" s="109"/>
      <c r="BD334" s="109"/>
      <c r="BE334" s="109"/>
      <c r="BF334" s="109"/>
      <c r="BG334" s="109"/>
      <c r="BH334" s="109"/>
      <c r="BI334" s="109"/>
      <c r="BJ334" s="109"/>
      <c r="BK334" s="109"/>
      <c r="BL334" s="109"/>
      <c r="BM334" s="109"/>
      <c r="BN334" s="109"/>
      <c r="BO334" s="109"/>
      <c r="BP334" s="109"/>
      <c r="BQ334" s="109"/>
      <c r="BR334" s="109"/>
      <c r="BS334" s="109"/>
      <c r="BT334" s="109"/>
      <c r="BU334" s="109"/>
      <c r="BV334" s="109"/>
      <c r="BW334" s="109"/>
      <c r="BX334" s="109"/>
      <c r="BY334" s="109"/>
      <c r="BZ334" s="109"/>
    </row>
    <row r="335" spans="1:78">
      <c r="A335" s="109"/>
      <c r="B335" s="109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  <c r="Y335" s="109"/>
      <c r="Z335" s="109"/>
      <c r="AA335" s="109"/>
      <c r="AB335" s="109"/>
      <c r="AC335" s="109"/>
      <c r="AD335" s="109"/>
      <c r="AE335" s="109"/>
      <c r="AF335" s="109"/>
      <c r="AG335" s="109"/>
      <c r="AH335" s="109"/>
      <c r="AI335" s="109"/>
      <c r="AJ335" s="109"/>
      <c r="AK335" s="109"/>
      <c r="AL335" s="109"/>
      <c r="AM335" s="109"/>
      <c r="AN335" s="109"/>
      <c r="AO335" s="109"/>
      <c r="AP335" s="109"/>
      <c r="AQ335" s="109"/>
      <c r="AR335" s="109"/>
      <c r="AS335" s="109"/>
      <c r="AT335" s="109"/>
      <c r="AU335" s="109"/>
      <c r="AV335" s="109"/>
      <c r="AW335" s="109"/>
      <c r="AX335" s="109"/>
      <c r="AY335" s="109"/>
      <c r="AZ335" s="109"/>
      <c r="BA335" s="109"/>
      <c r="BB335" s="109"/>
      <c r="BC335" s="109"/>
      <c r="BD335" s="109"/>
      <c r="BE335" s="109"/>
      <c r="BF335" s="109"/>
      <c r="BG335" s="109"/>
      <c r="BH335" s="109"/>
      <c r="BI335" s="109"/>
      <c r="BJ335" s="109"/>
      <c r="BK335" s="109"/>
      <c r="BL335" s="109"/>
      <c r="BM335" s="109"/>
      <c r="BN335" s="109"/>
      <c r="BO335" s="109"/>
      <c r="BP335" s="109"/>
      <c r="BQ335" s="109"/>
      <c r="BR335" s="109"/>
      <c r="BS335" s="109"/>
      <c r="BT335" s="109"/>
      <c r="BU335" s="109"/>
      <c r="BV335" s="109"/>
      <c r="BW335" s="109"/>
      <c r="BX335" s="109"/>
      <c r="BY335" s="109"/>
      <c r="BZ335" s="109"/>
    </row>
    <row r="336" spans="1:78">
      <c r="A336" s="109"/>
      <c r="B336" s="109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  <c r="Y336" s="109"/>
      <c r="Z336" s="109"/>
      <c r="AA336" s="109"/>
      <c r="AB336" s="109"/>
      <c r="AC336" s="109"/>
      <c r="AD336" s="109"/>
      <c r="AE336" s="109"/>
      <c r="AF336" s="109"/>
      <c r="AG336" s="109"/>
      <c r="AH336" s="109"/>
      <c r="AI336" s="109"/>
      <c r="AJ336" s="109"/>
      <c r="AK336" s="109"/>
      <c r="AL336" s="109"/>
      <c r="AM336" s="109"/>
      <c r="AN336" s="109"/>
      <c r="AO336" s="109"/>
      <c r="AP336" s="109"/>
      <c r="AQ336" s="109"/>
      <c r="AR336" s="109"/>
      <c r="AS336" s="109"/>
      <c r="AT336" s="109"/>
      <c r="AU336" s="109"/>
      <c r="AV336" s="109"/>
      <c r="AW336" s="109"/>
      <c r="AX336" s="109"/>
      <c r="AY336" s="109"/>
      <c r="AZ336" s="109"/>
      <c r="BA336" s="109"/>
      <c r="BB336" s="109"/>
      <c r="BC336" s="109"/>
      <c r="BD336" s="109"/>
      <c r="BE336" s="109"/>
      <c r="BF336" s="109"/>
      <c r="BG336" s="109"/>
      <c r="BH336" s="109"/>
      <c r="BI336" s="109"/>
      <c r="BJ336" s="109"/>
      <c r="BK336" s="109"/>
      <c r="BL336" s="109"/>
      <c r="BM336" s="109"/>
      <c r="BN336" s="109"/>
      <c r="BO336" s="109"/>
      <c r="BP336" s="109"/>
      <c r="BQ336" s="109"/>
      <c r="BR336" s="109"/>
      <c r="BS336" s="109"/>
      <c r="BT336" s="109"/>
      <c r="BU336" s="109"/>
      <c r="BV336" s="109"/>
      <c r="BW336" s="109"/>
      <c r="BX336" s="109"/>
      <c r="BY336" s="109"/>
      <c r="BZ336" s="109"/>
    </row>
    <row r="337" spans="1:78">
      <c r="A337" s="109"/>
      <c r="B337" s="109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  <c r="Y337" s="109"/>
      <c r="Z337" s="109"/>
      <c r="AA337" s="109"/>
      <c r="AB337" s="109"/>
      <c r="AC337" s="109"/>
      <c r="AD337" s="109"/>
      <c r="AE337" s="109"/>
      <c r="AF337" s="109"/>
      <c r="AG337" s="109"/>
      <c r="AH337" s="109"/>
      <c r="AI337" s="109"/>
      <c r="AJ337" s="109"/>
      <c r="AK337" s="109"/>
      <c r="AL337" s="109"/>
      <c r="AM337" s="109"/>
      <c r="AN337" s="109"/>
      <c r="AO337" s="109"/>
      <c r="AP337" s="109"/>
      <c r="AQ337" s="109"/>
      <c r="AR337" s="109"/>
      <c r="AS337" s="109"/>
      <c r="AT337" s="109"/>
      <c r="AU337" s="109"/>
      <c r="AV337" s="109"/>
      <c r="AW337" s="109"/>
      <c r="AX337" s="109"/>
      <c r="AY337" s="109"/>
      <c r="AZ337" s="109"/>
      <c r="BA337" s="109"/>
      <c r="BB337" s="109"/>
      <c r="BC337" s="109"/>
      <c r="BD337" s="109"/>
      <c r="BE337" s="109"/>
      <c r="BF337" s="109"/>
      <c r="BG337" s="109"/>
      <c r="BH337" s="109"/>
      <c r="BI337" s="109"/>
      <c r="BJ337" s="109"/>
      <c r="BK337" s="109"/>
      <c r="BL337" s="109"/>
      <c r="BM337" s="109"/>
      <c r="BN337" s="109"/>
      <c r="BO337" s="109"/>
      <c r="BP337" s="109"/>
      <c r="BQ337" s="109"/>
      <c r="BR337" s="109"/>
      <c r="BS337" s="109"/>
      <c r="BT337" s="109"/>
      <c r="BU337" s="109"/>
      <c r="BV337" s="109"/>
      <c r="BW337" s="109"/>
      <c r="BX337" s="109"/>
      <c r="BY337" s="109"/>
      <c r="BZ337" s="109"/>
    </row>
    <row r="338" spans="1:78">
      <c r="A338" s="109"/>
      <c r="B338" s="109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  <c r="Y338" s="109"/>
      <c r="Z338" s="109"/>
      <c r="AA338" s="109"/>
      <c r="AB338" s="109"/>
      <c r="AC338" s="109"/>
      <c r="AD338" s="109"/>
      <c r="AE338" s="109"/>
      <c r="AF338" s="109"/>
      <c r="AG338" s="109"/>
      <c r="AH338" s="109"/>
      <c r="AI338" s="109"/>
      <c r="AJ338" s="109"/>
      <c r="AK338" s="109"/>
      <c r="AL338" s="109"/>
      <c r="AM338" s="109"/>
      <c r="AN338" s="109"/>
      <c r="AO338" s="109"/>
      <c r="AP338" s="109"/>
      <c r="AQ338" s="109"/>
      <c r="AR338" s="109"/>
      <c r="AS338" s="109"/>
      <c r="AT338" s="109"/>
      <c r="AU338" s="109"/>
      <c r="AV338" s="109"/>
      <c r="AW338" s="109"/>
      <c r="AX338" s="109"/>
      <c r="AY338" s="109"/>
      <c r="AZ338" s="109"/>
      <c r="BA338" s="109"/>
      <c r="BB338" s="109"/>
      <c r="BC338" s="109"/>
      <c r="BD338" s="109"/>
      <c r="BE338" s="109"/>
      <c r="BF338" s="109"/>
      <c r="BG338" s="109"/>
      <c r="BH338" s="109"/>
      <c r="BI338" s="109"/>
      <c r="BJ338" s="109"/>
      <c r="BK338" s="109"/>
      <c r="BL338" s="109"/>
      <c r="BM338" s="109"/>
      <c r="BN338" s="109"/>
      <c r="BO338" s="109"/>
      <c r="BP338" s="109"/>
      <c r="BQ338" s="109"/>
      <c r="BR338" s="109"/>
      <c r="BS338" s="109"/>
      <c r="BT338" s="109"/>
      <c r="BU338" s="109"/>
      <c r="BV338" s="109"/>
      <c r="BW338" s="109"/>
      <c r="BX338" s="109"/>
      <c r="BY338" s="109"/>
      <c r="BZ338" s="109"/>
    </row>
    <row r="339" spans="1:78">
      <c r="A339" s="109"/>
      <c r="B339" s="109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09"/>
      <c r="X339" s="109"/>
      <c r="Y339" s="109"/>
      <c r="Z339" s="109"/>
      <c r="AA339" s="109"/>
      <c r="AB339" s="109"/>
      <c r="AC339" s="109"/>
      <c r="AD339" s="109"/>
      <c r="AE339" s="109"/>
      <c r="AF339" s="109"/>
      <c r="AG339" s="109"/>
      <c r="AH339" s="109"/>
      <c r="AI339" s="109"/>
      <c r="AJ339" s="109"/>
      <c r="AK339" s="109"/>
      <c r="AL339" s="109"/>
      <c r="AM339" s="109"/>
      <c r="AN339" s="109"/>
      <c r="AO339" s="109"/>
      <c r="AP339" s="109"/>
      <c r="AQ339" s="109"/>
      <c r="AR339" s="109"/>
      <c r="AS339" s="109"/>
      <c r="AT339" s="109"/>
      <c r="AU339" s="109"/>
      <c r="AV339" s="109"/>
      <c r="AW339" s="109"/>
      <c r="AX339" s="109"/>
      <c r="AY339" s="109"/>
      <c r="AZ339" s="109"/>
      <c r="BA339" s="109"/>
      <c r="BB339" s="109"/>
      <c r="BC339" s="109"/>
      <c r="BD339" s="109"/>
      <c r="BE339" s="109"/>
      <c r="BF339" s="109"/>
      <c r="BG339" s="109"/>
      <c r="BH339" s="109"/>
      <c r="BI339" s="109"/>
      <c r="BJ339" s="109"/>
      <c r="BK339" s="109"/>
      <c r="BL339" s="109"/>
      <c r="BM339" s="109"/>
      <c r="BN339" s="109"/>
      <c r="BO339" s="109"/>
      <c r="BP339" s="109"/>
      <c r="BQ339" s="109"/>
      <c r="BR339" s="109"/>
      <c r="BS339" s="109"/>
      <c r="BT339" s="109"/>
      <c r="BU339" s="109"/>
      <c r="BV339" s="109"/>
      <c r="BW339" s="109"/>
      <c r="BX339" s="109"/>
      <c r="BY339" s="109"/>
      <c r="BZ339" s="109"/>
    </row>
  </sheetData>
  <mergeCells count="59">
    <mergeCell ref="F37:G37"/>
    <mergeCell ref="H37:I37"/>
    <mergeCell ref="M9:M10"/>
    <mergeCell ref="A114:B114"/>
    <mergeCell ref="F106:F111"/>
    <mergeCell ref="A104:A105"/>
    <mergeCell ref="L9:L10"/>
    <mergeCell ref="B64:D64"/>
    <mergeCell ref="A64:A65"/>
    <mergeCell ref="B37:C37"/>
    <mergeCell ref="D37:E37"/>
    <mergeCell ref="N64:O64"/>
    <mergeCell ref="P64:Q64"/>
    <mergeCell ref="R64:S64"/>
    <mergeCell ref="A61:K61"/>
    <mergeCell ref="B8:G8"/>
    <mergeCell ref="H8:K8"/>
    <mergeCell ref="L8:M8"/>
    <mergeCell ref="O8:O10"/>
    <mergeCell ref="N8:N10"/>
    <mergeCell ref="L36:L38"/>
    <mergeCell ref="B9:C9"/>
    <mergeCell ref="D9:E9"/>
    <mergeCell ref="F9:G9"/>
    <mergeCell ref="H9:I9"/>
    <mergeCell ref="J9:K9"/>
    <mergeCell ref="M36:M38"/>
    <mergeCell ref="A131:B131"/>
    <mergeCell ref="A1:F1"/>
    <mergeCell ref="A2:B2"/>
    <mergeCell ref="C2:D2"/>
    <mergeCell ref="E2:F2"/>
    <mergeCell ref="A3:B3"/>
    <mergeCell ref="C3:D3"/>
    <mergeCell ref="E3:F3"/>
    <mergeCell ref="A4:B4"/>
    <mergeCell ref="C4:D4"/>
    <mergeCell ref="E4:F4"/>
    <mergeCell ref="A8:A10"/>
    <mergeCell ref="A36:A38"/>
    <mergeCell ref="B36:E36"/>
    <mergeCell ref="F36:I36"/>
    <mergeCell ref="A128:B128"/>
    <mergeCell ref="E166:G166"/>
    <mergeCell ref="B166:D166"/>
    <mergeCell ref="A166:A167"/>
    <mergeCell ref="A118:B118"/>
    <mergeCell ref="A33:M33"/>
    <mergeCell ref="A121:C121"/>
    <mergeCell ref="E64:G64"/>
    <mergeCell ref="H64:I64"/>
    <mergeCell ref="J64:K64"/>
    <mergeCell ref="L64:M64"/>
    <mergeCell ref="A95:F95"/>
    <mergeCell ref="B96:F96"/>
    <mergeCell ref="B104:F104"/>
    <mergeCell ref="J36:K37"/>
    <mergeCell ref="A96:A97"/>
    <mergeCell ref="F98:F103"/>
  </mergeCells>
  <phoneticPr fontId="10" type="noConversion"/>
  <pageMargins left="0.7" right="0.7" top="0.75" bottom="0.75" header="0.3" footer="0.3"/>
  <pageSetup scale="6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CACFE-AB91-415D-93CD-4570A9EE8E69}">
  <sheetPr>
    <tabColor theme="6"/>
    <pageSetUpPr fitToPage="1"/>
  </sheetPr>
  <dimension ref="A1:BA510"/>
  <sheetViews>
    <sheetView workbookViewId="0">
      <selection activeCell="I45" sqref="I45"/>
    </sheetView>
  </sheetViews>
  <sheetFormatPr defaultRowHeight="13.2"/>
  <cols>
    <col min="1" max="1" width="14.88671875" customWidth="1"/>
    <col min="2" max="2" width="14.33203125" customWidth="1"/>
    <col min="3" max="3" width="16.109375" customWidth="1"/>
    <col min="4" max="4" width="14.33203125" customWidth="1"/>
    <col min="5" max="5" width="18" customWidth="1"/>
    <col min="6" max="6" width="15.6640625" customWidth="1"/>
    <col min="7" max="7" width="15.44140625" customWidth="1"/>
    <col min="8" max="9" width="15.109375" customWidth="1"/>
    <col min="10" max="10" width="20.88671875" customWidth="1"/>
    <col min="11" max="11" width="16.6640625" customWidth="1"/>
    <col min="12" max="12" width="15" customWidth="1"/>
    <col min="13" max="14" width="15.33203125" customWidth="1"/>
    <col min="15" max="16" width="17.33203125" bestFit="1" customWidth="1"/>
  </cols>
  <sheetData>
    <row r="1" spans="1:53" ht="18" customHeight="1">
      <c r="A1" s="431" t="s">
        <v>150</v>
      </c>
      <c r="B1" s="445"/>
      <c r="C1" s="44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</row>
    <row r="2" spans="1:53" ht="29.4" customHeight="1">
      <c r="A2" s="447" t="s">
        <v>151</v>
      </c>
      <c r="B2" s="448"/>
      <c r="C2" s="207">
        <f>I30</f>
        <v>0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</row>
    <row r="3" spans="1:53" ht="33.75" customHeight="1">
      <c r="A3" s="447" t="s">
        <v>152</v>
      </c>
      <c r="B3" s="448"/>
      <c r="C3" s="207">
        <f>J30</f>
        <v>0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</row>
    <row r="4" spans="1:53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</row>
    <row r="5" spans="1:53" ht="13.8">
      <c r="A5" s="365" t="s">
        <v>153</v>
      </c>
      <c r="B5" s="407"/>
      <c r="C5" s="407"/>
      <c r="D5" s="407"/>
      <c r="E5" s="407"/>
      <c r="F5" s="407"/>
      <c r="G5" s="407"/>
      <c r="H5" s="407"/>
      <c r="I5" s="407"/>
      <c r="J5" s="39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</row>
    <row r="6" spans="1:53" ht="12.75" customHeight="1">
      <c r="A6" s="376" t="s">
        <v>39</v>
      </c>
      <c r="B6" s="404" t="s">
        <v>154</v>
      </c>
      <c r="C6" s="404"/>
      <c r="D6" s="381" t="s">
        <v>155</v>
      </c>
      <c r="E6" s="382"/>
      <c r="F6" s="383"/>
      <c r="G6" s="381" t="s">
        <v>156</v>
      </c>
      <c r="H6" s="382"/>
      <c r="I6" s="382"/>
      <c r="J6" s="383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</row>
    <row r="7" spans="1:53" ht="61.5" customHeight="1" thickBot="1">
      <c r="A7" s="380"/>
      <c r="B7" s="6" t="s">
        <v>94</v>
      </c>
      <c r="C7" s="6" t="s">
        <v>117</v>
      </c>
      <c r="D7" s="6" t="s">
        <v>157</v>
      </c>
      <c r="E7" s="6" t="s">
        <v>158</v>
      </c>
      <c r="F7" s="6" t="s">
        <v>159</v>
      </c>
      <c r="G7" s="6" t="s">
        <v>160</v>
      </c>
      <c r="H7" s="6" t="s">
        <v>161</v>
      </c>
      <c r="I7" s="6" t="s">
        <v>162</v>
      </c>
      <c r="J7" s="6" t="s">
        <v>163</v>
      </c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</row>
    <row r="8" spans="1:53" ht="14.4" thickTop="1">
      <c r="A8" s="66">
        <v>2027</v>
      </c>
      <c r="B8" s="67">
        <f>'Travel Time'!Q71-'Travel Time'!S71</f>
        <v>0</v>
      </c>
      <c r="C8" s="12">
        <f>'Travel Time'!P71-'Travel Time'!R71</f>
        <v>0</v>
      </c>
      <c r="D8" s="234">
        <f>ROUND($B8*$B$69+$C8*$B$70,0)/1000000</f>
        <v>0</v>
      </c>
      <c r="E8" s="235">
        <f t="shared" ref="E8:E29" si="0">ROUND($B8*$C$69+$C8*$C$70,0)/1000000</f>
        <v>0</v>
      </c>
      <c r="F8" s="234">
        <f t="shared" ref="F8:F29" si="1">ROUND($B8*$D$69+$C8*$D$70,0)/1000000</f>
        <v>0</v>
      </c>
      <c r="G8" s="225">
        <f t="shared" ref="G8:G29" si="2">ROUND(D8*B41+E8*D41,0)</f>
        <v>0</v>
      </c>
      <c r="H8" s="224">
        <f t="shared" ref="H8:H29" si="3">ROUND(F8*E41,0)</f>
        <v>0</v>
      </c>
      <c r="I8" s="225">
        <f>G8+H8</f>
        <v>0</v>
      </c>
      <c r="J8" s="224">
        <f>G8*INDEX(NPV!$C$3:$C$42,MATCH('Environmental Protection'!$A8,NPV!$B$3:$B$42,0))+H8*INDEX(NPV!$D$3:$D$42,MATCH('Environmental Protection'!$A8,NPV!$B$3:$B$42,0))</f>
        <v>0</v>
      </c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</row>
    <row r="9" spans="1:53" ht="13.8">
      <c r="A9" s="66">
        <v>2028</v>
      </c>
      <c r="B9" s="67">
        <f>'Travel Time'!Q72-'Travel Time'!S72</f>
        <v>0</v>
      </c>
      <c r="C9" s="12">
        <f>'Travel Time'!P72-'Travel Time'!R72</f>
        <v>0</v>
      </c>
      <c r="D9" s="234">
        <f t="shared" ref="D9:D29" si="4">ROUND($B9*$B$69+$C9*$B$70,0)/1000000</f>
        <v>0</v>
      </c>
      <c r="E9" s="235">
        <f t="shared" si="0"/>
        <v>0</v>
      </c>
      <c r="F9" s="234">
        <f t="shared" si="1"/>
        <v>0</v>
      </c>
      <c r="G9" s="225">
        <f t="shared" si="2"/>
        <v>0</v>
      </c>
      <c r="H9" s="224">
        <f t="shared" si="3"/>
        <v>0</v>
      </c>
      <c r="I9" s="225">
        <f t="shared" ref="I9:I29" si="5">G9+H9</f>
        <v>0</v>
      </c>
      <c r="J9" s="224">
        <f>G9*INDEX(NPV!$C$3:$C$42,MATCH('Environmental Protection'!$A9,NPV!$B$3:$B$42,0))+H9*INDEX(NPV!$D$3:$D$42,MATCH('Environmental Protection'!$A9,NPV!$B$3:$B$42,0))</f>
        <v>0</v>
      </c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</row>
    <row r="10" spans="1:53" ht="13.8">
      <c r="A10" s="66">
        <v>2029</v>
      </c>
      <c r="B10" s="67">
        <f>'Travel Time'!Q73-'Travel Time'!S73</f>
        <v>0</v>
      </c>
      <c r="C10" s="12">
        <f>'Travel Time'!P73-'Travel Time'!R73</f>
        <v>0</v>
      </c>
      <c r="D10" s="234">
        <f t="shared" si="4"/>
        <v>0</v>
      </c>
      <c r="E10" s="235">
        <f t="shared" si="0"/>
        <v>0</v>
      </c>
      <c r="F10" s="234">
        <f t="shared" si="1"/>
        <v>0</v>
      </c>
      <c r="G10" s="225">
        <f t="shared" si="2"/>
        <v>0</v>
      </c>
      <c r="H10" s="224">
        <f t="shared" si="3"/>
        <v>0</v>
      </c>
      <c r="I10" s="225">
        <f t="shared" si="5"/>
        <v>0</v>
      </c>
      <c r="J10" s="224">
        <f>G10*INDEX(NPV!$C$3:$C$42,MATCH('Environmental Protection'!$A10,NPV!$B$3:$B$42,0))+H10*INDEX(NPV!$D$3:$D$42,MATCH('Environmental Protection'!$A10,NPV!$B$3:$B$42,0))</f>
        <v>0</v>
      </c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</row>
    <row r="11" spans="1:53" ht="13.8">
      <c r="A11" s="66">
        <v>2030</v>
      </c>
      <c r="B11" s="67">
        <f>'Travel Time'!Q74-'Travel Time'!S74</f>
        <v>0</v>
      </c>
      <c r="C11" s="12">
        <f>'Travel Time'!P74-'Travel Time'!R74</f>
        <v>0</v>
      </c>
      <c r="D11" s="234">
        <f t="shared" si="4"/>
        <v>0</v>
      </c>
      <c r="E11" s="235">
        <f t="shared" si="0"/>
        <v>0</v>
      </c>
      <c r="F11" s="234">
        <f t="shared" si="1"/>
        <v>0</v>
      </c>
      <c r="G11" s="225">
        <f t="shared" si="2"/>
        <v>0</v>
      </c>
      <c r="H11" s="224">
        <f t="shared" si="3"/>
        <v>0</v>
      </c>
      <c r="I11" s="225">
        <f t="shared" si="5"/>
        <v>0</v>
      </c>
      <c r="J11" s="224">
        <f>G11*INDEX(NPV!$C$3:$C$42,MATCH('Environmental Protection'!$A11,NPV!$B$3:$B$42,0))+H11*INDEX(NPV!$D$3:$D$42,MATCH('Environmental Protection'!$A11,NPV!$B$3:$B$42,0))</f>
        <v>0</v>
      </c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</row>
    <row r="12" spans="1:53" ht="13.8">
      <c r="A12" s="66">
        <v>2031</v>
      </c>
      <c r="B12" s="67">
        <f>'Travel Time'!Q75-'Travel Time'!S75</f>
        <v>0</v>
      </c>
      <c r="C12" s="12">
        <f>'Travel Time'!P75-'Travel Time'!R75</f>
        <v>0</v>
      </c>
      <c r="D12" s="234">
        <f t="shared" si="4"/>
        <v>0</v>
      </c>
      <c r="E12" s="235">
        <f t="shared" si="0"/>
        <v>0</v>
      </c>
      <c r="F12" s="234">
        <f t="shared" si="1"/>
        <v>0</v>
      </c>
      <c r="G12" s="225">
        <f t="shared" si="2"/>
        <v>0</v>
      </c>
      <c r="H12" s="224">
        <f t="shared" si="3"/>
        <v>0</v>
      </c>
      <c r="I12" s="225">
        <f t="shared" si="5"/>
        <v>0</v>
      </c>
      <c r="J12" s="224">
        <f>G12*INDEX(NPV!$C$3:$C$42,MATCH('Environmental Protection'!$A12,NPV!$B$3:$B$42,0))+H12*INDEX(NPV!$D$3:$D$42,MATCH('Environmental Protection'!$A12,NPV!$B$3:$B$42,0))</f>
        <v>0</v>
      </c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</row>
    <row r="13" spans="1:53" ht="13.8">
      <c r="A13" s="66">
        <v>2032</v>
      </c>
      <c r="B13" s="67">
        <f>'Travel Time'!Q76-'Travel Time'!S76</f>
        <v>0</v>
      </c>
      <c r="C13" s="12">
        <f>'Travel Time'!P76-'Travel Time'!R76</f>
        <v>0</v>
      </c>
      <c r="D13" s="234">
        <f t="shared" si="4"/>
        <v>0</v>
      </c>
      <c r="E13" s="235">
        <f t="shared" si="0"/>
        <v>0</v>
      </c>
      <c r="F13" s="234">
        <f t="shared" si="1"/>
        <v>0</v>
      </c>
      <c r="G13" s="225">
        <f t="shared" si="2"/>
        <v>0</v>
      </c>
      <c r="H13" s="224">
        <f t="shared" si="3"/>
        <v>0</v>
      </c>
      <c r="I13" s="225">
        <f t="shared" si="5"/>
        <v>0</v>
      </c>
      <c r="J13" s="224">
        <f>G13*INDEX(NPV!$C$3:$C$42,MATCH('Environmental Protection'!$A13,NPV!$B$3:$B$42,0))+H13*INDEX(NPV!$D$3:$D$42,MATCH('Environmental Protection'!$A13,NPV!$B$3:$B$42,0))</f>
        <v>0</v>
      </c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</row>
    <row r="14" spans="1:53" ht="13.8">
      <c r="A14" s="66">
        <v>2033</v>
      </c>
      <c r="B14" s="67">
        <f>'Travel Time'!Q77-'Travel Time'!S77</f>
        <v>0</v>
      </c>
      <c r="C14" s="12">
        <f>'Travel Time'!P77-'Travel Time'!R77</f>
        <v>0</v>
      </c>
      <c r="D14" s="234">
        <f t="shared" si="4"/>
        <v>0</v>
      </c>
      <c r="E14" s="235">
        <f t="shared" si="0"/>
        <v>0</v>
      </c>
      <c r="F14" s="234">
        <f t="shared" si="1"/>
        <v>0</v>
      </c>
      <c r="G14" s="225">
        <f t="shared" si="2"/>
        <v>0</v>
      </c>
      <c r="H14" s="224">
        <f t="shared" si="3"/>
        <v>0</v>
      </c>
      <c r="I14" s="225">
        <f t="shared" si="5"/>
        <v>0</v>
      </c>
      <c r="J14" s="224">
        <f>G14*INDEX(NPV!$C$3:$C$42,MATCH('Environmental Protection'!$A14,NPV!$B$3:$B$42,0))+H14*INDEX(NPV!$D$3:$D$42,MATCH('Environmental Protection'!$A14,NPV!$B$3:$B$42,0))</f>
        <v>0</v>
      </c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</row>
    <row r="15" spans="1:53" ht="13.8">
      <c r="A15" s="66">
        <v>2034</v>
      </c>
      <c r="B15" s="67">
        <f>'Travel Time'!Q78-'Travel Time'!S78</f>
        <v>0</v>
      </c>
      <c r="C15" s="12">
        <f>'Travel Time'!P78-'Travel Time'!R78</f>
        <v>0</v>
      </c>
      <c r="D15" s="234">
        <f t="shared" si="4"/>
        <v>0</v>
      </c>
      <c r="E15" s="235">
        <f t="shared" si="0"/>
        <v>0</v>
      </c>
      <c r="F15" s="234">
        <f t="shared" si="1"/>
        <v>0</v>
      </c>
      <c r="G15" s="225">
        <f t="shared" si="2"/>
        <v>0</v>
      </c>
      <c r="H15" s="224">
        <f t="shared" si="3"/>
        <v>0</v>
      </c>
      <c r="I15" s="225">
        <f t="shared" si="5"/>
        <v>0</v>
      </c>
      <c r="J15" s="224">
        <f>G15*INDEX(NPV!$C$3:$C$42,MATCH('Environmental Protection'!$A15,NPV!$B$3:$B$42,0))+H15*INDEX(NPV!$D$3:$D$42,MATCH('Environmental Protection'!$A15,NPV!$B$3:$B$42,0))</f>
        <v>0</v>
      </c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</row>
    <row r="16" spans="1:53" ht="13.8">
      <c r="A16" s="66">
        <v>2035</v>
      </c>
      <c r="B16" s="67">
        <f>'Travel Time'!Q79-'Travel Time'!S79</f>
        <v>0</v>
      </c>
      <c r="C16" s="12">
        <f>'Travel Time'!P79-'Travel Time'!R79</f>
        <v>0</v>
      </c>
      <c r="D16" s="234">
        <f t="shared" si="4"/>
        <v>0</v>
      </c>
      <c r="E16" s="235">
        <f t="shared" si="0"/>
        <v>0</v>
      </c>
      <c r="F16" s="234">
        <f t="shared" si="1"/>
        <v>0</v>
      </c>
      <c r="G16" s="225">
        <f t="shared" si="2"/>
        <v>0</v>
      </c>
      <c r="H16" s="224">
        <f t="shared" si="3"/>
        <v>0</v>
      </c>
      <c r="I16" s="225">
        <f t="shared" si="5"/>
        <v>0</v>
      </c>
      <c r="J16" s="224">
        <f>G16*INDEX(NPV!$C$3:$C$42,MATCH('Environmental Protection'!$A16,NPV!$B$3:$B$42,0))+H16*INDEX(NPV!$D$3:$D$42,MATCH('Environmental Protection'!$A16,NPV!$B$3:$B$42,0))</f>
        <v>0</v>
      </c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</row>
    <row r="17" spans="1:53" ht="13.8">
      <c r="A17" s="66">
        <v>2036</v>
      </c>
      <c r="B17" s="67">
        <f>'Travel Time'!Q80-'Travel Time'!S80</f>
        <v>0</v>
      </c>
      <c r="C17" s="12">
        <f>'Travel Time'!P80-'Travel Time'!R80</f>
        <v>0</v>
      </c>
      <c r="D17" s="234">
        <f t="shared" si="4"/>
        <v>0</v>
      </c>
      <c r="E17" s="235">
        <f t="shared" si="0"/>
        <v>0</v>
      </c>
      <c r="F17" s="234">
        <f t="shared" si="1"/>
        <v>0</v>
      </c>
      <c r="G17" s="225">
        <f t="shared" si="2"/>
        <v>0</v>
      </c>
      <c r="H17" s="224">
        <f t="shared" si="3"/>
        <v>0</v>
      </c>
      <c r="I17" s="225">
        <f t="shared" si="5"/>
        <v>0</v>
      </c>
      <c r="J17" s="224">
        <f>G17*INDEX(NPV!$C$3:$C$42,MATCH('Environmental Protection'!$A17,NPV!$B$3:$B$42,0))+H17*INDEX(NPV!$D$3:$D$42,MATCH('Environmental Protection'!$A17,NPV!$B$3:$B$42,0))</f>
        <v>0</v>
      </c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</row>
    <row r="18" spans="1:53" ht="13.8">
      <c r="A18" s="66">
        <v>2037</v>
      </c>
      <c r="B18" s="67">
        <f>'Travel Time'!Q81-'Travel Time'!S81</f>
        <v>0</v>
      </c>
      <c r="C18" s="12">
        <f>'Travel Time'!P81-'Travel Time'!R81</f>
        <v>0</v>
      </c>
      <c r="D18" s="234">
        <f t="shared" si="4"/>
        <v>0</v>
      </c>
      <c r="E18" s="235">
        <f t="shared" si="0"/>
        <v>0</v>
      </c>
      <c r="F18" s="234">
        <f t="shared" si="1"/>
        <v>0</v>
      </c>
      <c r="G18" s="225">
        <f t="shared" si="2"/>
        <v>0</v>
      </c>
      <c r="H18" s="224">
        <f t="shared" si="3"/>
        <v>0</v>
      </c>
      <c r="I18" s="225">
        <f t="shared" si="5"/>
        <v>0</v>
      </c>
      <c r="J18" s="224">
        <f>G18*INDEX(NPV!$C$3:$C$42,MATCH('Environmental Protection'!$A18,NPV!$B$3:$B$42,0))+H18*INDEX(NPV!$D$3:$D$42,MATCH('Environmental Protection'!$A18,NPV!$B$3:$B$42,0))</f>
        <v>0</v>
      </c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</row>
    <row r="19" spans="1:53" ht="13.8">
      <c r="A19" s="66">
        <v>2038</v>
      </c>
      <c r="B19" s="67">
        <f>'Travel Time'!Q82-'Travel Time'!S82</f>
        <v>0</v>
      </c>
      <c r="C19" s="12">
        <f>'Travel Time'!P82-'Travel Time'!R82</f>
        <v>0</v>
      </c>
      <c r="D19" s="234">
        <f t="shared" si="4"/>
        <v>0</v>
      </c>
      <c r="E19" s="235">
        <f t="shared" si="0"/>
        <v>0</v>
      </c>
      <c r="F19" s="234">
        <f t="shared" si="1"/>
        <v>0</v>
      </c>
      <c r="G19" s="225">
        <f t="shared" si="2"/>
        <v>0</v>
      </c>
      <c r="H19" s="224">
        <f t="shared" si="3"/>
        <v>0</v>
      </c>
      <c r="I19" s="225">
        <f t="shared" si="5"/>
        <v>0</v>
      </c>
      <c r="J19" s="224">
        <f>G19*INDEX(NPV!$C$3:$C$42,MATCH('Environmental Protection'!$A19,NPV!$B$3:$B$42,0))+H19*INDEX(NPV!$D$3:$D$42,MATCH('Environmental Protection'!$A19,NPV!$B$3:$B$42,0))</f>
        <v>0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</row>
    <row r="20" spans="1:53" ht="13.8">
      <c r="A20" s="66">
        <v>2039</v>
      </c>
      <c r="B20" s="67">
        <f>'Travel Time'!Q83-'Travel Time'!S83</f>
        <v>0</v>
      </c>
      <c r="C20" s="12">
        <f>'Travel Time'!P83-'Travel Time'!R83</f>
        <v>0</v>
      </c>
      <c r="D20" s="234">
        <f t="shared" si="4"/>
        <v>0</v>
      </c>
      <c r="E20" s="235">
        <f t="shared" si="0"/>
        <v>0</v>
      </c>
      <c r="F20" s="234">
        <f t="shared" si="1"/>
        <v>0</v>
      </c>
      <c r="G20" s="225">
        <f t="shared" si="2"/>
        <v>0</v>
      </c>
      <c r="H20" s="224">
        <f t="shared" si="3"/>
        <v>0</v>
      </c>
      <c r="I20" s="225">
        <f t="shared" si="5"/>
        <v>0</v>
      </c>
      <c r="J20" s="224">
        <f>G20*INDEX(NPV!$C$3:$C$42,MATCH('Environmental Protection'!$A20,NPV!$B$3:$B$42,0))+H20*INDEX(NPV!$D$3:$D$42,MATCH('Environmental Protection'!$A20,NPV!$B$3:$B$42,0))</f>
        <v>0</v>
      </c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</row>
    <row r="21" spans="1:53" ht="13.8">
      <c r="A21" s="66">
        <v>2040</v>
      </c>
      <c r="B21" s="67">
        <f>'Travel Time'!Q84-'Travel Time'!S84</f>
        <v>0</v>
      </c>
      <c r="C21" s="12">
        <f>'Travel Time'!P84-'Travel Time'!R84</f>
        <v>0</v>
      </c>
      <c r="D21" s="234">
        <f t="shared" si="4"/>
        <v>0</v>
      </c>
      <c r="E21" s="235">
        <f t="shared" si="0"/>
        <v>0</v>
      </c>
      <c r="F21" s="234">
        <f t="shared" si="1"/>
        <v>0</v>
      </c>
      <c r="G21" s="225">
        <f t="shared" si="2"/>
        <v>0</v>
      </c>
      <c r="H21" s="224">
        <f t="shared" si="3"/>
        <v>0</v>
      </c>
      <c r="I21" s="225">
        <f t="shared" si="5"/>
        <v>0</v>
      </c>
      <c r="J21" s="224">
        <f>G21*INDEX(NPV!$C$3:$C$42,MATCH('Environmental Protection'!$A21,NPV!$B$3:$B$42,0))+H21*INDEX(NPV!$D$3:$D$42,MATCH('Environmental Protection'!$A21,NPV!$B$3:$B$42,0))</f>
        <v>0</v>
      </c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</row>
    <row r="22" spans="1:53" ht="13.8">
      <c r="A22" s="66">
        <v>2041</v>
      </c>
      <c r="B22" s="67">
        <f>'Travel Time'!Q85-'Travel Time'!S85</f>
        <v>0</v>
      </c>
      <c r="C22" s="12">
        <f>'Travel Time'!P85-'Travel Time'!R85</f>
        <v>0</v>
      </c>
      <c r="D22" s="234">
        <f t="shared" si="4"/>
        <v>0</v>
      </c>
      <c r="E22" s="235">
        <f t="shared" si="0"/>
        <v>0</v>
      </c>
      <c r="F22" s="234">
        <f t="shared" si="1"/>
        <v>0</v>
      </c>
      <c r="G22" s="225">
        <f t="shared" si="2"/>
        <v>0</v>
      </c>
      <c r="H22" s="224">
        <f t="shared" si="3"/>
        <v>0</v>
      </c>
      <c r="I22" s="225">
        <f t="shared" si="5"/>
        <v>0</v>
      </c>
      <c r="J22" s="224">
        <f>G22*INDEX(NPV!$C$3:$C$42,MATCH('Environmental Protection'!$A22,NPV!$B$3:$B$42,0))+H22*INDEX(NPV!$D$3:$D$42,MATCH('Environmental Protection'!$A22,NPV!$B$3:$B$42,0))</f>
        <v>0</v>
      </c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</row>
    <row r="23" spans="1:53" ht="13.8">
      <c r="A23" s="66">
        <v>2042</v>
      </c>
      <c r="B23" s="67">
        <f>'Travel Time'!Q86-'Travel Time'!S86</f>
        <v>0</v>
      </c>
      <c r="C23" s="12">
        <f>'Travel Time'!P86-'Travel Time'!R86</f>
        <v>0</v>
      </c>
      <c r="D23" s="234">
        <f t="shared" si="4"/>
        <v>0</v>
      </c>
      <c r="E23" s="235">
        <f t="shared" si="0"/>
        <v>0</v>
      </c>
      <c r="F23" s="234">
        <f t="shared" si="1"/>
        <v>0</v>
      </c>
      <c r="G23" s="225">
        <f t="shared" si="2"/>
        <v>0</v>
      </c>
      <c r="H23" s="224">
        <f t="shared" si="3"/>
        <v>0</v>
      </c>
      <c r="I23" s="225">
        <f t="shared" si="5"/>
        <v>0</v>
      </c>
      <c r="J23" s="224">
        <f>G23*INDEX(NPV!$C$3:$C$42,MATCH('Environmental Protection'!$A23,NPV!$B$3:$B$42,0))+H23*INDEX(NPV!$D$3:$D$42,MATCH('Environmental Protection'!$A23,NPV!$B$3:$B$42,0))</f>
        <v>0</v>
      </c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</row>
    <row r="24" spans="1:53" ht="13.8">
      <c r="A24" s="66">
        <v>2043</v>
      </c>
      <c r="B24" s="67">
        <f>'Travel Time'!Q87-'Travel Time'!S87</f>
        <v>0</v>
      </c>
      <c r="C24" s="12">
        <f>'Travel Time'!P87-'Travel Time'!R87</f>
        <v>0</v>
      </c>
      <c r="D24" s="234">
        <f t="shared" si="4"/>
        <v>0</v>
      </c>
      <c r="E24" s="235">
        <f t="shared" si="0"/>
        <v>0</v>
      </c>
      <c r="F24" s="234">
        <f t="shared" si="1"/>
        <v>0</v>
      </c>
      <c r="G24" s="225">
        <f t="shared" si="2"/>
        <v>0</v>
      </c>
      <c r="H24" s="224">
        <f t="shared" si="3"/>
        <v>0</v>
      </c>
      <c r="I24" s="225">
        <f t="shared" si="5"/>
        <v>0</v>
      </c>
      <c r="J24" s="224">
        <f>G24*INDEX(NPV!$C$3:$C$42,MATCH('Environmental Protection'!$A24,NPV!$B$3:$B$42,0))+H24*INDEX(NPV!$D$3:$D$42,MATCH('Environmental Protection'!$A24,NPV!$B$3:$B$42,0))</f>
        <v>0</v>
      </c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</row>
    <row r="25" spans="1:53" ht="13.8">
      <c r="A25" s="66">
        <v>2044</v>
      </c>
      <c r="B25" s="67">
        <f>'Travel Time'!Q88-'Travel Time'!S88</f>
        <v>0</v>
      </c>
      <c r="C25" s="12">
        <f>'Travel Time'!P88-'Travel Time'!R88</f>
        <v>0</v>
      </c>
      <c r="D25" s="234">
        <f t="shared" si="4"/>
        <v>0</v>
      </c>
      <c r="E25" s="235">
        <f t="shared" si="0"/>
        <v>0</v>
      </c>
      <c r="F25" s="234">
        <f t="shared" si="1"/>
        <v>0</v>
      </c>
      <c r="G25" s="225">
        <f t="shared" si="2"/>
        <v>0</v>
      </c>
      <c r="H25" s="224">
        <f t="shared" si="3"/>
        <v>0</v>
      </c>
      <c r="I25" s="225">
        <f t="shared" si="5"/>
        <v>0</v>
      </c>
      <c r="J25" s="224">
        <f>G25*INDEX(NPV!$C$3:$C$42,MATCH('Environmental Protection'!$A25,NPV!$B$3:$B$42,0))+H25*INDEX(NPV!$D$3:$D$42,MATCH('Environmental Protection'!$A25,NPV!$B$3:$B$42,0))</f>
        <v>0</v>
      </c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</row>
    <row r="26" spans="1:53" ht="13.8">
      <c r="A26" s="66">
        <v>2045</v>
      </c>
      <c r="B26" s="67">
        <f>'Travel Time'!Q89-'Travel Time'!S89</f>
        <v>0</v>
      </c>
      <c r="C26" s="12">
        <f>'Travel Time'!P89-'Travel Time'!R89</f>
        <v>0</v>
      </c>
      <c r="D26" s="234">
        <f t="shared" si="4"/>
        <v>0</v>
      </c>
      <c r="E26" s="235">
        <f t="shared" si="0"/>
        <v>0</v>
      </c>
      <c r="F26" s="234">
        <f t="shared" si="1"/>
        <v>0</v>
      </c>
      <c r="G26" s="225">
        <f t="shared" si="2"/>
        <v>0</v>
      </c>
      <c r="H26" s="224">
        <f t="shared" si="3"/>
        <v>0</v>
      </c>
      <c r="I26" s="225">
        <f t="shared" si="5"/>
        <v>0</v>
      </c>
      <c r="J26" s="224">
        <f>G26*INDEX(NPV!$C$3:$C$42,MATCH('Environmental Protection'!$A26,NPV!$B$3:$B$42,0))+H26*INDEX(NPV!$D$3:$D$42,MATCH('Environmental Protection'!$A26,NPV!$B$3:$B$42,0))</f>
        <v>0</v>
      </c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</row>
    <row r="27" spans="1:53" ht="13.8">
      <c r="A27" s="66">
        <v>2046</v>
      </c>
      <c r="B27" s="67">
        <f>'Travel Time'!Q90-'Travel Time'!S90</f>
        <v>0</v>
      </c>
      <c r="C27" s="12">
        <f>'Travel Time'!P90-'Travel Time'!R90</f>
        <v>0</v>
      </c>
      <c r="D27" s="234">
        <f t="shared" si="4"/>
        <v>0</v>
      </c>
      <c r="E27" s="235">
        <f t="shared" si="0"/>
        <v>0</v>
      </c>
      <c r="F27" s="234">
        <f t="shared" si="1"/>
        <v>0</v>
      </c>
      <c r="G27" s="225">
        <f t="shared" si="2"/>
        <v>0</v>
      </c>
      <c r="H27" s="224">
        <f t="shared" si="3"/>
        <v>0</v>
      </c>
      <c r="I27" s="225">
        <f t="shared" si="5"/>
        <v>0</v>
      </c>
      <c r="J27" s="224">
        <f>G27*INDEX(NPV!$C$3:$C$42,MATCH('Environmental Protection'!$A27,NPV!$B$3:$B$42,0))+H27*INDEX(NPV!$D$3:$D$42,MATCH('Environmental Protection'!$A27,NPV!$B$3:$B$42,0))</f>
        <v>0</v>
      </c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</row>
    <row r="28" spans="1:53" ht="13.8">
      <c r="A28" s="66">
        <v>2047</v>
      </c>
      <c r="B28" s="67">
        <f>'Travel Time'!Q91-'Travel Time'!S91</f>
        <v>0</v>
      </c>
      <c r="C28" s="12">
        <f>'Travel Time'!P91-'Travel Time'!R91</f>
        <v>0</v>
      </c>
      <c r="D28" s="234">
        <f t="shared" si="4"/>
        <v>0</v>
      </c>
      <c r="E28" s="235">
        <f t="shared" si="0"/>
        <v>0</v>
      </c>
      <c r="F28" s="234">
        <f t="shared" si="1"/>
        <v>0</v>
      </c>
      <c r="G28" s="225">
        <f t="shared" si="2"/>
        <v>0</v>
      </c>
      <c r="H28" s="224">
        <f t="shared" si="3"/>
        <v>0</v>
      </c>
      <c r="I28" s="225">
        <f t="shared" si="5"/>
        <v>0</v>
      </c>
      <c r="J28" s="224">
        <f>G28*INDEX(NPV!$C$3:$C$42,MATCH('Environmental Protection'!$A28,NPV!$B$3:$B$42,0))+H28*INDEX(NPV!$D$3:$D$42,MATCH('Environmental Protection'!$A28,NPV!$B$3:$B$42,0))</f>
        <v>0</v>
      </c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</row>
    <row r="29" spans="1:53" ht="14.4" thickBot="1">
      <c r="A29" s="195">
        <v>2048</v>
      </c>
      <c r="B29" s="266">
        <f>'Travel Time'!Q92-'Travel Time'!S92</f>
        <v>0</v>
      </c>
      <c r="C29" s="46">
        <f>'Travel Time'!P92-'Travel Time'!R92</f>
        <v>0</v>
      </c>
      <c r="D29" s="244">
        <f t="shared" si="4"/>
        <v>0</v>
      </c>
      <c r="E29" s="245">
        <f t="shared" si="0"/>
        <v>0</v>
      </c>
      <c r="F29" s="244">
        <f t="shared" si="1"/>
        <v>0</v>
      </c>
      <c r="G29" s="246">
        <f t="shared" si="2"/>
        <v>0</v>
      </c>
      <c r="H29" s="247">
        <f t="shared" si="3"/>
        <v>0</v>
      </c>
      <c r="I29" s="246">
        <f t="shared" si="5"/>
        <v>0</v>
      </c>
      <c r="J29" s="247">
        <f>G29*INDEX(NPV!$C$3:$C$42,MATCH('Environmental Protection'!$A29,NPV!$B$3:$B$42,0))+H29*INDEX(NPV!$D$3:$D$42,MATCH('Environmental Protection'!$A29,NPV!$B$3:$B$42,0))</f>
        <v>0</v>
      </c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</row>
    <row r="30" spans="1:53" ht="16.5" customHeight="1" thickTop="1">
      <c r="A30" s="442" t="s">
        <v>16</v>
      </c>
      <c r="B30" s="443"/>
      <c r="C30" s="443"/>
      <c r="D30" s="443"/>
      <c r="E30" s="443"/>
      <c r="F30" s="444"/>
      <c r="G30" s="242">
        <f>SUM(G8:G29)</f>
        <v>0</v>
      </c>
      <c r="H30" s="243">
        <f>SUM(H8:H29)</f>
        <v>0</v>
      </c>
      <c r="I30" s="242">
        <f>SUM(I8:I29)</f>
        <v>0</v>
      </c>
      <c r="J30" s="243">
        <f>SUM(J8:J29)</f>
        <v>0</v>
      </c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</row>
    <row r="31" spans="1:53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</row>
    <row r="32" spans="1:53" ht="13.8">
      <c r="A32" s="365" t="s">
        <v>164</v>
      </c>
      <c r="B32" s="407"/>
      <c r="C32" s="407"/>
      <c r="D32" s="407"/>
      <c r="E32" s="39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</row>
    <row r="33" spans="1:53" ht="13.8">
      <c r="A33" s="449" t="s">
        <v>39</v>
      </c>
      <c r="B33" s="365" t="s">
        <v>165</v>
      </c>
      <c r="C33" s="407"/>
      <c r="D33" s="407"/>
      <c r="E33" s="39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</row>
    <row r="34" spans="1:53" ht="13.8">
      <c r="A34" s="348"/>
      <c r="B34" s="10" t="s">
        <v>166</v>
      </c>
      <c r="C34" s="229" t="s">
        <v>167</v>
      </c>
      <c r="D34" s="229" t="s">
        <v>168</v>
      </c>
      <c r="E34" s="229" t="s">
        <v>161</v>
      </c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</row>
    <row r="35" spans="1:53" ht="13.8">
      <c r="A35" s="194">
        <v>2021</v>
      </c>
      <c r="B35" s="231">
        <v>15600</v>
      </c>
      <c r="C35" s="240">
        <v>41500</v>
      </c>
      <c r="D35" s="231">
        <v>748600</v>
      </c>
      <c r="E35" s="240">
        <v>52</v>
      </c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</row>
    <row r="36" spans="1:53" ht="13.8">
      <c r="A36" s="194">
        <v>2022</v>
      </c>
      <c r="B36" s="231">
        <v>15800</v>
      </c>
      <c r="C36" s="240">
        <v>42300</v>
      </c>
      <c r="D36" s="231">
        <v>761600</v>
      </c>
      <c r="E36" s="240">
        <v>53</v>
      </c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</row>
    <row r="37" spans="1:53" ht="13.8">
      <c r="A37" s="194">
        <v>2023</v>
      </c>
      <c r="B37" s="231">
        <v>16000</v>
      </c>
      <c r="C37" s="240">
        <v>43100</v>
      </c>
      <c r="D37" s="231">
        <v>774700</v>
      </c>
      <c r="E37" s="240">
        <v>54</v>
      </c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</row>
    <row r="38" spans="1:53" ht="13.8">
      <c r="A38" s="194">
        <v>2024</v>
      </c>
      <c r="B38" s="231">
        <v>16200</v>
      </c>
      <c r="C38" s="240">
        <v>44000</v>
      </c>
      <c r="D38" s="231">
        <v>788100</v>
      </c>
      <c r="E38" s="240">
        <v>55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</row>
    <row r="39" spans="1:53" ht="13.8">
      <c r="A39" s="194">
        <v>2025</v>
      </c>
      <c r="B39" s="231">
        <v>16500</v>
      </c>
      <c r="C39" s="240">
        <v>44900</v>
      </c>
      <c r="D39" s="231">
        <v>801700</v>
      </c>
      <c r="E39" s="240">
        <v>56</v>
      </c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</row>
    <row r="40" spans="1:53" ht="13.8">
      <c r="A40" s="194">
        <v>2026</v>
      </c>
      <c r="B40" s="231">
        <v>16800</v>
      </c>
      <c r="C40" s="240">
        <v>45700</v>
      </c>
      <c r="D40" s="231">
        <v>814500</v>
      </c>
      <c r="E40" s="240">
        <v>57</v>
      </c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</row>
    <row r="41" spans="1:53" ht="13.8">
      <c r="A41" s="194">
        <v>2027</v>
      </c>
      <c r="B41" s="231">
        <v>17100</v>
      </c>
      <c r="C41" s="240">
        <v>46500</v>
      </c>
      <c r="D41" s="231">
        <v>827400</v>
      </c>
      <c r="E41" s="240">
        <v>58</v>
      </c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</row>
    <row r="42" spans="1:53" ht="13.8">
      <c r="A42" s="194">
        <v>2028</v>
      </c>
      <c r="B42" s="231">
        <v>17400</v>
      </c>
      <c r="C42" s="240">
        <v>47300</v>
      </c>
      <c r="D42" s="231">
        <v>840600</v>
      </c>
      <c r="E42" s="240">
        <v>60</v>
      </c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</row>
    <row r="43" spans="1:53" ht="13.8">
      <c r="A43" s="194">
        <v>2029</v>
      </c>
      <c r="B43" s="231">
        <v>17700</v>
      </c>
      <c r="C43" s="240">
        <v>48200</v>
      </c>
      <c r="D43" s="231">
        <v>854000</v>
      </c>
      <c r="E43" s="240">
        <v>61</v>
      </c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</row>
    <row r="44" spans="1:53" ht="13.8">
      <c r="A44" s="194">
        <v>2030</v>
      </c>
      <c r="B44" s="231">
        <v>18100</v>
      </c>
      <c r="C44" s="240">
        <v>49100</v>
      </c>
      <c r="D44" s="231">
        <v>867600</v>
      </c>
      <c r="E44" s="240">
        <v>62</v>
      </c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</row>
    <row r="45" spans="1:53" ht="13.8">
      <c r="A45" s="194">
        <v>2031</v>
      </c>
      <c r="B45" s="231">
        <v>18100</v>
      </c>
      <c r="C45" s="240">
        <v>49100</v>
      </c>
      <c r="D45" s="231">
        <v>867600</v>
      </c>
      <c r="E45" s="240">
        <v>63</v>
      </c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</row>
    <row r="46" spans="1:53" ht="13.8">
      <c r="A46" s="194">
        <v>2032</v>
      </c>
      <c r="B46" s="231">
        <v>18100</v>
      </c>
      <c r="C46" s="240">
        <v>49100</v>
      </c>
      <c r="D46" s="231">
        <v>867600</v>
      </c>
      <c r="E46" s="240">
        <v>64</v>
      </c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</row>
    <row r="47" spans="1:53" ht="13.8">
      <c r="A47" s="194">
        <v>2033</v>
      </c>
      <c r="B47" s="231">
        <v>18100</v>
      </c>
      <c r="C47" s="240">
        <v>49100</v>
      </c>
      <c r="D47" s="231">
        <v>867600</v>
      </c>
      <c r="E47" s="240">
        <v>65</v>
      </c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</row>
    <row r="48" spans="1:53" ht="13.8">
      <c r="A48" s="194">
        <v>2034</v>
      </c>
      <c r="B48" s="231">
        <v>18100</v>
      </c>
      <c r="C48" s="240">
        <v>49100</v>
      </c>
      <c r="D48" s="231">
        <v>867600</v>
      </c>
      <c r="E48" s="240">
        <v>66</v>
      </c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</row>
    <row r="49" spans="1:53" ht="13.8">
      <c r="A49" s="194">
        <v>2035</v>
      </c>
      <c r="B49" s="231">
        <v>18100</v>
      </c>
      <c r="C49" s="240">
        <v>49100</v>
      </c>
      <c r="D49" s="231">
        <v>867600</v>
      </c>
      <c r="E49" s="240">
        <v>67</v>
      </c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</row>
    <row r="50" spans="1:53" ht="13.8">
      <c r="A50" s="194">
        <v>2036</v>
      </c>
      <c r="B50" s="231">
        <v>18100</v>
      </c>
      <c r="C50" s="240">
        <v>49100</v>
      </c>
      <c r="D50" s="231">
        <v>867600</v>
      </c>
      <c r="E50" s="240">
        <v>69</v>
      </c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</row>
    <row r="51" spans="1:53" ht="13.8">
      <c r="A51" s="194">
        <v>2037</v>
      </c>
      <c r="B51" s="231">
        <v>18100</v>
      </c>
      <c r="C51" s="240">
        <v>49100</v>
      </c>
      <c r="D51" s="231">
        <v>867600</v>
      </c>
      <c r="E51" s="240">
        <v>70</v>
      </c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</row>
    <row r="52" spans="1:53" ht="13.8">
      <c r="A52" s="194">
        <v>2038</v>
      </c>
      <c r="B52" s="231">
        <v>18100</v>
      </c>
      <c r="C52" s="240">
        <v>49100</v>
      </c>
      <c r="D52" s="231">
        <v>867600</v>
      </c>
      <c r="E52" s="240">
        <v>71</v>
      </c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</row>
    <row r="53" spans="1:53" ht="13.8">
      <c r="A53" s="194">
        <v>2039</v>
      </c>
      <c r="B53" s="231">
        <v>18100</v>
      </c>
      <c r="C53" s="240">
        <v>49100</v>
      </c>
      <c r="D53" s="231">
        <v>867600</v>
      </c>
      <c r="E53" s="240">
        <v>72</v>
      </c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</row>
    <row r="54" spans="1:53" ht="13.8">
      <c r="A54" s="194">
        <v>2040</v>
      </c>
      <c r="B54" s="231">
        <v>18100</v>
      </c>
      <c r="C54" s="240">
        <v>49100</v>
      </c>
      <c r="D54" s="231">
        <v>867600</v>
      </c>
      <c r="E54" s="240">
        <v>73</v>
      </c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</row>
    <row r="55" spans="1:53" ht="13.8">
      <c r="A55" s="194">
        <v>2041</v>
      </c>
      <c r="B55" s="231">
        <v>18100</v>
      </c>
      <c r="C55" s="240">
        <v>49100</v>
      </c>
      <c r="D55" s="231">
        <v>867600</v>
      </c>
      <c r="E55" s="240">
        <v>74</v>
      </c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</row>
    <row r="56" spans="1:53" ht="13.8">
      <c r="A56" s="194">
        <v>2042</v>
      </c>
      <c r="B56" s="231">
        <v>18100</v>
      </c>
      <c r="C56" s="240">
        <v>49100</v>
      </c>
      <c r="D56" s="231">
        <v>867600</v>
      </c>
      <c r="E56" s="240">
        <v>75</v>
      </c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</row>
    <row r="57" spans="1:53" ht="13.8">
      <c r="A57" s="194">
        <v>2043</v>
      </c>
      <c r="B57" s="231">
        <v>18100</v>
      </c>
      <c r="C57" s="240">
        <v>49100</v>
      </c>
      <c r="D57" s="231">
        <v>867600</v>
      </c>
      <c r="E57" s="240">
        <v>77</v>
      </c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</row>
    <row r="58" spans="1:53" ht="13.8">
      <c r="A58" s="194">
        <v>2044</v>
      </c>
      <c r="B58" s="231">
        <v>18100</v>
      </c>
      <c r="C58" s="240">
        <v>49100</v>
      </c>
      <c r="D58" s="231">
        <v>867600</v>
      </c>
      <c r="E58" s="240">
        <v>78</v>
      </c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</row>
    <row r="59" spans="1:53" ht="13.8">
      <c r="A59" s="194">
        <v>2045</v>
      </c>
      <c r="B59" s="231">
        <v>18100</v>
      </c>
      <c r="C59" s="240">
        <v>49100</v>
      </c>
      <c r="D59" s="231">
        <v>867600</v>
      </c>
      <c r="E59" s="240">
        <v>79</v>
      </c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</row>
    <row r="60" spans="1:53" ht="13.8">
      <c r="A60" s="194">
        <v>2046</v>
      </c>
      <c r="B60" s="231">
        <v>18100</v>
      </c>
      <c r="C60" s="240">
        <v>49100</v>
      </c>
      <c r="D60" s="231">
        <v>867600</v>
      </c>
      <c r="E60" s="240">
        <v>80</v>
      </c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</row>
    <row r="61" spans="1:53" ht="13.8">
      <c r="A61" s="194">
        <v>2047</v>
      </c>
      <c r="B61" s="231">
        <v>18100</v>
      </c>
      <c r="C61" s="240">
        <v>49100</v>
      </c>
      <c r="D61" s="231">
        <v>867600</v>
      </c>
      <c r="E61" s="240">
        <v>81</v>
      </c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</row>
    <row r="62" spans="1:53" ht="13.8">
      <c r="A62" s="194">
        <v>2048</v>
      </c>
      <c r="B62" s="231">
        <v>18100</v>
      </c>
      <c r="C62" s="240">
        <v>49100</v>
      </c>
      <c r="D62" s="231">
        <v>867600</v>
      </c>
      <c r="E62" s="240">
        <v>82</v>
      </c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</row>
    <row r="63" spans="1:53" ht="13.8">
      <c r="A63" s="194">
        <v>2049</v>
      </c>
      <c r="B63" s="231">
        <v>18100</v>
      </c>
      <c r="C63" s="240">
        <v>49100</v>
      </c>
      <c r="D63" s="231">
        <v>867600</v>
      </c>
      <c r="E63" s="240">
        <v>83</v>
      </c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</row>
    <row r="64" spans="1:53" ht="13.8">
      <c r="A64" s="239">
        <v>2050</v>
      </c>
      <c r="B64" s="232">
        <v>18100</v>
      </c>
      <c r="C64" s="241">
        <v>49100</v>
      </c>
      <c r="D64" s="232">
        <v>867600</v>
      </c>
      <c r="E64" s="241">
        <v>85</v>
      </c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</row>
    <row r="65" spans="1:53">
      <c r="A65" s="233" t="s">
        <v>169</v>
      </c>
      <c r="B65" s="89"/>
      <c r="C65" s="89"/>
      <c r="D65" s="89"/>
      <c r="E65" s="89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</row>
    <row r="66" spans="1:53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</row>
    <row r="67" spans="1:53" ht="13.8">
      <c r="A67" s="450" t="s">
        <v>170</v>
      </c>
      <c r="B67" s="451"/>
      <c r="C67" s="451"/>
      <c r="D67" s="452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</row>
    <row r="68" spans="1:53" ht="13.8">
      <c r="A68" s="70" t="s">
        <v>171</v>
      </c>
      <c r="B68" s="70" t="s">
        <v>166</v>
      </c>
      <c r="C68" s="70" t="s">
        <v>168</v>
      </c>
      <c r="D68" s="70" t="s">
        <v>172</v>
      </c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</row>
    <row r="69" spans="1:53">
      <c r="A69" s="71" t="s">
        <v>173</v>
      </c>
      <c r="B69" s="248">
        <v>0.192</v>
      </c>
      <c r="C69" s="249">
        <v>4.0000000000000001E-3</v>
      </c>
      <c r="D69" s="248">
        <v>4.1520000000000001</v>
      </c>
      <c r="E69" s="65"/>
      <c r="F69" s="304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</row>
    <row r="70" spans="1:53">
      <c r="A70" s="71" t="s">
        <v>174</v>
      </c>
      <c r="B70" s="248">
        <v>4.1689999999999996</v>
      </c>
      <c r="C70" s="249">
        <v>0.106</v>
      </c>
      <c r="D70" s="250">
        <v>2</v>
      </c>
      <c r="E70" s="72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</row>
    <row r="71" spans="1:53">
      <c r="A71" s="439" t="s">
        <v>175</v>
      </c>
      <c r="B71" s="440"/>
      <c r="C71" s="440"/>
      <c r="D71" s="441"/>
      <c r="E71" s="73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</row>
    <row r="72" spans="1:53" ht="13.2" customHeight="1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</row>
    <row r="73" spans="1:53">
      <c r="A73" s="65"/>
      <c r="B73" s="65"/>
      <c r="C73" s="65"/>
      <c r="D73" s="65"/>
      <c r="E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</row>
    <row r="74" spans="1:53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</row>
    <row r="75" spans="1:53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</row>
    <row r="76" spans="1:53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</row>
    <row r="77" spans="1:53">
      <c r="A77" s="74"/>
      <c r="B77" s="74"/>
      <c r="C77" s="74"/>
      <c r="D77" s="74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</row>
    <row r="78" spans="1:53" ht="12.75" customHeight="1">
      <c r="A78" s="74"/>
      <c r="B78" s="74"/>
      <c r="C78" s="74"/>
      <c r="D78" s="74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</row>
    <row r="79" spans="1:53">
      <c r="A79" s="74"/>
      <c r="B79" s="74"/>
      <c r="C79" s="74"/>
      <c r="D79" s="74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</row>
    <row r="80" spans="1:53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</row>
    <row r="81" spans="1:53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</row>
    <row r="82" spans="1:53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</row>
    <row r="83" spans="1:53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</row>
    <row r="84" spans="1:53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</row>
    <row r="85" spans="1:53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</row>
    <row r="86" spans="1:53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</row>
    <row r="87" spans="1:53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</row>
    <row r="88" spans="1:53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</row>
    <row r="89" spans="1:53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</row>
    <row r="90" spans="1:53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</row>
    <row r="91" spans="1:53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</row>
    <row r="92" spans="1:53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</row>
    <row r="93" spans="1:53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</row>
    <row r="94" spans="1:53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</row>
    <row r="95" spans="1:53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</row>
    <row r="96" spans="1:53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</row>
    <row r="97" spans="1:53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</row>
    <row r="98" spans="1:53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</row>
    <row r="99" spans="1:53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</row>
    <row r="100" spans="1:53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</row>
    <row r="101" spans="1:53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</row>
    <row r="102" spans="1:53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</row>
    <row r="103" spans="1:53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</row>
    <row r="104" spans="1:53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</row>
    <row r="105" spans="1:53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</row>
    <row r="106" spans="1:53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</row>
    <row r="107" spans="1:53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</row>
    <row r="108" spans="1:53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</row>
    <row r="109" spans="1:53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</row>
    <row r="110" spans="1:53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</row>
    <row r="111" spans="1:53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</row>
    <row r="112" spans="1:53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</row>
    <row r="113" spans="1:53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</row>
    <row r="114" spans="1:53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</row>
    <row r="115" spans="1:53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</row>
    <row r="116" spans="1:53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</row>
    <row r="117" spans="1:53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</row>
    <row r="118" spans="1:53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</row>
    <row r="119" spans="1:53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</row>
    <row r="120" spans="1:53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</row>
    <row r="121" spans="1:53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</row>
    <row r="122" spans="1:53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</row>
    <row r="123" spans="1:53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</row>
    <row r="124" spans="1:53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</row>
    <row r="125" spans="1:53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</row>
    <row r="126" spans="1:53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</row>
    <row r="127" spans="1:53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</row>
    <row r="128" spans="1:53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</row>
    <row r="129" spans="1:53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</row>
    <row r="130" spans="1:53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</row>
    <row r="131" spans="1:53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</row>
    <row r="132" spans="1:53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</row>
    <row r="133" spans="1:53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</row>
    <row r="134" spans="1:53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</row>
    <row r="135" spans="1:53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</row>
    <row r="136" spans="1:53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</row>
    <row r="137" spans="1:53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</row>
    <row r="138" spans="1:53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</row>
    <row r="139" spans="1:53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</row>
    <row r="140" spans="1:53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</row>
    <row r="141" spans="1:53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5"/>
      <c r="BA141" s="65"/>
    </row>
    <row r="142" spans="1:53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</row>
    <row r="143" spans="1:53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</row>
    <row r="144" spans="1:53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</row>
    <row r="145" spans="1:53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</row>
    <row r="146" spans="1:53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  <c r="AZ146" s="65"/>
      <c r="BA146" s="65"/>
    </row>
    <row r="147" spans="1:53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</row>
    <row r="148" spans="1:53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</row>
    <row r="149" spans="1:53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</row>
    <row r="150" spans="1:53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</row>
    <row r="151" spans="1:53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</row>
    <row r="152" spans="1:53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</row>
    <row r="153" spans="1:53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</row>
    <row r="154" spans="1:53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</row>
    <row r="155" spans="1:53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</row>
    <row r="156" spans="1:53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</row>
    <row r="157" spans="1:53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65"/>
      <c r="BA157" s="65"/>
    </row>
    <row r="158" spans="1:53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</row>
    <row r="159" spans="1:53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</row>
    <row r="160" spans="1:53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</row>
    <row r="161" spans="1:53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</row>
    <row r="162" spans="1:53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</row>
    <row r="163" spans="1:53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</row>
    <row r="164" spans="1:53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</row>
    <row r="165" spans="1:53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</row>
    <row r="166" spans="1:53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AQ166" s="65"/>
      <c r="AR166" s="65"/>
      <c r="AS166" s="65"/>
      <c r="AT166" s="65"/>
      <c r="AU166" s="65"/>
      <c r="AV166" s="65"/>
      <c r="AW166" s="65"/>
      <c r="AX166" s="65"/>
      <c r="AY166" s="65"/>
      <c r="AZ166" s="65"/>
      <c r="BA166" s="65"/>
    </row>
    <row r="167" spans="1:53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  <c r="AL167" s="65"/>
      <c r="AM167" s="65"/>
      <c r="AN167" s="65"/>
      <c r="AO167" s="65"/>
      <c r="AP167" s="65"/>
      <c r="AQ167" s="65"/>
      <c r="AR167" s="65"/>
      <c r="AS167" s="65"/>
      <c r="AT167" s="65"/>
      <c r="AU167" s="65"/>
      <c r="AV167" s="65"/>
      <c r="AW167" s="65"/>
      <c r="AX167" s="65"/>
      <c r="AY167" s="65"/>
      <c r="AZ167" s="65"/>
      <c r="BA167" s="65"/>
    </row>
    <row r="168" spans="1:53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5"/>
    </row>
    <row r="169" spans="1:53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</row>
    <row r="170" spans="1:53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</row>
    <row r="171" spans="1:53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</row>
    <row r="172" spans="1:53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O172" s="65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  <c r="BA172" s="65"/>
    </row>
    <row r="173" spans="1:53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</row>
    <row r="174" spans="1:53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</row>
    <row r="175" spans="1:53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65"/>
      <c r="AT175" s="65"/>
      <c r="AU175" s="65"/>
      <c r="AV175" s="65"/>
      <c r="AW175" s="65"/>
      <c r="AX175" s="65"/>
      <c r="AY175" s="65"/>
      <c r="AZ175" s="65"/>
      <c r="BA175" s="65"/>
    </row>
    <row r="176" spans="1:53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5"/>
      <c r="BA176" s="65"/>
    </row>
    <row r="177" spans="1:53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5"/>
      <c r="BA177" s="65"/>
    </row>
    <row r="178" spans="1:53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</row>
    <row r="179" spans="1:53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</row>
    <row r="180" spans="1:53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  <c r="AI180" s="65"/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</row>
    <row r="181" spans="1:53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</row>
    <row r="182" spans="1:53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</row>
    <row r="183" spans="1:53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</row>
    <row r="184" spans="1:53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65"/>
      <c r="AM184" s="65"/>
      <c r="AN184" s="65"/>
      <c r="AO184" s="65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  <c r="BA184" s="65"/>
    </row>
    <row r="185" spans="1:53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65"/>
      <c r="AM185" s="65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</row>
    <row r="186" spans="1:53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</row>
    <row r="187" spans="1:53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</row>
    <row r="188" spans="1:53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</row>
    <row r="189" spans="1:53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  <c r="BA189" s="65"/>
    </row>
    <row r="190" spans="1:53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  <c r="BA190" s="65"/>
    </row>
    <row r="191" spans="1:53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</row>
    <row r="192" spans="1:53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65"/>
      <c r="AM192" s="65"/>
      <c r="AN192" s="65"/>
      <c r="AO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</row>
    <row r="193" spans="1:53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</row>
    <row r="194" spans="1:53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</row>
    <row r="195" spans="1:53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  <c r="AL195" s="65"/>
      <c r="AM195" s="65"/>
      <c r="AN195" s="65"/>
      <c r="AO195" s="65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</row>
    <row r="196" spans="1:53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</row>
    <row r="197" spans="1:53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</row>
    <row r="198" spans="1:53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  <c r="AH198" s="65"/>
      <c r="AI198" s="65"/>
      <c r="AJ198" s="65"/>
      <c r="AK198" s="65"/>
      <c r="AL198" s="65"/>
      <c r="AM198" s="65"/>
      <c r="AN198" s="65"/>
      <c r="AO198" s="65"/>
      <c r="AP198" s="65"/>
      <c r="AQ198" s="65"/>
      <c r="AR198" s="65"/>
      <c r="AS198" s="65"/>
      <c r="AT198" s="65"/>
      <c r="AU198" s="65"/>
      <c r="AV198" s="65"/>
      <c r="AW198" s="65"/>
      <c r="AX198" s="65"/>
      <c r="AY198" s="65"/>
      <c r="AZ198" s="65"/>
      <c r="BA198" s="65"/>
    </row>
    <row r="199" spans="1:53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  <c r="AL199" s="65"/>
      <c r="AM199" s="65"/>
      <c r="AN199" s="65"/>
      <c r="AO199" s="65"/>
      <c r="AP199" s="65"/>
      <c r="AQ199" s="65"/>
      <c r="AR199" s="65"/>
      <c r="AS199" s="65"/>
      <c r="AT199" s="65"/>
      <c r="AU199" s="65"/>
      <c r="AV199" s="65"/>
      <c r="AW199" s="65"/>
      <c r="AX199" s="65"/>
      <c r="AY199" s="65"/>
      <c r="AZ199" s="65"/>
      <c r="BA199" s="65"/>
    </row>
    <row r="200" spans="1:53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</row>
    <row r="201" spans="1:53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</row>
    <row r="202" spans="1:53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</row>
    <row r="203" spans="1:53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5"/>
      <c r="BA203" s="65"/>
    </row>
    <row r="204" spans="1:53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65"/>
      <c r="AT204" s="65"/>
      <c r="AU204" s="65"/>
      <c r="AV204" s="65"/>
      <c r="AW204" s="65"/>
      <c r="AX204" s="65"/>
      <c r="AY204" s="65"/>
      <c r="AZ204" s="65"/>
      <c r="BA204" s="65"/>
    </row>
    <row r="205" spans="1:53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</row>
    <row r="206" spans="1:53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  <c r="BA206" s="65"/>
    </row>
    <row r="207" spans="1:53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  <c r="AU207" s="65"/>
      <c r="AV207" s="65"/>
      <c r="AW207" s="65"/>
      <c r="AX207" s="65"/>
      <c r="AY207" s="65"/>
      <c r="AZ207" s="65"/>
      <c r="BA207" s="65"/>
    </row>
    <row r="208" spans="1:53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  <c r="AH208" s="65"/>
      <c r="AI208" s="65"/>
      <c r="AJ208" s="65"/>
      <c r="AK208" s="65"/>
      <c r="AL208" s="65"/>
      <c r="AM208" s="65"/>
      <c r="AN208" s="65"/>
      <c r="AO208" s="65"/>
      <c r="AP208" s="65"/>
      <c r="AQ208" s="65"/>
      <c r="AR208" s="65"/>
      <c r="AS208" s="65"/>
      <c r="AT208" s="65"/>
      <c r="AU208" s="65"/>
      <c r="AV208" s="65"/>
      <c r="AW208" s="65"/>
      <c r="AX208" s="65"/>
      <c r="AY208" s="65"/>
      <c r="AZ208" s="65"/>
      <c r="BA208" s="65"/>
    </row>
    <row r="209" spans="1:53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5"/>
      <c r="AN209" s="65"/>
      <c r="AO209" s="65"/>
      <c r="AP209" s="65"/>
      <c r="AQ209" s="65"/>
      <c r="AR209" s="65"/>
      <c r="AS209" s="65"/>
      <c r="AT209" s="65"/>
      <c r="AU209" s="65"/>
      <c r="AV209" s="65"/>
      <c r="AW209" s="65"/>
      <c r="AX209" s="65"/>
      <c r="AY209" s="65"/>
      <c r="AZ209" s="65"/>
      <c r="BA209" s="65"/>
    </row>
    <row r="210" spans="1:53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</row>
    <row r="211" spans="1:53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  <c r="AQ211" s="65"/>
      <c r="AR211" s="65"/>
      <c r="AS211" s="65"/>
      <c r="AT211" s="65"/>
      <c r="AU211" s="65"/>
      <c r="AV211" s="65"/>
      <c r="AW211" s="65"/>
      <c r="AX211" s="65"/>
      <c r="AY211" s="65"/>
      <c r="AZ211" s="65"/>
      <c r="BA211" s="65"/>
    </row>
    <row r="212" spans="1:53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</row>
    <row r="213" spans="1:53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</row>
    <row r="214" spans="1:53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</row>
    <row r="215" spans="1:53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  <c r="BA215" s="65"/>
    </row>
    <row r="216" spans="1:53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  <c r="AL216" s="65"/>
      <c r="AM216" s="65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  <c r="BA216" s="65"/>
    </row>
    <row r="217" spans="1:53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/>
    </row>
    <row r="218" spans="1:53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65"/>
      <c r="AM218" s="65"/>
      <c r="AN218" s="65"/>
      <c r="AO218" s="65"/>
      <c r="AP218" s="65"/>
      <c r="AQ218" s="65"/>
      <c r="AR218" s="65"/>
      <c r="AS218" s="65"/>
      <c r="AT218" s="65"/>
      <c r="AU218" s="65"/>
      <c r="AV218" s="65"/>
      <c r="AW218" s="65"/>
      <c r="AX218" s="65"/>
      <c r="AY218" s="65"/>
      <c r="AZ218" s="65"/>
      <c r="BA218" s="65"/>
    </row>
    <row r="219" spans="1:53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  <c r="AG219" s="65"/>
      <c r="AH219" s="65"/>
      <c r="AI219" s="65"/>
      <c r="AJ219" s="65"/>
      <c r="AK219" s="65"/>
      <c r="AL219" s="65"/>
      <c r="AM219" s="65"/>
      <c r="AN219" s="65"/>
      <c r="AO219" s="65"/>
      <c r="AP219" s="65"/>
      <c r="AQ219" s="65"/>
      <c r="AR219" s="65"/>
      <c r="AS219" s="65"/>
      <c r="AT219" s="65"/>
      <c r="AU219" s="65"/>
      <c r="AV219" s="65"/>
      <c r="AW219" s="65"/>
      <c r="AX219" s="65"/>
      <c r="AY219" s="65"/>
      <c r="AZ219" s="65"/>
      <c r="BA219" s="65"/>
    </row>
    <row r="220" spans="1:53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  <c r="AH220" s="65"/>
      <c r="AI220" s="65"/>
      <c r="AJ220" s="65"/>
      <c r="AK220" s="65"/>
      <c r="AL220" s="65"/>
      <c r="AM220" s="65"/>
      <c r="AN220" s="65"/>
      <c r="AO220" s="65"/>
      <c r="AP220" s="65"/>
      <c r="AQ220" s="65"/>
      <c r="AR220" s="65"/>
      <c r="AS220" s="65"/>
      <c r="AT220" s="65"/>
      <c r="AU220" s="65"/>
      <c r="AV220" s="65"/>
      <c r="AW220" s="65"/>
      <c r="AX220" s="65"/>
      <c r="AY220" s="65"/>
      <c r="AZ220" s="65"/>
      <c r="BA220" s="65"/>
    </row>
    <row r="221" spans="1:53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  <c r="AI221" s="65"/>
      <c r="AJ221" s="65"/>
      <c r="AK221" s="65"/>
      <c r="AL221" s="65"/>
      <c r="AM221" s="65"/>
      <c r="AN221" s="65"/>
      <c r="AO221" s="65"/>
      <c r="AP221" s="65"/>
      <c r="AQ221" s="65"/>
      <c r="AR221" s="65"/>
      <c r="AS221" s="65"/>
      <c r="AT221" s="65"/>
      <c r="AU221" s="65"/>
      <c r="AV221" s="65"/>
      <c r="AW221" s="65"/>
      <c r="AX221" s="65"/>
      <c r="AY221" s="65"/>
      <c r="AZ221" s="65"/>
      <c r="BA221" s="65"/>
    </row>
    <row r="222" spans="1:53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</row>
    <row r="223" spans="1:53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  <c r="BA223" s="65"/>
    </row>
    <row r="224" spans="1:53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</row>
    <row r="225" spans="1:53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</row>
    <row r="226" spans="1:53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</row>
    <row r="227" spans="1:53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</row>
    <row r="228" spans="1:53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  <c r="AM228" s="65"/>
      <c r="AN228" s="65"/>
      <c r="AO228" s="65"/>
      <c r="AP228" s="65"/>
      <c r="AQ228" s="65"/>
      <c r="AR228" s="65"/>
      <c r="AS228" s="65"/>
      <c r="AT228" s="65"/>
      <c r="AU228" s="65"/>
      <c r="AV228" s="65"/>
      <c r="AW228" s="65"/>
      <c r="AX228" s="65"/>
      <c r="AY228" s="65"/>
      <c r="AZ228" s="65"/>
      <c r="BA228" s="65"/>
    </row>
    <row r="229" spans="1:53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  <c r="AH229" s="65"/>
      <c r="AI229" s="65"/>
      <c r="AJ229" s="65"/>
      <c r="AK229" s="65"/>
      <c r="AL229" s="65"/>
      <c r="AM229" s="65"/>
      <c r="AN229" s="65"/>
      <c r="AO229" s="65"/>
      <c r="AP229" s="65"/>
      <c r="AQ229" s="65"/>
      <c r="AR229" s="65"/>
      <c r="AS229" s="65"/>
      <c r="AT229" s="65"/>
      <c r="AU229" s="65"/>
      <c r="AV229" s="65"/>
      <c r="AW229" s="65"/>
      <c r="AX229" s="65"/>
      <c r="AY229" s="65"/>
      <c r="AZ229" s="65"/>
      <c r="BA229" s="65"/>
    </row>
    <row r="230" spans="1:53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  <c r="AM230" s="65"/>
      <c r="AN230" s="65"/>
      <c r="AO230" s="65"/>
      <c r="AP230" s="65"/>
      <c r="AQ230" s="65"/>
      <c r="AR230" s="65"/>
      <c r="AS230" s="65"/>
      <c r="AT230" s="65"/>
      <c r="AU230" s="65"/>
      <c r="AV230" s="65"/>
      <c r="AW230" s="65"/>
      <c r="AX230" s="65"/>
      <c r="AY230" s="65"/>
      <c r="AZ230" s="65"/>
      <c r="BA230" s="65"/>
    </row>
    <row r="231" spans="1:53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</row>
    <row r="232" spans="1:53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AO232" s="65"/>
      <c r="AP232" s="65"/>
      <c r="AQ232" s="65"/>
      <c r="AR232" s="65"/>
      <c r="AS232" s="65"/>
      <c r="AT232" s="65"/>
      <c r="AU232" s="65"/>
      <c r="AV232" s="65"/>
      <c r="AW232" s="65"/>
      <c r="AX232" s="65"/>
      <c r="AY232" s="65"/>
      <c r="AZ232" s="65"/>
      <c r="BA232" s="65"/>
    </row>
    <row r="233" spans="1:53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  <c r="BA233" s="65"/>
    </row>
    <row r="234" spans="1:53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  <c r="AI234" s="65"/>
      <c r="AJ234" s="65"/>
      <c r="AK234" s="65"/>
      <c r="AL234" s="65"/>
      <c r="AM234" s="65"/>
      <c r="AN234" s="65"/>
      <c r="AO234" s="65"/>
      <c r="AP234" s="65"/>
      <c r="AQ234" s="65"/>
      <c r="AR234" s="65"/>
      <c r="AS234" s="65"/>
      <c r="AT234" s="65"/>
      <c r="AU234" s="65"/>
      <c r="AV234" s="65"/>
      <c r="AW234" s="65"/>
      <c r="AX234" s="65"/>
      <c r="AY234" s="65"/>
      <c r="AZ234" s="65"/>
      <c r="BA234" s="65"/>
    </row>
    <row r="235" spans="1:53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  <c r="AF235" s="65"/>
      <c r="AG235" s="65"/>
      <c r="AH235" s="65"/>
      <c r="AI235" s="65"/>
      <c r="AJ235" s="65"/>
      <c r="AK235" s="65"/>
      <c r="AL235" s="65"/>
      <c r="AM235" s="65"/>
      <c r="AN235" s="65"/>
      <c r="AO235" s="65"/>
      <c r="AP235" s="65"/>
      <c r="AQ235" s="65"/>
      <c r="AR235" s="65"/>
      <c r="AS235" s="65"/>
      <c r="AT235" s="65"/>
      <c r="AU235" s="65"/>
      <c r="AV235" s="65"/>
      <c r="AW235" s="65"/>
      <c r="AX235" s="65"/>
      <c r="AY235" s="65"/>
      <c r="AZ235" s="65"/>
      <c r="BA235" s="65"/>
    </row>
    <row r="236" spans="1:53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  <c r="AH236" s="65"/>
      <c r="AI236" s="65"/>
      <c r="AJ236" s="65"/>
      <c r="AK236" s="65"/>
      <c r="AL236" s="65"/>
      <c r="AM236" s="65"/>
      <c r="AN236" s="65"/>
      <c r="AO236" s="65"/>
      <c r="AP236" s="65"/>
      <c r="AQ236" s="65"/>
      <c r="AR236" s="65"/>
      <c r="AS236" s="65"/>
      <c r="AT236" s="65"/>
      <c r="AU236" s="65"/>
      <c r="AV236" s="65"/>
      <c r="AW236" s="65"/>
      <c r="AX236" s="65"/>
      <c r="AY236" s="65"/>
      <c r="AZ236" s="65"/>
      <c r="BA236" s="65"/>
    </row>
    <row r="237" spans="1:53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  <c r="AF237" s="65"/>
      <c r="AG237" s="65"/>
      <c r="AH237" s="65"/>
      <c r="AI237" s="65"/>
      <c r="AJ237" s="65"/>
      <c r="AK237" s="65"/>
      <c r="AL237" s="65"/>
      <c r="AM237" s="65"/>
      <c r="AN237" s="65"/>
      <c r="AO237" s="65"/>
      <c r="AP237" s="65"/>
      <c r="AQ237" s="65"/>
      <c r="AR237" s="65"/>
      <c r="AS237" s="65"/>
      <c r="AT237" s="65"/>
      <c r="AU237" s="65"/>
      <c r="AV237" s="65"/>
      <c r="AW237" s="65"/>
      <c r="AX237" s="65"/>
      <c r="AY237" s="65"/>
      <c r="AZ237" s="65"/>
      <c r="BA237" s="65"/>
    </row>
    <row r="238" spans="1:53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  <c r="AH238" s="65"/>
      <c r="AI238" s="65"/>
      <c r="AJ238" s="65"/>
      <c r="AK238" s="65"/>
      <c r="AL238" s="65"/>
      <c r="AM238" s="65"/>
      <c r="AN238" s="65"/>
      <c r="AO238" s="65"/>
      <c r="AP238" s="65"/>
      <c r="AQ238" s="65"/>
      <c r="AR238" s="65"/>
      <c r="AS238" s="65"/>
      <c r="AT238" s="65"/>
      <c r="AU238" s="65"/>
      <c r="AV238" s="65"/>
      <c r="AW238" s="65"/>
      <c r="AX238" s="65"/>
      <c r="AY238" s="65"/>
      <c r="AZ238" s="65"/>
      <c r="BA238" s="65"/>
    </row>
    <row r="239" spans="1:53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65"/>
      <c r="AM239" s="65"/>
      <c r="AN239" s="65"/>
      <c r="AO239" s="65"/>
      <c r="AP239" s="65"/>
      <c r="AQ239" s="65"/>
      <c r="AR239" s="65"/>
      <c r="AS239" s="65"/>
      <c r="AT239" s="65"/>
      <c r="AU239" s="65"/>
      <c r="AV239" s="65"/>
      <c r="AW239" s="65"/>
      <c r="AX239" s="65"/>
      <c r="AY239" s="65"/>
      <c r="AZ239" s="65"/>
      <c r="BA239" s="65"/>
    </row>
    <row r="240" spans="1:53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  <c r="AH240" s="65"/>
      <c r="AI240" s="65"/>
      <c r="AJ240" s="65"/>
      <c r="AK240" s="65"/>
      <c r="AL240" s="65"/>
      <c r="AM240" s="65"/>
      <c r="AN240" s="65"/>
      <c r="AO240" s="65"/>
      <c r="AP240" s="65"/>
      <c r="AQ240" s="65"/>
      <c r="AR240" s="65"/>
      <c r="AS240" s="65"/>
      <c r="AT240" s="65"/>
      <c r="AU240" s="65"/>
      <c r="AV240" s="65"/>
      <c r="AW240" s="65"/>
      <c r="AX240" s="65"/>
      <c r="AY240" s="65"/>
      <c r="AZ240" s="65"/>
      <c r="BA240" s="65"/>
    </row>
    <row r="241" spans="1:53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  <c r="AH241" s="65"/>
      <c r="AI241" s="65"/>
      <c r="AJ241" s="65"/>
      <c r="AK241" s="65"/>
      <c r="AL241" s="65"/>
      <c r="AM241" s="65"/>
      <c r="AN241" s="65"/>
      <c r="AO241" s="65"/>
      <c r="AP241" s="65"/>
      <c r="AQ241" s="65"/>
      <c r="AR241" s="65"/>
      <c r="AS241" s="65"/>
      <c r="AT241" s="65"/>
      <c r="AU241" s="65"/>
      <c r="AV241" s="65"/>
      <c r="AW241" s="65"/>
      <c r="AX241" s="65"/>
      <c r="AY241" s="65"/>
      <c r="AZ241" s="65"/>
      <c r="BA241" s="65"/>
    </row>
    <row r="242" spans="1:53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  <c r="AM242" s="65"/>
      <c r="AN242" s="65"/>
      <c r="AO242" s="65"/>
      <c r="AP242" s="65"/>
      <c r="AQ242" s="65"/>
      <c r="AR242" s="65"/>
      <c r="AS242" s="65"/>
      <c r="AT242" s="65"/>
      <c r="AU242" s="65"/>
      <c r="AV242" s="65"/>
      <c r="AW242" s="65"/>
      <c r="AX242" s="65"/>
      <c r="AY242" s="65"/>
      <c r="AZ242" s="65"/>
      <c r="BA242" s="65"/>
    </row>
    <row r="243" spans="1:53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5"/>
      <c r="AW243" s="65"/>
      <c r="AX243" s="65"/>
      <c r="AY243" s="65"/>
      <c r="AZ243" s="65"/>
      <c r="BA243" s="65"/>
    </row>
    <row r="244" spans="1:53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  <c r="BA244" s="65"/>
    </row>
    <row r="245" spans="1:53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5"/>
    </row>
    <row r="246" spans="1:53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  <c r="AL246" s="65"/>
      <c r="AM246" s="65"/>
      <c r="AN246" s="65"/>
      <c r="AO246" s="65"/>
      <c r="AP246" s="65"/>
      <c r="AQ246" s="65"/>
      <c r="AR246" s="65"/>
      <c r="AS246" s="65"/>
      <c r="AT246" s="65"/>
      <c r="AU246" s="65"/>
      <c r="AV246" s="65"/>
      <c r="AW246" s="65"/>
      <c r="AX246" s="65"/>
      <c r="AY246" s="65"/>
      <c r="AZ246" s="65"/>
      <c r="BA246" s="65"/>
    </row>
    <row r="247" spans="1:53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5"/>
      <c r="AW247" s="65"/>
      <c r="AX247" s="65"/>
      <c r="AY247" s="65"/>
      <c r="AZ247" s="65"/>
      <c r="BA247" s="65"/>
    </row>
    <row r="248" spans="1:53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  <c r="AX248" s="65"/>
      <c r="AY248" s="65"/>
      <c r="AZ248" s="65"/>
      <c r="BA248" s="65"/>
    </row>
    <row r="249" spans="1:53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65"/>
      <c r="BA249" s="65"/>
    </row>
    <row r="250" spans="1:53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65"/>
    </row>
    <row r="251" spans="1:53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  <c r="BA251" s="65"/>
    </row>
    <row r="252" spans="1:53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  <c r="AX252" s="65"/>
      <c r="AY252" s="65"/>
      <c r="AZ252" s="65"/>
      <c r="BA252" s="65"/>
    </row>
    <row r="253" spans="1:53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  <c r="AL253" s="65"/>
      <c r="AM253" s="65"/>
      <c r="AN253" s="65"/>
      <c r="AO253" s="65"/>
      <c r="AP253" s="65"/>
      <c r="AQ253" s="65"/>
      <c r="AR253" s="65"/>
      <c r="AS253" s="65"/>
      <c r="AT253" s="65"/>
      <c r="AU253" s="65"/>
      <c r="AV253" s="65"/>
      <c r="AW253" s="65"/>
      <c r="AX253" s="65"/>
      <c r="AY253" s="65"/>
      <c r="AZ253" s="65"/>
      <c r="BA253" s="65"/>
    </row>
    <row r="254" spans="1:53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  <c r="AM254" s="65"/>
      <c r="AN254" s="65"/>
      <c r="AO254" s="65"/>
      <c r="AP254" s="65"/>
      <c r="AQ254" s="65"/>
      <c r="AR254" s="65"/>
      <c r="AS254" s="65"/>
      <c r="AT254" s="65"/>
      <c r="AU254" s="65"/>
      <c r="AV254" s="65"/>
      <c r="AW254" s="65"/>
      <c r="AX254" s="65"/>
      <c r="AY254" s="65"/>
      <c r="AZ254" s="65"/>
      <c r="BA254" s="65"/>
    </row>
    <row r="255" spans="1:53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/>
      <c r="AS255" s="65"/>
      <c r="AT255" s="65"/>
      <c r="AU255" s="65"/>
      <c r="AV255" s="65"/>
      <c r="AW255" s="65"/>
      <c r="AX255" s="65"/>
      <c r="AY255" s="65"/>
      <c r="AZ255" s="65"/>
      <c r="BA255" s="65"/>
    </row>
    <row r="256" spans="1:53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5"/>
      <c r="AU256" s="65"/>
      <c r="AV256" s="65"/>
      <c r="AW256" s="65"/>
      <c r="AX256" s="65"/>
      <c r="AY256" s="65"/>
      <c r="AZ256" s="65"/>
      <c r="BA256" s="65"/>
    </row>
    <row r="257" spans="1:53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  <c r="AH257" s="65"/>
      <c r="AI257" s="65"/>
      <c r="AJ257" s="65"/>
      <c r="AK257" s="65"/>
      <c r="AL257" s="65"/>
      <c r="AM257" s="65"/>
      <c r="AN257" s="65"/>
      <c r="AO257" s="65"/>
      <c r="AP257" s="65"/>
      <c r="AQ257" s="65"/>
      <c r="AR257" s="65"/>
      <c r="AS257" s="65"/>
      <c r="AT257" s="65"/>
      <c r="AU257" s="65"/>
      <c r="AV257" s="65"/>
      <c r="AW257" s="65"/>
      <c r="AX257" s="65"/>
      <c r="AY257" s="65"/>
      <c r="AZ257" s="65"/>
      <c r="BA257" s="65"/>
    </row>
    <row r="258" spans="1:53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  <c r="AH258" s="65"/>
      <c r="AI258" s="65"/>
      <c r="AJ258" s="65"/>
      <c r="AK258" s="65"/>
      <c r="AL258" s="65"/>
      <c r="AM258" s="65"/>
      <c r="AN258" s="65"/>
      <c r="AO258" s="65"/>
      <c r="AP258" s="65"/>
      <c r="AQ258" s="65"/>
      <c r="AR258" s="65"/>
      <c r="AS258" s="65"/>
      <c r="AT258" s="65"/>
      <c r="AU258" s="65"/>
      <c r="AV258" s="65"/>
      <c r="AW258" s="65"/>
      <c r="AX258" s="65"/>
      <c r="AY258" s="65"/>
      <c r="AZ258" s="65"/>
      <c r="BA258" s="65"/>
    </row>
    <row r="259" spans="1:53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  <c r="AH259" s="65"/>
      <c r="AI259" s="65"/>
      <c r="AJ259" s="65"/>
      <c r="AK259" s="65"/>
      <c r="AL259" s="65"/>
      <c r="AM259" s="65"/>
      <c r="AN259" s="65"/>
      <c r="AO259" s="65"/>
      <c r="AP259" s="65"/>
      <c r="AQ259" s="65"/>
      <c r="AR259" s="65"/>
      <c r="AS259" s="65"/>
      <c r="AT259" s="65"/>
      <c r="AU259" s="65"/>
      <c r="AV259" s="65"/>
      <c r="AW259" s="65"/>
      <c r="AX259" s="65"/>
      <c r="AY259" s="65"/>
      <c r="AZ259" s="65"/>
      <c r="BA259" s="65"/>
    </row>
    <row r="260" spans="1:53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  <c r="AH260" s="65"/>
      <c r="AI260" s="65"/>
      <c r="AJ260" s="65"/>
      <c r="AK260" s="65"/>
      <c r="AL260" s="65"/>
      <c r="AM260" s="65"/>
      <c r="AN260" s="65"/>
      <c r="AO260" s="65"/>
      <c r="AP260" s="65"/>
      <c r="AQ260" s="65"/>
      <c r="AR260" s="65"/>
      <c r="AS260" s="65"/>
      <c r="AT260" s="65"/>
      <c r="AU260" s="65"/>
      <c r="AV260" s="65"/>
      <c r="AW260" s="65"/>
      <c r="AX260" s="65"/>
      <c r="AY260" s="65"/>
      <c r="AZ260" s="65"/>
      <c r="BA260" s="65"/>
    </row>
    <row r="261" spans="1:53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  <c r="AH261" s="65"/>
      <c r="AI261" s="65"/>
      <c r="AJ261" s="65"/>
      <c r="AK261" s="65"/>
      <c r="AL261" s="65"/>
      <c r="AM261" s="65"/>
      <c r="AN261" s="65"/>
      <c r="AO261" s="65"/>
      <c r="AP261" s="65"/>
      <c r="AQ261" s="65"/>
      <c r="AR261" s="65"/>
      <c r="AS261" s="65"/>
      <c r="AT261" s="65"/>
      <c r="AU261" s="65"/>
      <c r="AV261" s="65"/>
      <c r="AW261" s="65"/>
      <c r="AX261" s="65"/>
      <c r="AY261" s="65"/>
      <c r="AZ261" s="65"/>
      <c r="BA261" s="65"/>
    </row>
    <row r="262" spans="1:53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  <c r="AH262" s="65"/>
      <c r="AI262" s="65"/>
      <c r="AJ262" s="65"/>
      <c r="AK262" s="65"/>
      <c r="AL262" s="65"/>
      <c r="AM262" s="65"/>
      <c r="AN262" s="65"/>
      <c r="AO262" s="65"/>
      <c r="AP262" s="65"/>
      <c r="AQ262" s="65"/>
      <c r="AR262" s="65"/>
      <c r="AS262" s="65"/>
      <c r="AT262" s="65"/>
      <c r="AU262" s="65"/>
      <c r="AV262" s="65"/>
      <c r="AW262" s="65"/>
      <c r="AX262" s="65"/>
      <c r="AY262" s="65"/>
      <c r="AZ262" s="65"/>
      <c r="BA262" s="65"/>
    </row>
    <row r="263" spans="1:53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  <c r="AH263" s="65"/>
      <c r="AI263" s="65"/>
      <c r="AJ263" s="65"/>
      <c r="AK263" s="65"/>
      <c r="AL263" s="65"/>
      <c r="AM263" s="65"/>
      <c r="AN263" s="65"/>
      <c r="AO263" s="65"/>
      <c r="AP263" s="65"/>
      <c r="AQ263" s="65"/>
      <c r="AR263" s="65"/>
      <c r="AS263" s="65"/>
      <c r="AT263" s="65"/>
      <c r="AU263" s="65"/>
      <c r="AV263" s="65"/>
      <c r="AW263" s="65"/>
      <c r="AX263" s="65"/>
      <c r="AY263" s="65"/>
      <c r="AZ263" s="65"/>
      <c r="BA263" s="65"/>
    </row>
    <row r="264" spans="1:53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  <c r="AJ264" s="65"/>
      <c r="AK264" s="65"/>
      <c r="AL264" s="65"/>
      <c r="AM264" s="65"/>
      <c r="AN264" s="65"/>
      <c r="AO264" s="65"/>
      <c r="AP264" s="65"/>
      <c r="AQ264" s="65"/>
      <c r="AR264" s="65"/>
      <c r="AS264" s="65"/>
      <c r="AT264" s="65"/>
      <c r="AU264" s="65"/>
      <c r="AV264" s="65"/>
      <c r="AW264" s="65"/>
      <c r="AX264" s="65"/>
      <c r="AY264" s="65"/>
      <c r="AZ264" s="65"/>
      <c r="BA264" s="65"/>
    </row>
    <row r="265" spans="1:53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  <c r="AH265" s="65"/>
      <c r="AI265" s="65"/>
      <c r="AJ265" s="65"/>
      <c r="AK265" s="65"/>
      <c r="AL265" s="65"/>
      <c r="AM265" s="65"/>
      <c r="AN265" s="65"/>
      <c r="AO265" s="65"/>
      <c r="AP265" s="65"/>
      <c r="AQ265" s="65"/>
      <c r="AR265" s="65"/>
      <c r="AS265" s="65"/>
      <c r="AT265" s="65"/>
      <c r="AU265" s="65"/>
      <c r="AV265" s="65"/>
      <c r="AW265" s="65"/>
      <c r="AX265" s="65"/>
      <c r="AY265" s="65"/>
      <c r="AZ265" s="65"/>
      <c r="BA265" s="65"/>
    </row>
    <row r="266" spans="1:53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  <c r="AF266" s="65"/>
      <c r="AG266" s="65"/>
      <c r="AH266" s="65"/>
      <c r="AI266" s="65"/>
      <c r="AJ266" s="65"/>
      <c r="AK266" s="65"/>
      <c r="AL266" s="65"/>
      <c r="AM266" s="65"/>
      <c r="AN266" s="65"/>
      <c r="AO266" s="65"/>
      <c r="AP266" s="65"/>
      <c r="AQ266" s="65"/>
      <c r="AR266" s="65"/>
      <c r="AS266" s="65"/>
      <c r="AT266" s="65"/>
      <c r="AU266" s="65"/>
      <c r="AV266" s="65"/>
      <c r="AW266" s="65"/>
      <c r="AX266" s="65"/>
      <c r="AY266" s="65"/>
      <c r="AZ266" s="65"/>
      <c r="BA266" s="65"/>
    </row>
    <row r="267" spans="1:53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  <c r="AF267" s="65"/>
      <c r="AG267" s="65"/>
      <c r="AH267" s="65"/>
      <c r="AI267" s="65"/>
      <c r="AJ267" s="65"/>
      <c r="AK267" s="65"/>
      <c r="AL267" s="65"/>
      <c r="AM267" s="65"/>
      <c r="AN267" s="65"/>
      <c r="AO267" s="65"/>
      <c r="AP267" s="65"/>
      <c r="AQ267" s="65"/>
      <c r="AR267" s="65"/>
      <c r="AS267" s="65"/>
      <c r="AT267" s="65"/>
      <c r="AU267" s="65"/>
      <c r="AV267" s="65"/>
      <c r="AW267" s="65"/>
      <c r="AX267" s="65"/>
      <c r="AY267" s="65"/>
      <c r="AZ267" s="65"/>
      <c r="BA267" s="65"/>
    </row>
    <row r="268" spans="1:53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  <c r="AA268" s="65"/>
      <c r="AB268" s="65"/>
      <c r="AC268" s="65"/>
      <c r="AD268" s="65"/>
      <c r="AE268" s="65"/>
      <c r="AF268" s="65"/>
      <c r="AG268" s="65"/>
      <c r="AH268" s="65"/>
      <c r="AI268" s="65"/>
      <c r="AJ268" s="65"/>
      <c r="AK268" s="65"/>
      <c r="AL268" s="65"/>
      <c r="AM268" s="65"/>
      <c r="AN268" s="65"/>
      <c r="AO268" s="65"/>
      <c r="AP268" s="65"/>
      <c r="AQ268" s="65"/>
      <c r="AR268" s="65"/>
      <c r="AS268" s="65"/>
      <c r="AT268" s="65"/>
      <c r="AU268" s="65"/>
      <c r="AV268" s="65"/>
      <c r="AW268" s="65"/>
      <c r="AX268" s="65"/>
      <c r="AY268" s="65"/>
      <c r="AZ268" s="65"/>
      <c r="BA268" s="65"/>
    </row>
    <row r="269" spans="1:53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  <c r="AF269" s="65"/>
      <c r="AG269" s="65"/>
      <c r="AH269" s="65"/>
      <c r="AI269" s="65"/>
      <c r="AJ269" s="65"/>
      <c r="AK269" s="65"/>
      <c r="AL269" s="65"/>
      <c r="AM269" s="65"/>
      <c r="AN269" s="65"/>
      <c r="AO269" s="65"/>
      <c r="AP269" s="65"/>
      <c r="AQ269" s="65"/>
      <c r="AR269" s="65"/>
      <c r="AS269" s="65"/>
      <c r="AT269" s="65"/>
      <c r="AU269" s="65"/>
      <c r="AV269" s="65"/>
      <c r="AW269" s="65"/>
      <c r="AX269" s="65"/>
      <c r="AY269" s="65"/>
      <c r="AZ269" s="65"/>
      <c r="BA269" s="65"/>
    </row>
    <row r="270" spans="1:53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  <c r="AN270" s="65"/>
      <c r="AO270" s="65"/>
      <c r="AP270" s="65"/>
      <c r="AQ270" s="65"/>
      <c r="AR270" s="65"/>
      <c r="AS270" s="65"/>
      <c r="AT270" s="65"/>
      <c r="AU270" s="65"/>
      <c r="AV270" s="65"/>
      <c r="AW270" s="65"/>
      <c r="AX270" s="65"/>
      <c r="AY270" s="65"/>
      <c r="AZ270" s="65"/>
      <c r="BA270" s="65"/>
    </row>
    <row r="271" spans="1:53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  <c r="AH271" s="65"/>
      <c r="AI271" s="65"/>
      <c r="AJ271" s="65"/>
      <c r="AK271" s="65"/>
      <c r="AL271" s="65"/>
      <c r="AM271" s="65"/>
      <c r="AN271" s="65"/>
      <c r="AO271" s="65"/>
      <c r="AP271" s="65"/>
      <c r="AQ271" s="65"/>
      <c r="AR271" s="65"/>
      <c r="AS271" s="65"/>
      <c r="AT271" s="65"/>
      <c r="AU271" s="65"/>
      <c r="AV271" s="65"/>
      <c r="AW271" s="65"/>
      <c r="AX271" s="65"/>
      <c r="AY271" s="65"/>
      <c r="AZ271" s="65"/>
      <c r="BA271" s="65"/>
    </row>
    <row r="272" spans="1:53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AO272" s="65"/>
      <c r="AP272" s="65"/>
      <c r="AQ272" s="65"/>
      <c r="AR272" s="65"/>
      <c r="AS272" s="65"/>
      <c r="AT272" s="65"/>
      <c r="AU272" s="65"/>
      <c r="AV272" s="65"/>
      <c r="AW272" s="65"/>
      <c r="AX272" s="65"/>
      <c r="AY272" s="65"/>
      <c r="AZ272" s="65"/>
      <c r="BA272" s="65"/>
    </row>
    <row r="273" spans="1:53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  <c r="AL273" s="65"/>
      <c r="AM273" s="65"/>
      <c r="AN273" s="65"/>
      <c r="AO273" s="65"/>
      <c r="AP273" s="65"/>
      <c r="AQ273" s="65"/>
      <c r="AR273" s="65"/>
      <c r="AS273" s="65"/>
      <c r="AT273" s="65"/>
      <c r="AU273" s="65"/>
      <c r="AV273" s="65"/>
      <c r="AW273" s="65"/>
      <c r="AX273" s="65"/>
      <c r="AY273" s="65"/>
      <c r="AZ273" s="65"/>
      <c r="BA273" s="65"/>
    </row>
    <row r="274" spans="1:53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  <c r="AH274" s="65"/>
      <c r="AI274" s="65"/>
      <c r="AJ274" s="65"/>
      <c r="AK274" s="65"/>
      <c r="AL274" s="65"/>
      <c r="AM274" s="65"/>
      <c r="AN274" s="65"/>
      <c r="AO274" s="65"/>
      <c r="AP274" s="65"/>
      <c r="AQ274" s="65"/>
      <c r="AR274" s="65"/>
      <c r="AS274" s="65"/>
      <c r="AT274" s="65"/>
      <c r="AU274" s="65"/>
      <c r="AV274" s="65"/>
      <c r="AW274" s="65"/>
      <c r="AX274" s="65"/>
      <c r="AY274" s="65"/>
      <c r="AZ274" s="65"/>
      <c r="BA274" s="65"/>
    </row>
    <row r="275" spans="1:53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  <c r="AF275" s="65"/>
      <c r="AG275" s="65"/>
      <c r="AH275" s="65"/>
      <c r="AI275" s="65"/>
      <c r="AJ275" s="65"/>
      <c r="AK275" s="65"/>
      <c r="AL275" s="65"/>
      <c r="AM275" s="65"/>
      <c r="AN275" s="65"/>
      <c r="AO275" s="65"/>
      <c r="AP275" s="65"/>
      <c r="AQ275" s="65"/>
      <c r="AR275" s="65"/>
      <c r="AS275" s="65"/>
      <c r="AT275" s="65"/>
      <c r="AU275" s="65"/>
      <c r="AV275" s="65"/>
      <c r="AW275" s="65"/>
      <c r="AX275" s="65"/>
      <c r="AY275" s="65"/>
      <c r="AZ275" s="65"/>
      <c r="BA275" s="65"/>
    </row>
    <row r="276" spans="1:53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  <c r="AF276" s="65"/>
      <c r="AG276" s="65"/>
      <c r="AH276" s="65"/>
      <c r="AI276" s="65"/>
      <c r="AJ276" s="65"/>
      <c r="AK276" s="65"/>
      <c r="AL276" s="65"/>
      <c r="AM276" s="65"/>
      <c r="AN276" s="65"/>
      <c r="AO276" s="65"/>
      <c r="AP276" s="65"/>
      <c r="AQ276" s="65"/>
      <c r="AR276" s="65"/>
      <c r="AS276" s="65"/>
      <c r="AT276" s="65"/>
      <c r="AU276" s="65"/>
      <c r="AV276" s="65"/>
      <c r="AW276" s="65"/>
      <c r="AX276" s="65"/>
      <c r="AY276" s="65"/>
      <c r="AZ276" s="65"/>
      <c r="BA276" s="65"/>
    </row>
    <row r="277" spans="1:53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  <c r="AF277" s="65"/>
      <c r="AG277" s="65"/>
      <c r="AH277" s="65"/>
      <c r="AI277" s="65"/>
      <c r="AJ277" s="65"/>
      <c r="AK277" s="65"/>
      <c r="AL277" s="65"/>
      <c r="AM277" s="65"/>
      <c r="AN277" s="65"/>
      <c r="AO277" s="65"/>
      <c r="AP277" s="65"/>
      <c r="AQ277" s="65"/>
      <c r="AR277" s="65"/>
      <c r="AS277" s="65"/>
      <c r="AT277" s="65"/>
      <c r="AU277" s="65"/>
      <c r="AV277" s="65"/>
      <c r="AW277" s="65"/>
      <c r="AX277" s="65"/>
      <c r="AY277" s="65"/>
      <c r="AZ277" s="65"/>
      <c r="BA277" s="65"/>
    </row>
    <row r="278" spans="1:53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  <c r="AF278" s="65"/>
      <c r="AG278" s="65"/>
      <c r="AH278" s="65"/>
      <c r="AI278" s="65"/>
      <c r="AJ278" s="65"/>
      <c r="AK278" s="65"/>
      <c r="AL278" s="65"/>
      <c r="AM278" s="65"/>
      <c r="AN278" s="65"/>
      <c r="AO278" s="65"/>
      <c r="AP278" s="65"/>
      <c r="AQ278" s="65"/>
      <c r="AR278" s="65"/>
      <c r="AS278" s="65"/>
      <c r="AT278" s="65"/>
      <c r="AU278" s="65"/>
      <c r="AV278" s="65"/>
      <c r="AW278" s="65"/>
      <c r="AX278" s="65"/>
      <c r="AY278" s="65"/>
      <c r="AZ278" s="65"/>
      <c r="BA278" s="65"/>
    </row>
    <row r="279" spans="1:53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  <c r="AA279" s="65"/>
      <c r="AB279" s="65"/>
      <c r="AC279" s="65"/>
      <c r="AD279" s="65"/>
      <c r="AE279" s="65"/>
      <c r="AF279" s="65"/>
      <c r="AG279" s="65"/>
      <c r="AH279" s="65"/>
      <c r="AI279" s="65"/>
      <c r="AJ279" s="65"/>
      <c r="AK279" s="65"/>
      <c r="AL279" s="65"/>
      <c r="AM279" s="65"/>
      <c r="AN279" s="65"/>
      <c r="AO279" s="65"/>
      <c r="AP279" s="65"/>
      <c r="AQ279" s="65"/>
      <c r="AR279" s="65"/>
      <c r="AS279" s="65"/>
      <c r="AT279" s="65"/>
      <c r="AU279" s="65"/>
      <c r="AV279" s="65"/>
      <c r="AW279" s="65"/>
      <c r="AX279" s="65"/>
      <c r="AY279" s="65"/>
      <c r="AZ279" s="65"/>
      <c r="BA279" s="65"/>
    </row>
    <row r="280" spans="1:53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  <c r="AF280" s="65"/>
      <c r="AG280" s="65"/>
      <c r="AH280" s="65"/>
      <c r="AI280" s="65"/>
      <c r="AJ280" s="65"/>
      <c r="AK280" s="65"/>
      <c r="AL280" s="65"/>
      <c r="AM280" s="65"/>
      <c r="AN280" s="65"/>
      <c r="AO280" s="65"/>
      <c r="AP280" s="65"/>
      <c r="AQ280" s="65"/>
      <c r="AR280" s="65"/>
      <c r="AS280" s="65"/>
      <c r="AT280" s="65"/>
      <c r="AU280" s="65"/>
      <c r="AV280" s="65"/>
      <c r="AW280" s="65"/>
      <c r="AX280" s="65"/>
      <c r="AY280" s="65"/>
      <c r="AZ280" s="65"/>
      <c r="BA280" s="65"/>
    </row>
    <row r="281" spans="1:53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  <c r="AA281" s="65"/>
      <c r="AB281" s="65"/>
      <c r="AC281" s="65"/>
      <c r="AD281" s="65"/>
      <c r="AE281" s="65"/>
      <c r="AF281" s="65"/>
      <c r="AG281" s="65"/>
      <c r="AH281" s="65"/>
      <c r="AI281" s="65"/>
      <c r="AJ281" s="65"/>
      <c r="AK281" s="65"/>
      <c r="AL281" s="65"/>
      <c r="AM281" s="65"/>
      <c r="AN281" s="65"/>
      <c r="AO281" s="65"/>
      <c r="AP281" s="65"/>
      <c r="AQ281" s="65"/>
      <c r="AR281" s="65"/>
      <c r="AS281" s="65"/>
      <c r="AT281" s="65"/>
      <c r="AU281" s="65"/>
      <c r="AV281" s="65"/>
      <c r="AW281" s="65"/>
      <c r="AX281" s="65"/>
      <c r="AY281" s="65"/>
      <c r="AZ281" s="65"/>
      <c r="BA281" s="65"/>
    </row>
    <row r="282" spans="1:53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  <c r="AA282" s="65"/>
      <c r="AB282" s="65"/>
      <c r="AC282" s="65"/>
      <c r="AD282" s="65"/>
      <c r="AE282" s="65"/>
      <c r="AF282" s="65"/>
      <c r="AG282" s="65"/>
      <c r="AH282" s="65"/>
      <c r="AI282" s="65"/>
      <c r="AJ282" s="65"/>
      <c r="AK282" s="65"/>
      <c r="AL282" s="65"/>
      <c r="AM282" s="65"/>
      <c r="AN282" s="65"/>
      <c r="AO282" s="65"/>
      <c r="AP282" s="65"/>
      <c r="AQ282" s="65"/>
      <c r="AR282" s="65"/>
      <c r="AS282" s="65"/>
      <c r="AT282" s="65"/>
      <c r="AU282" s="65"/>
      <c r="AV282" s="65"/>
      <c r="AW282" s="65"/>
      <c r="AX282" s="65"/>
      <c r="AY282" s="65"/>
      <c r="AZ282" s="65"/>
      <c r="BA282" s="65"/>
    </row>
    <row r="283" spans="1:53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  <c r="AF283" s="65"/>
      <c r="AG283" s="65"/>
      <c r="AH283" s="65"/>
      <c r="AI283" s="65"/>
      <c r="AJ283" s="65"/>
      <c r="AK283" s="65"/>
      <c r="AL283" s="65"/>
      <c r="AM283" s="65"/>
      <c r="AN283" s="65"/>
      <c r="AO283" s="65"/>
      <c r="AP283" s="65"/>
      <c r="AQ283" s="65"/>
      <c r="AR283" s="65"/>
      <c r="AS283" s="65"/>
      <c r="AT283" s="65"/>
      <c r="AU283" s="65"/>
      <c r="AV283" s="65"/>
      <c r="AW283" s="65"/>
      <c r="AX283" s="65"/>
      <c r="AY283" s="65"/>
      <c r="AZ283" s="65"/>
      <c r="BA283" s="65"/>
    </row>
    <row r="284" spans="1:53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  <c r="AA284" s="65"/>
      <c r="AB284" s="65"/>
      <c r="AC284" s="65"/>
      <c r="AD284" s="65"/>
      <c r="AE284" s="65"/>
      <c r="AF284" s="65"/>
      <c r="AG284" s="65"/>
      <c r="AH284" s="65"/>
      <c r="AI284" s="65"/>
      <c r="AJ284" s="65"/>
      <c r="AK284" s="65"/>
      <c r="AL284" s="65"/>
      <c r="AM284" s="65"/>
      <c r="AN284" s="65"/>
      <c r="AO284" s="65"/>
      <c r="AP284" s="65"/>
      <c r="AQ284" s="65"/>
      <c r="AR284" s="65"/>
      <c r="AS284" s="65"/>
      <c r="AT284" s="65"/>
      <c r="AU284" s="65"/>
      <c r="AV284" s="65"/>
      <c r="AW284" s="65"/>
      <c r="AX284" s="65"/>
      <c r="AY284" s="65"/>
      <c r="AZ284" s="65"/>
      <c r="BA284" s="65"/>
    </row>
    <row r="285" spans="1:53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  <c r="AA285" s="65"/>
      <c r="AB285" s="65"/>
      <c r="AC285" s="65"/>
      <c r="AD285" s="65"/>
      <c r="AE285" s="65"/>
      <c r="AF285" s="65"/>
      <c r="AG285" s="65"/>
      <c r="AH285" s="65"/>
      <c r="AI285" s="65"/>
      <c r="AJ285" s="65"/>
      <c r="AK285" s="65"/>
      <c r="AL285" s="65"/>
      <c r="AM285" s="65"/>
      <c r="AN285" s="65"/>
      <c r="AO285" s="65"/>
      <c r="AP285" s="65"/>
      <c r="AQ285" s="65"/>
      <c r="AR285" s="65"/>
      <c r="AS285" s="65"/>
      <c r="AT285" s="65"/>
      <c r="AU285" s="65"/>
      <c r="AV285" s="65"/>
      <c r="AW285" s="65"/>
      <c r="AX285" s="65"/>
      <c r="AY285" s="65"/>
      <c r="AZ285" s="65"/>
      <c r="BA285" s="65"/>
    </row>
    <row r="286" spans="1:53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  <c r="AA286" s="65"/>
      <c r="AB286" s="65"/>
      <c r="AC286" s="65"/>
      <c r="AD286" s="65"/>
      <c r="AE286" s="65"/>
      <c r="AF286" s="65"/>
      <c r="AG286" s="65"/>
      <c r="AH286" s="65"/>
      <c r="AI286" s="65"/>
      <c r="AJ286" s="65"/>
      <c r="AK286" s="65"/>
      <c r="AL286" s="65"/>
      <c r="AM286" s="65"/>
      <c r="AN286" s="65"/>
      <c r="AO286" s="65"/>
      <c r="AP286" s="65"/>
      <c r="AQ286" s="65"/>
      <c r="AR286" s="65"/>
      <c r="AS286" s="65"/>
      <c r="AT286" s="65"/>
      <c r="AU286" s="65"/>
      <c r="AV286" s="65"/>
      <c r="AW286" s="65"/>
      <c r="AX286" s="65"/>
      <c r="AY286" s="65"/>
      <c r="AZ286" s="65"/>
      <c r="BA286" s="65"/>
    </row>
    <row r="287" spans="1:53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  <c r="AA287" s="65"/>
      <c r="AB287" s="65"/>
      <c r="AC287" s="65"/>
      <c r="AD287" s="65"/>
      <c r="AE287" s="65"/>
      <c r="AF287" s="65"/>
      <c r="AG287" s="65"/>
      <c r="AH287" s="65"/>
      <c r="AI287" s="65"/>
      <c r="AJ287" s="65"/>
      <c r="AK287" s="65"/>
      <c r="AL287" s="65"/>
      <c r="AM287" s="65"/>
      <c r="AN287" s="65"/>
      <c r="AO287" s="65"/>
      <c r="AP287" s="65"/>
      <c r="AQ287" s="65"/>
      <c r="AR287" s="65"/>
      <c r="AS287" s="65"/>
      <c r="AT287" s="65"/>
      <c r="AU287" s="65"/>
      <c r="AV287" s="65"/>
      <c r="AW287" s="65"/>
      <c r="AX287" s="65"/>
      <c r="AY287" s="65"/>
      <c r="AZ287" s="65"/>
      <c r="BA287" s="65"/>
    </row>
    <row r="288" spans="1:53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  <c r="AA288" s="65"/>
      <c r="AB288" s="65"/>
      <c r="AC288" s="65"/>
      <c r="AD288" s="65"/>
      <c r="AE288" s="65"/>
      <c r="AF288" s="65"/>
      <c r="AG288" s="65"/>
      <c r="AH288" s="65"/>
      <c r="AI288" s="65"/>
      <c r="AJ288" s="65"/>
      <c r="AK288" s="65"/>
      <c r="AL288" s="65"/>
      <c r="AM288" s="65"/>
      <c r="AN288" s="65"/>
      <c r="AO288" s="65"/>
      <c r="AP288" s="65"/>
      <c r="AQ288" s="65"/>
      <c r="AR288" s="65"/>
      <c r="AS288" s="65"/>
      <c r="AT288" s="65"/>
      <c r="AU288" s="65"/>
      <c r="AV288" s="65"/>
      <c r="AW288" s="65"/>
      <c r="AX288" s="65"/>
      <c r="AY288" s="65"/>
      <c r="AZ288" s="65"/>
      <c r="BA288" s="65"/>
    </row>
    <row r="289" spans="1:53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  <c r="AA289" s="65"/>
      <c r="AB289" s="65"/>
      <c r="AC289" s="65"/>
      <c r="AD289" s="65"/>
      <c r="AE289" s="65"/>
      <c r="AF289" s="65"/>
      <c r="AG289" s="65"/>
      <c r="AH289" s="65"/>
      <c r="AI289" s="65"/>
      <c r="AJ289" s="65"/>
      <c r="AK289" s="65"/>
      <c r="AL289" s="65"/>
      <c r="AM289" s="65"/>
      <c r="AN289" s="65"/>
      <c r="AO289" s="65"/>
      <c r="AP289" s="65"/>
      <c r="AQ289" s="65"/>
      <c r="AR289" s="65"/>
      <c r="AS289" s="65"/>
      <c r="AT289" s="65"/>
      <c r="AU289" s="65"/>
      <c r="AV289" s="65"/>
      <c r="AW289" s="65"/>
      <c r="AX289" s="65"/>
      <c r="AY289" s="65"/>
      <c r="AZ289" s="65"/>
      <c r="BA289" s="65"/>
    </row>
    <row r="290" spans="1:53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  <c r="AA290" s="65"/>
      <c r="AB290" s="65"/>
      <c r="AC290" s="65"/>
      <c r="AD290" s="65"/>
      <c r="AE290" s="65"/>
      <c r="AF290" s="65"/>
      <c r="AG290" s="65"/>
      <c r="AH290" s="65"/>
      <c r="AI290" s="65"/>
      <c r="AJ290" s="65"/>
      <c r="AK290" s="65"/>
      <c r="AL290" s="65"/>
      <c r="AM290" s="65"/>
      <c r="AN290" s="65"/>
      <c r="AO290" s="65"/>
      <c r="AP290" s="65"/>
      <c r="AQ290" s="65"/>
      <c r="AR290" s="65"/>
      <c r="AS290" s="65"/>
      <c r="AT290" s="65"/>
      <c r="AU290" s="65"/>
      <c r="AV290" s="65"/>
      <c r="AW290" s="65"/>
      <c r="AX290" s="65"/>
      <c r="AY290" s="65"/>
      <c r="AZ290" s="65"/>
      <c r="BA290" s="65"/>
    </row>
    <row r="291" spans="1:53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/>
      <c r="Z291" s="65"/>
      <c r="AA291" s="65"/>
      <c r="AB291" s="65"/>
      <c r="AC291" s="65"/>
      <c r="AD291" s="65"/>
      <c r="AE291" s="65"/>
      <c r="AF291" s="65"/>
      <c r="AG291" s="65"/>
      <c r="AH291" s="65"/>
      <c r="AI291" s="65"/>
      <c r="AJ291" s="65"/>
      <c r="AK291" s="65"/>
      <c r="AL291" s="65"/>
      <c r="AM291" s="65"/>
      <c r="AN291" s="65"/>
      <c r="AO291" s="65"/>
      <c r="AP291" s="65"/>
      <c r="AQ291" s="65"/>
      <c r="AR291" s="65"/>
      <c r="AS291" s="65"/>
      <c r="AT291" s="65"/>
      <c r="AU291" s="65"/>
      <c r="AV291" s="65"/>
      <c r="AW291" s="65"/>
      <c r="AX291" s="65"/>
      <c r="AY291" s="65"/>
      <c r="AZ291" s="65"/>
      <c r="BA291" s="65"/>
    </row>
    <row r="292" spans="1:53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  <c r="AA292" s="65"/>
      <c r="AB292" s="65"/>
      <c r="AC292" s="65"/>
      <c r="AD292" s="65"/>
      <c r="AE292" s="65"/>
      <c r="AF292" s="65"/>
      <c r="AG292" s="65"/>
      <c r="AH292" s="65"/>
      <c r="AI292" s="65"/>
      <c r="AJ292" s="65"/>
      <c r="AK292" s="65"/>
      <c r="AL292" s="65"/>
      <c r="AM292" s="65"/>
      <c r="AN292" s="65"/>
      <c r="AO292" s="65"/>
      <c r="AP292" s="65"/>
      <c r="AQ292" s="65"/>
      <c r="AR292" s="65"/>
      <c r="AS292" s="65"/>
      <c r="AT292" s="65"/>
      <c r="AU292" s="65"/>
      <c r="AV292" s="65"/>
      <c r="AW292" s="65"/>
      <c r="AX292" s="65"/>
      <c r="AY292" s="65"/>
      <c r="AZ292" s="65"/>
      <c r="BA292" s="65"/>
    </row>
    <row r="293" spans="1:53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  <c r="AA293" s="65"/>
      <c r="AB293" s="65"/>
      <c r="AC293" s="65"/>
      <c r="AD293" s="65"/>
      <c r="AE293" s="65"/>
      <c r="AF293" s="65"/>
      <c r="AG293" s="65"/>
      <c r="AH293" s="65"/>
      <c r="AI293" s="65"/>
      <c r="AJ293" s="65"/>
      <c r="AK293" s="65"/>
      <c r="AL293" s="65"/>
      <c r="AM293" s="65"/>
      <c r="AN293" s="65"/>
      <c r="AO293" s="65"/>
      <c r="AP293" s="65"/>
      <c r="AQ293" s="65"/>
      <c r="AR293" s="65"/>
      <c r="AS293" s="65"/>
      <c r="AT293" s="65"/>
      <c r="AU293" s="65"/>
      <c r="AV293" s="65"/>
      <c r="AW293" s="65"/>
      <c r="AX293" s="65"/>
      <c r="AY293" s="65"/>
      <c r="AZ293" s="65"/>
      <c r="BA293" s="65"/>
    </row>
    <row r="294" spans="1:53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  <c r="AA294" s="65"/>
      <c r="AB294" s="65"/>
      <c r="AC294" s="65"/>
      <c r="AD294" s="65"/>
      <c r="AE294" s="65"/>
      <c r="AF294" s="65"/>
      <c r="AG294" s="65"/>
      <c r="AH294" s="65"/>
      <c r="AI294" s="65"/>
      <c r="AJ294" s="65"/>
      <c r="AK294" s="65"/>
      <c r="AL294" s="65"/>
      <c r="AM294" s="65"/>
      <c r="AN294" s="65"/>
      <c r="AO294" s="65"/>
      <c r="AP294" s="65"/>
      <c r="AQ294" s="65"/>
      <c r="AR294" s="65"/>
      <c r="AS294" s="65"/>
      <c r="AT294" s="65"/>
      <c r="AU294" s="65"/>
      <c r="AV294" s="65"/>
      <c r="AW294" s="65"/>
      <c r="AX294" s="65"/>
      <c r="AY294" s="65"/>
      <c r="AZ294" s="65"/>
      <c r="BA294" s="65"/>
    </row>
    <row r="295" spans="1:53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  <c r="AA295" s="65"/>
      <c r="AB295" s="65"/>
      <c r="AC295" s="65"/>
      <c r="AD295" s="65"/>
      <c r="AE295" s="65"/>
      <c r="AF295" s="65"/>
      <c r="AG295" s="65"/>
      <c r="AH295" s="65"/>
      <c r="AI295" s="65"/>
      <c r="AJ295" s="65"/>
      <c r="AK295" s="65"/>
      <c r="AL295" s="65"/>
      <c r="AM295" s="65"/>
      <c r="AN295" s="65"/>
      <c r="AO295" s="65"/>
      <c r="AP295" s="65"/>
      <c r="AQ295" s="65"/>
      <c r="AR295" s="65"/>
      <c r="AS295" s="65"/>
      <c r="AT295" s="65"/>
      <c r="AU295" s="65"/>
      <c r="AV295" s="65"/>
      <c r="AW295" s="65"/>
      <c r="AX295" s="65"/>
      <c r="AY295" s="65"/>
      <c r="AZ295" s="65"/>
      <c r="BA295" s="65"/>
    </row>
    <row r="296" spans="1:53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  <c r="AA296" s="65"/>
      <c r="AB296" s="65"/>
      <c r="AC296" s="65"/>
      <c r="AD296" s="65"/>
      <c r="AE296" s="65"/>
      <c r="AF296" s="65"/>
      <c r="AG296" s="65"/>
      <c r="AH296" s="65"/>
      <c r="AI296" s="65"/>
      <c r="AJ296" s="65"/>
      <c r="AK296" s="65"/>
      <c r="AL296" s="65"/>
      <c r="AM296" s="65"/>
      <c r="AN296" s="65"/>
      <c r="AO296" s="65"/>
      <c r="AP296" s="65"/>
      <c r="AQ296" s="65"/>
      <c r="AR296" s="65"/>
      <c r="AS296" s="65"/>
      <c r="AT296" s="65"/>
      <c r="AU296" s="65"/>
      <c r="AV296" s="65"/>
      <c r="AW296" s="65"/>
      <c r="AX296" s="65"/>
      <c r="AY296" s="65"/>
      <c r="AZ296" s="65"/>
      <c r="BA296" s="65"/>
    </row>
    <row r="297" spans="1:53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  <c r="AA297" s="65"/>
      <c r="AB297" s="65"/>
      <c r="AC297" s="65"/>
      <c r="AD297" s="65"/>
      <c r="AE297" s="65"/>
      <c r="AF297" s="65"/>
      <c r="AG297" s="65"/>
      <c r="AH297" s="65"/>
      <c r="AI297" s="65"/>
      <c r="AJ297" s="65"/>
      <c r="AK297" s="65"/>
      <c r="AL297" s="65"/>
      <c r="AM297" s="65"/>
      <c r="AN297" s="65"/>
      <c r="AO297" s="65"/>
      <c r="AP297" s="65"/>
      <c r="AQ297" s="65"/>
      <c r="AR297" s="65"/>
      <c r="AS297" s="65"/>
      <c r="AT297" s="65"/>
      <c r="AU297" s="65"/>
      <c r="AV297" s="65"/>
      <c r="AW297" s="65"/>
      <c r="AX297" s="65"/>
      <c r="AY297" s="65"/>
      <c r="AZ297" s="65"/>
      <c r="BA297" s="65"/>
    </row>
    <row r="298" spans="1:53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  <c r="AA298" s="65"/>
      <c r="AB298" s="65"/>
      <c r="AC298" s="65"/>
      <c r="AD298" s="65"/>
      <c r="AE298" s="65"/>
      <c r="AF298" s="65"/>
      <c r="AG298" s="65"/>
      <c r="AH298" s="65"/>
      <c r="AI298" s="65"/>
      <c r="AJ298" s="65"/>
      <c r="AK298" s="65"/>
      <c r="AL298" s="65"/>
      <c r="AM298" s="65"/>
      <c r="AN298" s="65"/>
      <c r="AO298" s="65"/>
      <c r="AP298" s="65"/>
      <c r="AQ298" s="65"/>
      <c r="AR298" s="65"/>
      <c r="AS298" s="65"/>
      <c r="AT298" s="65"/>
      <c r="AU298" s="65"/>
      <c r="AV298" s="65"/>
      <c r="AW298" s="65"/>
      <c r="AX298" s="65"/>
      <c r="AY298" s="65"/>
      <c r="AZ298" s="65"/>
      <c r="BA298" s="65"/>
    </row>
    <row r="299" spans="1:53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  <c r="AA299" s="65"/>
      <c r="AB299" s="65"/>
      <c r="AC299" s="65"/>
      <c r="AD299" s="65"/>
      <c r="AE299" s="65"/>
      <c r="AF299" s="65"/>
      <c r="AG299" s="65"/>
      <c r="AH299" s="65"/>
      <c r="AI299" s="65"/>
      <c r="AJ299" s="65"/>
      <c r="AK299" s="65"/>
      <c r="AL299" s="65"/>
      <c r="AM299" s="65"/>
      <c r="AN299" s="65"/>
      <c r="AO299" s="65"/>
      <c r="AP299" s="65"/>
      <c r="AQ299" s="65"/>
      <c r="AR299" s="65"/>
      <c r="AS299" s="65"/>
      <c r="AT299" s="65"/>
      <c r="AU299" s="65"/>
      <c r="AV299" s="65"/>
      <c r="AW299" s="65"/>
      <c r="AX299" s="65"/>
      <c r="AY299" s="65"/>
      <c r="AZ299" s="65"/>
      <c r="BA299" s="65"/>
    </row>
    <row r="300" spans="1:53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  <c r="AA300" s="65"/>
      <c r="AB300" s="65"/>
      <c r="AC300" s="65"/>
      <c r="AD300" s="65"/>
      <c r="AE300" s="65"/>
      <c r="AF300" s="65"/>
      <c r="AG300" s="65"/>
      <c r="AH300" s="65"/>
      <c r="AI300" s="65"/>
      <c r="AJ300" s="65"/>
      <c r="AK300" s="65"/>
      <c r="AL300" s="65"/>
      <c r="AM300" s="65"/>
      <c r="AN300" s="65"/>
      <c r="AO300" s="65"/>
      <c r="AP300" s="65"/>
      <c r="AQ300" s="65"/>
      <c r="AR300" s="65"/>
      <c r="AS300" s="65"/>
      <c r="AT300" s="65"/>
      <c r="AU300" s="65"/>
      <c r="AV300" s="65"/>
      <c r="AW300" s="65"/>
      <c r="AX300" s="65"/>
      <c r="AY300" s="65"/>
      <c r="AZ300" s="65"/>
      <c r="BA300" s="65"/>
    </row>
    <row r="301" spans="1:53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  <c r="AA301" s="65"/>
      <c r="AB301" s="65"/>
      <c r="AC301" s="65"/>
      <c r="AD301" s="65"/>
      <c r="AE301" s="65"/>
      <c r="AF301" s="65"/>
      <c r="AG301" s="65"/>
      <c r="AH301" s="65"/>
      <c r="AI301" s="65"/>
      <c r="AJ301" s="65"/>
      <c r="AK301" s="65"/>
      <c r="AL301" s="65"/>
      <c r="AM301" s="65"/>
      <c r="AN301" s="65"/>
      <c r="AO301" s="65"/>
      <c r="AP301" s="65"/>
      <c r="AQ301" s="65"/>
      <c r="AR301" s="65"/>
      <c r="AS301" s="65"/>
      <c r="AT301" s="65"/>
      <c r="AU301" s="65"/>
      <c r="AV301" s="65"/>
      <c r="AW301" s="65"/>
      <c r="AX301" s="65"/>
      <c r="AY301" s="65"/>
      <c r="AZ301" s="65"/>
      <c r="BA301" s="65"/>
    </row>
    <row r="302" spans="1:53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  <c r="AA302" s="65"/>
      <c r="AB302" s="65"/>
      <c r="AC302" s="65"/>
      <c r="AD302" s="65"/>
      <c r="AE302" s="65"/>
      <c r="AF302" s="65"/>
      <c r="AG302" s="65"/>
      <c r="AH302" s="65"/>
      <c r="AI302" s="65"/>
      <c r="AJ302" s="65"/>
      <c r="AK302" s="65"/>
      <c r="AL302" s="65"/>
      <c r="AM302" s="65"/>
      <c r="AN302" s="65"/>
      <c r="AO302" s="65"/>
      <c r="AP302" s="65"/>
      <c r="AQ302" s="65"/>
      <c r="AR302" s="65"/>
      <c r="AS302" s="65"/>
      <c r="AT302" s="65"/>
      <c r="AU302" s="65"/>
      <c r="AV302" s="65"/>
      <c r="AW302" s="65"/>
      <c r="AX302" s="65"/>
      <c r="AY302" s="65"/>
      <c r="AZ302" s="65"/>
      <c r="BA302" s="65"/>
    </row>
    <row r="303" spans="1:53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  <c r="AA303" s="65"/>
      <c r="AB303" s="65"/>
      <c r="AC303" s="65"/>
      <c r="AD303" s="65"/>
      <c r="AE303" s="65"/>
      <c r="AF303" s="65"/>
      <c r="AG303" s="65"/>
      <c r="AH303" s="65"/>
      <c r="AI303" s="65"/>
      <c r="AJ303" s="65"/>
      <c r="AK303" s="65"/>
      <c r="AL303" s="65"/>
      <c r="AM303" s="65"/>
      <c r="AN303" s="65"/>
      <c r="AO303" s="65"/>
      <c r="AP303" s="65"/>
      <c r="AQ303" s="65"/>
      <c r="AR303" s="65"/>
      <c r="AS303" s="65"/>
      <c r="AT303" s="65"/>
      <c r="AU303" s="65"/>
      <c r="AV303" s="65"/>
      <c r="AW303" s="65"/>
      <c r="AX303" s="65"/>
      <c r="AY303" s="65"/>
      <c r="AZ303" s="65"/>
      <c r="BA303" s="65"/>
    </row>
    <row r="304" spans="1:53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  <c r="AA304" s="65"/>
      <c r="AB304" s="65"/>
      <c r="AC304" s="65"/>
      <c r="AD304" s="65"/>
      <c r="AE304" s="65"/>
      <c r="AF304" s="65"/>
      <c r="AG304" s="65"/>
      <c r="AH304" s="65"/>
      <c r="AI304" s="65"/>
      <c r="AJ304" s="65"/>
      <c r="AK304" s="65"/>
      <c r="AL304" s="65"/>
      <c r="AM304" s="65"/>
      <c r="AN304" s="65"/>
      <c r="AO304" s="65"/>
      <c r="AP304" s="65"/>
      <c r="AQ304" s="65"/>
      <c r="AR304" s="65"/>
      <c r="AS304" s="65"/>
      <c r="AT304" s="65"/>
      <c r="AU304" s="65"/>
      <c r="AV304" s="65"/>
      <c r="AW304" s="65"/>
      <c r="AX304" s="65"/>
      <c r="AY304" s="65"/>
      <c r="AZ304" s="65"/>
      <c r="BA304" s="65"/>
    </row>
    <row r="305" spans="1:53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  <c r="AA305" s="65"/>
      <c r="AB305" s="65"/>
      <c r="AC305" s="65"/>
      <c r="AD305" s="65"/>
      <c r="AE305" s="65"/>
      <c r="AF305" s="65"/>
      <c r="AG305" s="65"/>
      <c r="AH305" s="65"/>
      <c r="AI305" s="65"/>
      <c r="AJ305" s="65"/>
      <c r="AK305" s="65"/>
      <c r="AL305" s="65"/>
      <c r="AM305" s="65"/>
      <c r="AN305" s="65"/>
      <c r="AO305" s="65"/>
      <c r="AP305" s="65"/>
      <c r="AQ305" s="65"/>
      <c r="AR305" s="65"/>
      <c r="AS305" s="65"/>
      <c r="AT305" s="65"/>
      <c r="AU305" s="65"/>
      <c r="AV305" s="65"/>
      <c r="AW305" s="65"/>
      <c r="AX305" s="65"/>
      <c r="AY305" s="65"/>
      <c r="AZ305" s="65"/>
      <c r="BA305" s="65"/>
    </row>
    <row r="306" spans="1:53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  <c r="AA306" s="65"/>
      <c r="AB306" s="65"/>
      <c r="AC306" s="65"/>
      <c r="AD306" s="65"/>
      <c r="AE306" s="65"/>
      <c r="AF306" s="65"/>
      <c r="AG306" s="65"/>
      <c r="AH306" s="65"/>
      <c r="AI306" s="65"/>
      <c r="AJ306" s="65"/>
      <c r="AK306" s="65"/>
      <c r="AL306" s="65"/>
      <c r="AM306" s="65"/>
      <c r="AN306" s="65"/>
      <c r="AO306" s="65"/>
      <c r="AP306" s="65"/>
      <c r="AQ306" s="65"/>
      <c r="AR306" s="65"/>
      <c r="AS306" s="65"/>
      <c r="AT306" s="65"/>
      <c r="AU306" s="65"/>
      <c r="AV306" s="65"/>
      <c r="AW306" s="65"/>
      <c r="AX306" s="65"/>
      <c r="AY306" s="65"/>
      <c r="AZ306" s="65"/>
      <c r="BA306" s="65"/>
    </row>
    <row r="307" spans="1:53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  <c r="AA307" s="65"/>
      <c r="AB307" s="65"/>
      <c r="AC307" s="65"/>
      <c r="AD307" s="65"/>
      <c r="AE307" s="65"/>
      <c r="AF307" s="65"/>
      <c r="AG307" s="65"/>
      <c r="AH307" s="65"/>
      <c r="AI307" s="65"/>
      <c r="AJ307" s="65"/>
      <c r="AK307" s="65"/>
      <c r="AL307" s="65"/>
      <c r="AM307" s="65"/>
      <c r="AN307" s="65"/>
      <c r="AO307" s="65"/>
      <c r="AP307" s="65"/>
      <c r="AQ307" s="65"/>
      <c r="AR307" s="65"/>
      <c r="AS307" s="65"/>
      <c r="AT307" s="65"/>
      <c r="AU307" s="65"/>
      <c r="AV307" s="65"/>
      <c r="AW307" s="65"/>
      <c r="AX307" s="65"/>
      <c r="AY307" s="65"/>
      <c r="AZ307" s="65"/>
      <c r="BA307" s="65"/>
    </row>
    <row r="308" spans="1:53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  <c r="AA308" s="65"/>
      <c r="AB308" s="65"/>
      <c r="AC308" s="65"/>
      <c r="AD308" s="65"/>
      <c r="AE308" s="65"/>
      <c r="AF308" s="65"/>
      <c r="AG308" s="65"/>
      <c r="AH308" s="65"/>
      <c r="AI308" s="65"/>
      <c r="AJ308" s="65"/>
      <c r="AK308" s="65"/>
      <c r="AL308" s="65"/>
      <c r="AM308" s="65"/>
      <c r="AN308" s="65"/>
      <c r="AO308" s="65"/>
      <c r="AP308" s="65"/>
      <c r="AQ308" s="65"/>
      <c r="AR308" s="65"/>
      <c r="AS308" s="65"/>
      <c r="AT308" s="65"/>
      <c r="AU308" s="65"/>
      <c r="AV308" s="65"/>
      <c r="AW308" s="65"/>
      <c r="AX308" s="65"/>
      <c r="AY308" s="65"/>
      <c r="AZ308" s="65"/>
      <c r="BA308" s="65"/>
    </row>
    <row r="309" spans="1:53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  <c r="AA309" s="65"/>
      <c r="AB309" s="65"/>
      <c r="AC309" s="65"/>
      <c r="AD309" s="65"/>
      <c r="AE309" s="65"/>
      <c r="AF309" s="65"/>
      <c r="AG309" s="65"/>
      <c r="AH309" s="65"/>
      <c r="AI309" s="65"/>
      <c r="AJ309" s="65"/>
      <c r="AK309" s="65"/>
      <c r="AL309" s="65"/>
      <c r="AM309" s="65"/>
      <c r="AN309" s="65"/>
      <c r="AO309" s="65"/>
      <c r="AP309" s="65"/>
      <c r="AQ309" s="65"/>
      <c r="AR309" s="65"/>
      <c r="AS309" s="65"/>
      <c r="AT309" s="65"/>
      <c r="AU309" s="65"/>
      <c r="AV309" s="65"/>
      <c r="AW309" s="65"/>
      <c r="AX309" s="65"/>
      <c r="AY309" s="65"/>
      <c r="AZ309" s="65"/>
      <c r="BA309" s="65"/>
    </row>
    <row r="310" spans="1:53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  <c r="AA310" s="65"/>
      <c r="AB310" s="65"/>
      <c r="AC310" s="65"/>
      <c r="AD310" s="65"/>
      <c r="AE310" s="65"/>
      <c r="AF310" s="65"/>
      <c r="AG310" s="65"/>
      <c r="AH310" s="65"/>
      <c r="AI310" s="65"/>
      <c r="AJ310" s="65"/>
      <c r="AK310" s="65"/>
      <c r="AL310" s="65"/>
      <c r="AM310" s="65"/>
      <c r="AN310" s="65"/>
      <c r="AO310" s="65"/>
      <c r="AP310" s="65"/>
      <c r="AQ310" s="65"/>
      <c r="AR310" s="65"/>
      <c r="AS310" s="65"/>
      <c r="AT310" s="65"/>
      <c r="AU310" s="65"/>
      <c r="AV310" s="65"/>
      <c r="AW310" s="65"/>
      <c r="AX310" s="65"/>
      <c r="AY310" s="65"/>
      <c r="AZ310" s="65"/>
      <c r="BA310" s="65"/>
    </row>
    <row r="311" spans="1:53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/>
      <c r="Z311" s="65"/>
      <c r="AA311" s="65"/>
      <c r="AB311" s="65"/>
      <c r="AC311" s="65"/>
      <c r="AD311" s="65"/>
      <c r="AE311" s="65"/>
      <c r="AF311" s="65"/>
      <c r="AG311" s="65"/>
      <c r="AH311" s="65"/>
      <c r="AI311" s="65"/>
      <c r="AJ311" s="65"/>
      <c r="AK311" s="65"/>
      <c r="AL311" s="65"/>
      <c r="AM311" s="65"/>
      <c r="AN311" s="65"/>
      <c r="AO311" s="65"/>
      <c r="AP311" s="65"/>
      <c r="AQ311" s="65"/>
      <c r="AR311" s="65"/>
      <c r="AS311" s="65"/>
      <c r="AT311" s="65"/>
      <c r="AU311" s="65"/>
      <c r="AV311" s="65"/>
      <c r="AW311" s="65"/>
      <c r="AX311" s="65"/>
      <c r="AY311" s="65"/>
      <c r="AZ311" s="65"/>
      <c r="BA311" s="65"/>
    </row>
    <row r="312" spans="1:53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/>
      <c r="Z312" s="65"/>
      <c r="AA312" s="65"/>
      <c r="AB312" s="65"/>
      <c r="AC312" s="65"/>
      <c r="AD312" s="65"/>
      <c r="AE312" s="65"/>
      <c r="AF312" s="65"/>
      <c r="AG312" s="65"/>
      <c r="AH312" s="65"/>
      <c r="AI312" s="65"/>
      <c r="AJ312" s="65"/>
      <c r="AK312" s="65"/>
      <c r="AL312" s="65"/>
      <c r="AM312" s="65"/>
      <c r="AN312" s="65"/>
      <c r="AO312" s="65"/>
      <c r="AP312" s="65"/>
      <c r="AQ312" s="65"/>
      <c r="AR312" s="65"/>
      <c r="AS312" s="65"/>
      <c r="AT312" s="65"/>
      <c r="AU312" s="65"/>
      <c r="AV312" s="65"/>
      <c r="AW312" s="65"/>
      <c r="AX312" s="65"/>
      <c r="AY312" s="65"/>
      <c r="AZ312" s="65"/>
      <c r="BA312" s="65"/>
    </row>
    <row r="313" spans="1:53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  <c r="Y313" s="65"/>
      <c r="Z313" s="65"/>
      <c r="AA313" s="65"/>
      <c r="AB313" s="65"/>
      <c r="AC313" s="65"/>
      <c r="AD313" s="65"/>
      <c r="AE313" s="65"/>
      <c r="AF313" s="65"/>
      <c r="AG313" s="65"/>
      <c r="AH313" s="65"/>
      <c r="AI313" s="65"/>
      <c r="AJ313" s="65"/>
      <c r="AK313" s="65"/>
      <c r="AL313" s="65"/>
      <c r="AM313" s="65"/>
      <c r="AN313" s="65"/>
      <c r="AO313" s="65"/>
      <c r="AP313" s="65"/>
      <c r="AQ313" s="65"/>
      <c r="AR313" s="65"/>
      <c r="AS313" s="65"/>
      <c r="AT313" s="65"/>
      <c r="AU313" s="65"/>
      <c r="AV313" s="65"/>
      <c r="AW313" s="65"/>
      <c r="AX313" s="65"/>
      <c r="AY313" s="65"/>
      <c r="AZ313" s="65"/>
      <c r="BA313" s="65"/>
    </row>
    <row r="314" spans="1:53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65"/>
      <c r="Y314" s="65"/>
      <c r="Z314" s="65"/>
      <c r="AA314" s="65"/>
      <c r="AB314" s="65"/>
      <c r="AC314" s="65"/>
      <c r="AD314" s="65"/>
      <c r="AE314" s="65"/>
      <c r="AF314" s="65"/>
      <c r="AG314" s="65"/>
      <c r="AH314" s="65"/>
      <c r="AI314" s="65"/>
      <c r="AJ314" s="65"/>
      <c r="AK314" s="65"/>
      <c r="AL314" s="65"/>
      <c r="AM314" s="65"/>
      <c r="AN314" s="65"/>
      <c r="AO314" s="65"/>
      <c r="AP314" s="65"/>
      <c r="AQ314" s="65"/>
      <c r="AR314" s="65"/>
      <c r="AS314" s="65"/>
      <c r="AT314" s="65"/>
      <c r="AU314" s="65"/>
      <c r="AV314" s="65"/>
      <c r="AW314" s="65"/>
      <c r="AX314" s="65"/>
      <c r="AY314" s="65"/>
      <c r="AZ314" s="65"/>
      <c r="BA314" s="65"/>
    </row>
    <row r="315" spans="1:53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65"/>
      <c r="AA315" s="65"/>
      <c r="AB315" s="65"/>
      <c r="AC315" s="65"/>
      <c r="AD315" s="65"/>
      <c r="AE315" s="65"/>
      <c r="AF315" s="65"/>
      <c r="AG315" s="65"/>
      <c r="AH315" s="65"/>
      <c r="AI315" s="65"/>
      <c r="AJ315" s="65"/>
      <c r="AK315" s="65"/>
      <c r="AL315" s="65"/>
      <c r="AM315" s="65"/>
      <c r="AN315" s="65"/>
      <c r="AO315" s="65"/>
      <c r="AP315" s="65"/>
      <c r="AQ315" s="65"/>
      <c r="AR315" s="65"/>
      <c r="AS315" s="65"/>
      <c r="AT315" s="65"/>
      <c r="AU315" s="65"/>
      <c r="AV315" s="65"/>
      <c r="AW315" s="65"/>
      <c r="AX315" s="65"/>
      <c r="AY315" s="65"/>
      <c r="AZ315" s="65"/>
      <c r="BA315" s="65"/>
    </row>
    <row r="316" spans="1:53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  <c r="AA316" s="65"/>
      <c r="AB316" s="65"/>
      <c r="AC316" s="65"/>
      <c r="AD316" s="65"/>
      <c r="AE316" s="65"/>
      <c r="AF316" s="65"/>
      <c r="AG316" s="65"/>
      <c r="AH316" s="65"/>
      <c r="AI316" s="65"/>
      <c r="AJ316" s="65"/>
      <c r="AK316" s="65"/>
      <c r="AL316" s="65"/>
      <c r="AM316" s="65"/>
      <c r="AN316" s="65"/>
      <c r="AO316" s="65"/>
      <c r="AP316" s="65"/>
      <c r="AQ316" s="65"/>
      <c r="AR316" s="65"/>
      <c r="AS316" s="65"/>
      <c r="AT316" s="65"/>
      <c r="AU316" s="65"/>
      <c r="AV316" s="65"/>
      <c r="AW316" s="65"/>
      <c r="AX316" s="65"/>
      <c r="AY316" s="65"/>
      <c r="AZ316" s="65"/>
      <c r="BA316" s="65"/>
    </row>
    <row r="317" spans="1:53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  <c r="AA317" s="65"/>
      <c r="AB317" s="65"/>
      <c r="AC317" s="65"/>
      <c r="AD317" s="65"/>
      <c r="AE317" s="65"/>
      <c r="AF317" s="65"/>
      <c r="AG317" s="65"/>
      <c r="AH317" s="65"/>
      <c r="AI317" s="65"/>
      <c r="AJ317" s="65"/>
      <c r="AK317" s="65"/>
      <c r="AL317" s="65"/>
      <c r="AM317" s="65"/>
      <c r="AN317" s="65"/>
      <c r="AO317" s="65"/>
      <c r="AP317" s="65"/>
      <c r="AQ317" s="65"/>
      <c r="AR317" s="65"/>
      <c r="AS317" s="65"/>
      <c r="AT317" s="65"/>
      <c r="AU317" s="65"/>
      <c r="AV317" s="65"/>
      <c r="AW317" s="65"/>
      <c r="AX317" s="65"/>
      <c r="AY317" s="65"/>
      <c r="AZ317" s="65"/>
      <c r="BA317" s="65"/>
    </row>
    <row r="318" spans="1:53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/>
      <c r="Z318" s="65"/>
      <c r="AA318" s="65"/>
      <c r="AB318" s="65"/>
      <c r="AC318" s="65"/>
      <c r="AD318" s="65"/>
      <c r="AE318" s="65"/>
      <c r="AF318" s="65"/>
      <c r="AG318" s="65"/>
      <c r="AH318" s="65"/>
      <c r="AI318" s="65"/>
      <c r="AJ318" s="65"/>
      <c r="AK318" s="65"/>
      <c r="AL318" s="65"/>
      <c r="AM318" s="65"/>
      <c r="AN318" s="65"/>
      <c r="AO318" s="65"/>
      <c r="AP318" s="65"/>
      <c r="AQ318" s="65"/>
      <c r="AR318" s="65"/>
      <c r="AS318" s="65"/>
      <c r="AT318" s="65"/>
      <c r="AU318" s="65"/>
      <c r="AV318" s="65"/>
      <c r="AW318" s="65"/>
      <c r="AX318" s="65"/>
      <c r="AY318" s="65"/>
      <c r="AZ318" s="65"/>
      <c r="BA318" s="65"/>
    </row>
    <row r="319" spans="1:53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  <c r="Y319" s="65"/>
      <c r="Z319" s="65"/>
      <c r="AA319" s="65"/>
      <c r="AB319" s="65"/>
      <c r="AC319" s="65"/>
      <c r="AD319" s="65"/>
      <c r="AE319" s="65"/>
      <c r="AF319" s="65"/>
      <c r="AG319" s="65"/>
      <c r="AH319" s="65"/>
      <c r="AI319" s="65"/>
      <c r="AJ319" s="65"/>
      <c r="AK319" s="65"/>
      <c r="AL319" s="65"/>
      <c r="AM319" s="65"/>
      <c r="AN319" s="65"/>
      <c r="AO319" s="65"/>
      <c r="AP319" s="65"/>
      <c r="AQ319" s="65"/>
      <c r="AR319" s="65"/>
      <c r="AS319" s="65"/>
      <c r="AT319" s="65"/>
      <c r="AU319" s="65"/>
      <c r="AV319" s="65"/>
      <c r="AW319" s="65"/>
      <c r="AX319" s="65"/>
      <c r="AY319" s="65"/>
      <c r="AZ319" s="65"/>
      <c r="BA319" s="65"/>
    </row>
    <row r="320" spans="1:53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65"/>
      <c r="X320" s="65"/>
      <c r="Y320" s="65"/>
      <c r="Z320" s="65"/>
      <c r="AA320" s="65"/>
      <c r="AB320" s="65"/>
      <c r="AC320" s="65"/>
      <c r="AD320" s="65"/>
      <c r="AE320" s="65"/>
      <c r="AF320" s="65"/>
      <c r="AG320" s="65"/>
      <c r="AH320" s="65"/>
      <c r="AI320" s="65"/>
      <c r="AJ320" s="65"/>
      <c r="AK320" s="65"/>
      <c r="AL320" s="65"/>
      <c r="AM320" s="65"/>
      <c r="AN320" s="65"/>
      <c r="AO320" s="65"/>
      <c r="AP320" s="65"/>
      <c r="AQ320" s="65"/>
      <c r="AR320" s="65"/>
      <c r="AS320" s="65"/>
      <c r="AT320" s="65"/>
      <c r="AU320" s="65"/>
      <c r="AV320" s="65"/>
      <c r="AW320" s="65"/>
      <c r="AX320" s="65"/>
      <c r="AY320" s="65"/>
      <c r="AZ320" s="65"/>
      <c r="BA320" s="65"/>
    </row>
    <row r="321" spans="1:53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5"/>
      <c r="X321" s="65"/>
      <c r="Y321" s="65"/>
      <c r="Z321" s="65"/>
      <c r="AA321" s="65"/>
      <c r="AB321" s="65"/>
      <c r="AC321" s="65"/>
      <c r="AD321" s="65"/>
      <c r="AE321" s="65"/>
      <c r="AF321" s="65"/>
      <c r="AG321" s="65"/>
      <c r="AH321" s="65"/>
      <c r="AI321" s="65"/>
      <c r="AJ321" s="65"/>
      <c r="AK321" s="65"/>
      <c r="AL321" s="65"/>
      <c r="AM321" s="65"/>
      <c r="AN321" s="65"/>
      <c r="AO321" s="65"/>
      <c r="AP321" s="65"/>
      <c r="AQ321" s="65"/>
      <c r="AR321" s="65"/>
      <c r="AS321" s="65"/>
      <c r="AT321" s="65"/>
      <c r="AU321" s="65"/>
      <c r="AV321" s="65"/>
      <c r="AW321" s="65"/>
      <c r="AX321" s="65"/>
      <c r="AY321" s="65"/>
      <c r="AZ321" s="65"/>
      <c r="BA321" s="65"/>
    </row>
    <row r="322" spans="1:53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65"/>
      <c r="AA322" s="65"/>
      <c r="AB322" s="65"/>
      <c r="AC322" s="65"/>
      <c r="AD322" s="65"/>
      <c r="AE322" s="65"/>
      <c r="AF322" s="65"/>
      <c r="AG322" s="65"/>
      <c r="AH322" s="65"/>
      <c r="AI322" s="65"/>
      <c r="AJ322" s="65"/>
      <c r="AK322" s="65"/>
      <c r="AL322" s="65"/>
      <c r="AM322" s="65"/>
      <c r="AN322" s="65"/>
      <c r="AO322" s="65"/>
      <c r="AP322" s="65"/>
      <c r="AQ322" s="65"/>
      <c r="AR322" s="65"/>
      <c r="AS322" s="65"/>
      <c r="AT322" s="65"/>
      <c r="AU322" s="65"/>
      <c r="AV322" s="65"/>
      <c r="AW322" s="65"/>
      <c r="AX322" s="65"/>
      <c r="AY322" s="65"/>
      <c r="AZ322" s="65"/>
      <c r="BA322" s="65"/>
    </row>
    <row r="323" spans="1:53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  <c r="AA323" s="65"/>
      <c r="AB323" s="65"/>
      <c r="AC323" s="65"/>
      <c r="AD323" s="65"/>
      <c r="AE323" s="65"/>
      <c r="AF323" s="65"/>
      <c r="AG323" s="65"/>
      <c r="AH323" s="65"/>
      <c r="AI323" s="65"/>
      <c r="AJ323" s="65"/>
      <c r="AK323" s="65"/>
      <c r="AL323" s="65"/>
      <c r="AM323" s="65"/>
      <c r="AN323" s="65"/>
      <c r="AO323" s="65"/>
      <c r="AP323" s="65"/>
      <c r="AQ323" s="65"/>
      <c r="AR323" s="65"/>
      <c r="AS323" s="65"/>
      <c r="AT323" s="65"/>
      <c r="AU323" s="65"/>
      <c r="AV323" s="65"/>
      <c r="AW323" s="65"/>
      <c r="AX323" s="65"/>
      <c r="AY323" s="65"/>
      <c r="AZ323" s="65"/>
      <c r="BA323" s="65"/>
    </row>
    <row r="324" spans="1:53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  <c r="AA324" s="65"/>
      <c r="AB324" s="65"/>
      <c r="AC324" s="65"/>
      <c r="AD324" s="65"/>
      <c r="AE324" s="65"/>
      <c r="AF324" s="65"/>
      <c r="AG324" s="65"/>
      <c r="AH324" s="65"/>
      <c r="AI324" s="65"/>
      <c r="AJ324" s="65"/>
      <c r="AK324" s="65"/>
      <c r="AL324" s="65"/>
      <c r="AM324" s="65"/>
      <c r="AN324" s="65"/>
      <c r="AO324" s="65"/>
      <c r="AP324" s="65"/>
      <c r="AQ324" s="65"/>
      <c r="AR324" s="65"/>
      <c r="AS324" s="65"/>
      <c r="AT324" s="65"/>
      <c r="AU324" s="65"/>
      <c r="AV324" s="65"/>
      <c r="AW324" s="65"/>
      <c r="AX324" s="65"/>
      <c r="AY324" s="65"/>
      <c r="AZ324" s="65"/>
      <c r="BA324" s="65"/>
    </row>
    <row r="325" spans="1:53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  <c r="AA325" s="65"/>
      <c r="AB325" s="65"/>
      <c r="AC325" s="65"/>
      <c r="AD325" s="65"/>
      <c r="AE325" s="65"/>
      <c r="AF325" s="65"/>
      <c r="AG325" s="65"/>
      <c r="AH325" s="65"/>
      <c r="AI325" s="65"/>
      <c r="AJ325" s="65"/>
      <c r="AK325" s="65"/>
      <c r="AL325" s="65"/>
      <c r="AM325" s="65"/>
      <c r="AN325" s="65"/>
      <c r="AO325" s="65"/>
      <c r="AP325" s="65"/>
      <c r="AQ325" s="65"/>
      <c r="AR325" s="65"/>
      <c r="AS325" s="65"/>
      <c r="AT325" s="65"/>
      <c r="AU325" s="65"/>
      <c r="AV325" s="65"/>
      <c r="AW325" s="65"/>
      <c r="AX325" s="65"/>
      <c r="AY325" s="65"/>
      <c r="AZ325" s="65"/>
      <c r="BA325" s="65"/>
    </row>
    <row r="326" spans="1:53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  <c r="Y326" s="65"/>
      <c r="Z326" s="65"/>
      <c r="AA326" s="65"/>
      <c r="AB326" s="65"/>
      <c r="AC326" s="65"/>
      <c r="AD326" s="65"/>
      <c r="AE326" s="65"/>
      <c r="AF326" s="65"/>
      <c r="AG326" s="65"/>
      <c r="AH326" s="65"/>
      <c r="AI326" s="65"/>
      <c r="AJ326" s="65"/>
      <c r="AK326" s="65"/>
      <c r="AL326" s="65"/>
      <c r="AM326" s="65"/>
      <c r="AN326" s="65"/>
      <c r="AO326" s="65"/>
      <c r="AP326" s="65"/>
      <c r="AQ326" s="65"/>
      <c r="AR326" s="65"/>
      <c r="AS326" s="65"/>
      <c r="AT326" s="65"/>
      <c r="AU326" s="65"/>
      <c r="AV326" s="65"/>
      <c r="AW326" s="65"/>
      <c r="AX326" s="65"/>
      <c r="AY326" s="65"/>
      <c r="AZ326" s="65"/>
      <c r="BA326" s="65"/>
    </row>
    <row r="327" spans="1:53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5"/>
      <c r="Z327" s="65"/>
      <c r="AA327" s="65"/>
      <c r="AB327" s="65"/>
      <c r="AC327" s="65"/>
      <c r="AD327" s="65"/>
      <c r="AE327" s="65"/>
      <c r="AF327" s="65"/>
      <c r="AG327" s="65"/>
      <c r="AH327" s="65"/>
      <c r="AI327" s="65"/>
      <c r="AJ327" s="65"/>
      <c r="AK327" s="65"/>
      <c r="AL327" s="65"/>
      <c r="AM327" s="65"/>
      <c r="AN327" s="65"/>
      <c r="AO327" s="65"/>
      <c r="AP327" s="65"/>
      <c r="AQ327" s="65"/>
      <c r="AR327" s="65"/>
      <c r="AS327" s="65"/>
      <c r="AT327" s="65"/>
      <c r="AU327" s="65"/>
      <c r="AV327" s="65"/>
      <c r="AW327" s="65"/>
      <c r="AX327" s="65"/>
      <c r="AY327" s="65"/>
      <c r="AZ327" s="65"/>
      <c r="BA327" s="65"/>
    </row>
    <row r="328" spans="1:53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65"/>
      <c r="Y328" s="65"/>
      <c r="Z328" s="65"/>
      <c r="AA328" s="65"/>
      <c r="AB328" s="65"/>
      <c r="AC328" s="65"/>
      <c r="AD328" s="65"/>
      <c r="AE328" s="65"/>
      <c r="AF328" s="65"/>
      <c r="AG328" s="65"/>
      <c r="AH328" s="65"/>
      <c r="AI328" s="65"/>
      <c r="AJ328" s="65"/>
      <c r="AK328" s="65"/>
      <c r="AL328" s="65"/>
      <c r="AM328" s="65"/>
      <c r="AN328" s="65"/>
      <c r="AO328" s="65"/>
      <c r="AP328" s="65"/>
      <c r="AQ328" s="65"/>
      <c r="AR328" s="65"/>
      <c r="AS328" s="65"/>
      <c r="AT328" s="65"/>
      <c r="AU328" s="65"/>
      <c r="AV328" s="65"/>
      <c r="AW328" s="65"/>
      <c r="AX328" s="65"/>
      <c r="AY328" s="65"/>
      <c r="AZ328" s="65"/>
      <c r="BA328" s="65"/>
    </row>
    <row r="329" spans="1:53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65"/>
      <c r="AA329" s="65"/>
      <c r="AB329" s="65"/>
      <c r="AC329" s="65"/>
      <c r="AD329" s="65"/>
      <c r="AE329" s="65"/>
      <c r="AF329" s="65"/>
      <c r="AG329" s="65"/>
      <c r="AH329" s="65"/>
      <c r="AI329" s="65"/>
      <c r="AJ329" s="65"/>
      <c r="AK329" s="65"/>
      <c r="AL329" s="65"/>
      <c r="AM329" s="65"/>
      <c r="AN329" s="65"/>
      <c r="AO329" s="65"/>
      <c r="AP329" s="65"/>
      <c r="AQ329" s="65"/>
      <c r="AR329" s="65"/>
      <c r="AS329" s="65"/>
      <c r="AT329" s="65"/>
      <c r="AU329" s="65"/>
      <c r="AV329" s="65"/>
      <c r="AW329" s="65"/>
      <c r="AX329" s="65"/>
      <c r="AY329" s="65"/>
      <c r="AZ329" s="65"/>
      <c r="BA329" s="65"/>
    </row>
    <row r="330" spans="1:53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  <c r="AA330" s="65"/>
      <c r="AB330" s="65"/>
      <c r="AC330" s="65"/>
      <c r="AD330" s="65"/>
      <c r="AE330" s="65"/>
      <c r="AF330" s="65"/>
      <c r="AG330" s="65"/>
      <c r="AH330" s="65"/>
      <c r="AI330" s="65"/>
      <c r="AJ330" s="65"/>
      <c r="AK330" s="65"/>
      <c r="AL330" s="65"/>
      <c r="AM330" s="65"/>
      <c r="AN330" s="65"/>
      <c r="AO330" s="65"/>
      <c r="AP330" s="65"/>
      <c r="AQ330" s="65"/>
      <c r="AR330" s="65"/>
      <c r="AS330" s="65"/>
      <c r="AT330" s="65"/>
      <c r="AU330" s="65"/>
      <c r="AV330" s="65"/>
      <c r="AW330" s="65"/>
      <c r="AX330" s="65"/>
      <c r="AY330" s="65"/>
      <c r="AZ330" s="65"/>
      <c r="BA330" s="65"/>
    </row>
    <row r="331" spans="1:53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  <c r="AA331" s="65"/>
      <c r="AB331" s="65"/>
      <c r="AC331" s="65"/>
      <c r="AD331" s="65"/>
      <c r="AE331" s="65"/>
      <c r="AF331" s="65"/>
      <c r="AG331" s="65"/>
      <c r="AH331" s="65"/>
      <c r="AI331" s="65"/>
      <c r="AJ331" s="65"/>
      <c r="AK331" s="65"/>
      <c r="AL331" s="65"/>
      <c r="AM331" s="65"/>
      <c r="AN331" s="65"/>
      <c r="AO331" s="65"/>
      <c r="AP331" s="65"/>
      <c r="AQ331" s="65"/>
      <c r="AR331" s="65"/>
      <c r="AS331" s="65"/>
      <c r="AT331" s="65"/>
      <c r="AU331" s="65"/>
      <c r="AV331" s="65"/>
      <c r="AW331" s="65"/>
      <c r="AX331" s="65"/>
      <c r="AY331" s="65"/>
      <c r="AZ331" s="65"/>
      <c r="BA331" s="65"/>
    </row>
    <row r="332" spans="1:53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65"/>
      <c r="Y332" s="65"/>
      <c r="Z332" s="65"/>
      <c r="AA332" s="65"/>
      <c r="AB332" s="65"/>
      <c r="AC332" s="65"/>
      <c r="AD332" s="65"/>
      <c r="AE332" s="65"/>
      <c r="AF332" s="65"/>
      <c r="AG332" s="65"/>
      <c r="AH332" s="65"/>
      <c r="AI332" s="65"/>
      <c r="AJ332" s="65"/>
      <c r="AK332" s="65"/>
      <c r="AL332" s="65"/>
      <c r="AM332" s="65"/>
      <c r="AN332" s="65"/>
      <c r="AO332" s="65"/>
      <c r="AP332" s="65"/>
      <c r="AQ332" s="65"/>
      <c r="AR332" s="65"/>
      <c r="AS332" s="65"/>
      <c r="AT332" s="65"/>
      <c r="AU332" s="65"/>
      <c r="AV332" s="65"/>
      <c r="AW332" s="65"/>
      <c r="AX332" s="65"/>
      <c r="AY332" s="65"/>
      <c r="AZ332" s="65"/>
      <c r="BA332" s="65"/>
    </row>
    <row r="333" spans="1:53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65"/>
      <c r="Y333" s="65"/>
      <c r="Z333" s="65"/>
      <c r="AA333" s="65"/>
      <c r="AB333" s="65"/>
      <c r="AC333" s="65"/>
      <c r="AD333" s="65"/>
      <c r="AE333" s="65"/>
      <c r="AF333" s="65"/>
      <c r="AG333" s="65"/>
      <c r="AH333" s="65"/>
      <c r="AI333" s="65"/>
      <c r="AJ333" s="65"/>
      <c r="AK333" s="65"/>
      <c r="AL333" s="65"/>
      <c r="AM333" s="65"/>
      <c r="AN333" s="65"/>
      <c r="AO333" s="65"/>
      <c r="AP333" s="65"/>
      <c r="AQ333" s="65"/>
      <c r="AR333" s="65"/>
      <c r="AS333" s="65"/>
      <c r="AT333" s="65"/>
      <c r="AU333" s="65"/>
      <c r="AV333" s="65"/>
      <c r="AW333" s="65"/>
      <c r="AX333" s="65"/>
      <c r="AY333" s="65"/>
      <c r="AZ333" s="65"/>
      <c r="BA333" s="65"/>
    </row>
    <row r="334" spans="1:53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65"/>
      <c r="Y334" s="65"/>
      <c r="Z334" s="65"/>
      <c r="AA334" s="65"/>
      <c r="AB334" s="65"/>
      <c r="AC334" s="65"/>
      <c r="AD334" s="65"/>
      <c r="AE334" s="65"/>
      <c r="AF334" s="65"/>
      <c r="AG334" s="65"/>
      <c r="AH334" s="65"/>
      <c r="AI334" s="65"/>
      <c r="AJ334" s="65"/>
      <c r="AK334" s="65"/>
      <c r="AL334" s="65"/>
      <c r="AM334" s="65"/>
      <c r="AN334" s="65"/>
      <c r="AO334" s="65"/>
      <c r="AP334" s="65"/>
      <c r="AQ334" s="65"/>
      <c r="AR334" s="65"/>
      <c r="AS334" s="65"/>
      <c r="AT334" s="65"/>
      <c r="AU334" s="65"/>
      <c r="AV334" s="65"/>
      <c r="AW334" s="65"/>
      <c r="AX334" s="65"/>
      <c r="AY334" s="65"/>
      <c r="AZ334" s="65"/>
      <c r="BA334" s="65"/>
    </row>
    <row r="335" spans="1:53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65"/>
      <c r="X335" s="65"/>
      <c r="Y335" s="65"/>
      <c r="Z335" s="65"/>
      <c r="AA335" s="65"/>
      <c r="AB335" s="65"/>
      <c r="AC335" s="65"/>
      <c r="AD335" s="65"/>
      <c r="AE335" s="65"/>
      <c r="AF335" s="65"/>
      <c r="AG335" s="65"/>
      <c r="AH335" s="65"/>
      <c r="AI335" s="65"/>
      <c r="AJ335" s="65"/>
      <c r="AK335" s="65"/>
      <c r="AL335" s="65"/>
      <c r="AM335" s="65"/>
      <c r="AN335" s="65"/>
      <c r="AO335" s="65"/>
      <c r="AP335" s="65"/>
      <c r="AQ335" s="65"/>
      <c r="AR335" s="65"/>
      <c r="AS335" s="65"/>
      <c r="AT335" s="65"/>
      <c r="AU335" s="65"/>
      <c r="AV335" s="65"/>
      <c r="AW335" s="65"/>
      <c r="AX335" s="65"/>
      <c r="AY335" s="65"/>
      <c r="AZ335" s="65"/>
      <c r="BA335" s="65"/>
    </row>
    <row r="336" spans="1:53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5"/>
      <c r="X336" s="65"/>
      <c r="Y336" s="65"/>
      <c r="Z336" s="65"/>
      <c r="AA336" s="65"/>
      <c r="AB336" s="65"/>
      <c r="AC336" s="65"/>
      <c r="AD336" s="65"/>
      <c r="AE336" s="65"/>
      <c r="AF336" s="65"/>
      <c r="AG336" s="65"/>
      <c r="AH336" s="65"/>
      <c r="AI336" s="65"/>
      <c r="AJ336" s="65"/>
      <c r="AK336" s="65"/>
      <c r="AL336" s="65"/>
      <c r="AM336" s="65"/>
      <c r="AN336" s="65"/>
      <c r="AO336" s="65"/>
      <c r="AP336" s="65"/>
      <c r="AQ336" s="65"/>
      <c r="AR336" s="65"/>
      <c r="AS336" s="65"/>
      <c r="AT336" s="65"/>
      <c r="AU336" s="65"/>
      <c r="AV336" s="65"/>
      <c r="AW336" s="65"/>
      <c r="AX336" s="65"/>
      <c r="AY336" s="65"/>
      <c r="AZ336" s="65"/>
      <c r="BA336" s="65"/>
    </row>
    <row r="337" spans="1:53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  <c r="AA337" s="65"/>
      <c r="AB337" s="65"/>
      <c r="AC337" s="65"/>
      <c r="AD337" s="65"/>
      <c r="AE337" s="65"/>
      <c r="AF337" s="65"/>
      <c r="AG337" s="65"/>
      <c r="AH337" s="65"/>
      <c r="AI337" s="65"/>
      <c r="AJ337" s="65"/>
      <c r="AK337" s="65"/>
      <c r="AL337" s="65"/>
      <c r="AM337" s="65"/>
      <c r="AN337" s="65"/>
      <c r="AO337" s="65"/>
      <c r="AP337" s="65"/>
      <c r="AQ337" s="65"/>
      <c r="AR337" s="65"/>
      <c r="AS337" s="65"/>
      <c r="AT337" s="65"/>
      <c r="AU337" s="65"/>
      <c r="AV337" s="65"/>
      <c r="AW337" s="65"/>
      <c r="AX337" s="65"/>
      <c r="AY337" s="65"/>
      <c r="AZ337" s="65"/>
      <c r="BA337" s="65"/>
    </row>
    <row r="338" spans="1:53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5"/>
      <c r="X338" s="65"/>
      <c r="Y338" s="65"/>
      <c r="Z338" s="65"/>
      <c r="AA338" s="65"/>
      <c r="AB338" s="65"/>
      <c r="AC338" s="65"/>
      <c r="AD338" s="65"/>
      <c r="AE338" s="65"/>
      <c r="AF338" s="65"/>
      <c r="AG338" s="65"/>
      <c r="AH338" s="65"/>
      <c r="AI338" s="65"/>
      <c r="AJ338" s="65"/>
      <c r="AK338" s="65"/>
      <c r="AL338" s="65"/>
      <c r="AM338" s="65"/>
      <c r="AN338" s="65"/>
      <c r="AO338" s="65"/>
      <c r="AP338" s="65"/>
      <c r="AQ338" s="65"/>
      <c r="AR338" s="65"/>
      <c r="AS338" s="65"/>
      <c r="AT338" s="65"/>
      <c r="AU338" s="65"/>
      <c r="AV338" s="65"/>
      <c r="AW338" s="65"/>
      <c r="AX338" s="65"/>
      <c r="AY338" s="65"/>
      <c r="AZ338" s="65"/>
      <c r="BA338" s="65"/>
    </row>
    <row r="339" spans="1:53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  <c r="Y339" s="65"/>
      <c r="Z339" s="65"/>
      <c r="AA339" s="65"/>
      <c r="AB339" s="65"/>
      <c r="AC339" s="65"/>
      <c r="AD339" s="65"/>
      <c r="AE339" s="65"/>
      <c r="AF339" s="65"/>
      <c r="AG339" s="65"/>
      <c r="AH339" s="65"/>
      <c r="AI339" s="65"/>
      <c r="AJ339" s="65"/>
      <c r="AK339" s="65"/>
      <c r="AL339" s="65"/>
      <c r="AM339" s="65"/>
      <c r="AN339" s="65"/>
      <c r="AO339" s="65"/>
      <c r="AP339" s="65"/>
      <c r="AQ339" s="65"/>
      <c r="AR339" s="65"/>
      <c r="AS339" s="65"/>
      <c r="AT339" s="65"/>
      <c r="AU339" s="65"/>
      <c r="AV339" s="65"/>
      <c r="AW339" s="65"/>
      <c r="AX339" s="65"/>
      <c r="AY339" s="65"/>
      <c r="AZ339" s="65"/>
      <c r="BA339" s="65"/>
    </row>
    <row r="340" spans="1:53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65"/>
      <c r="Y340" s="65"/>
      <c r="Z340" s="65"/>
      <c r="AA340" s="65"/>
      <c r="AB340" s="65"/>
      <c r="AC340" s="65"/>
      <c r="AD340" s="65"/>
      <c r="AE340" s="65"/>
      <c r="AF340" s="65"/>
      <c r="AG340" s="65"/>
      <c r="AH340" s="65"/>
      <c r="AI340" s="65"/>
      <c r="AJ340" s="65"/>
      <c r="AK340" s="65"/>
      <c r="AL340" s="65"/>
      <c r="AM340" s="65"/>
      <c r="AN340" s="65"/>
      <c r="AO340" s="65"/>
      <c r="AP340" s="65"/>
      <c r="AQ340" s="65"/>
      <c r="AR340" s="65"/>
      <c r="AS340" s="65"/>
      <c r="AT340" s="65"/>
      <c r="AU340" s="65"/>
      <c r="AV340" s="65"/>
      <c r="AW340" s="65"/>
      <c r="AX340" s="65"/>
      <c r="AY340" s="65"/>
      <c r="AZ340" s="65"/>
      <c r="BA340" s="65"/>
    </row>
    <row r="341" spans="1:53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65"/>
      <c r="Y341" s="65"/>
      <c r="Z341" s="65"/>
      <c r="AA341" s="65"/>
      <c r="AB341" s="65"/>
      <c r="AC341" s="65"/>
      <c r="AD341" s="65"/>
      <c r="AE341" s="65"/>
      <c r="AF341" s="65"/>
      <c r="AG341" s="65"/>
      <c r="AH341" s="65"/>
      <c r="AI341" s="65"/>
      <c r="AJ341" s="65"/>
      <c r="AK341" s="65"/>
      <c r="AL341" s="65"/>
      <c r="AM341" s="65"/>
      <c r="AN341" s="65"/>
      <c r="AO341" s="65"/>
      <c r="AP341" s="65"/>
      <c r="AQ341" s="65"/>
      <c r="AR341" s="65"/>
      <c r="AS341" s="65"/>
      <c r="AT341" s="65"/>
      <c r="AU341" s="65"/>
      <c r="AV341" s="65"/>
      <c r="AW341" s="65"/>
      <c r="AX341" s="65"/>
      <c r="AY341" s="65"/>
      <c r="AZ341" s="65"/>
      <c r="BA341" s="65"/>
    </row>
    <row r="342" spans="1:53">
      <c r="A342" s="65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/>
      <c r="Z342" s="65"/>
      <c r="AA342" s="65"/>
      <c r="AB342" s="65"/>
      <c r="AC342" s="65"/>
      <c r="AD342" s="65"/>
      <c r="AE342" s="65"/>
      <c r="AF342" s="65"/>
      <c r="AG342" s="65"/>
      <c r="AH342" s="65"/>
      <c r="AI342" s="65"/>
      <c r="AJ342" s="65"/>
      <c r="AK342" s="65"/>
      <c r="AL342" s="65"/>
      <c r="AM342" s="65"/>
      <c r="AN342" s="65"/>
      <c r="AO342" s="65"/>
      <c r="AP342" s="65"/>
      <c r="AQ342" s="65"/>
      <c r="AR342" s="65"/>
      <c r="AS342" s="65"/>
      <c r="AT342" s="65"/>
      <c r="AU342" s="65"/>
      <c r="AV342" s="65"/>
      <c r="AW342" s="65"/>
      <c r="AX342" s="65"/>
      <c r="AY342" s="65"/>
      <c r="AZ342" s="65"/>
      <c r="BA342" s="65"/>
    </row>
    <row r="343" spans="1:53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65"/>
      <c r="AA343" s="65"/>
      <c r="AB343" s="65"/>
      <c r="AC343" s="65"/>
      <c r="AD343" s="65"/>
      <c r="AE343" s="65"/>
      <c r="AF343" s="65"/>
      <c r="AG343" s="65"/>
      <c r="AH343" s="65"/>
      <c r="AI343" s="65"/>
      <c r="AJ343" s="65"/>
      <c r="AK343" s="65"/>
      <c r="AL343" s="65"/>
      <c r="AM343" s="65"/>
      <c r="AN343" s="65"/>
      <c r="AO343" s="65"/>
      <c r="AP343" s="65"/>
      <c r="AQ343" s="65"/>
      <c r="AR343" s="65"/>
      <c r="AS343" s="65"/>
      <c r="AT343" s="65"/>
      <c r="AU343" s="65"/>
      <c r="AV343" s="65"/>
      <c r="AW343" s="65"/>
      <c r="AX343" s="65"/>
      <c r="AY343" s="65"/>
      <c r="AZ343" s="65"/>
      <c r="BA343" s="65"/>
    </row>
    <row r="344" spans="1:53">
      <c r="A344" s="65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65"/>
      <c r="AA344" s="65"/>
      <c r="AB344" s="65"/>
      <c r="AC344" s="65"/>
      <c r="AD344" s="65"/>
      <c r="AE344" s="65"/>
      <c r="AF344" s="65"/>
      <c r="AG344" s="65"/>
      <c r="AH344" s="65"/>
      <c r="AI344" s="65"/>
      <c r="AJ344" s="65"/>
      <c r="AK344" s="65"/>
      <c r="AL344" s="65"/>
      <c r="AM344" s="65"/>
      <c r="AN344" s="65"/>
      <c r="AO344" s="65"/>
      <c r="AP344" s="65"/>
      <c r="AQ344" s="65"/>
      <c r="AR344" s="65"/>
      <c r="AS344" s="65"/>
      <c r="AT344" s="65"/>
      <c r="AU344" s="65"/>
      <c r="AV344" s="65"/>
      <c r="AW344" s="65"/>
      <c r="AX344" s="65"/>
      <c r="AY344" s="65"/>
      <c r="AZ344" s="65"/>
      <c r="BA344" s="65"/>
    </row>
    <row r="345" spans="1:53">
      <c r="A345" s="65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65"/>
      <c r="Y345" s="65"/>
      <c r="Z345" s="65"/>
      <c r="AA345" s="65"/>
      <c r="AB345" s="65"/>
      <c r="AC345" s="65"/>
      <c r="AD345" s="65"/>
      <c r="AE345" s="65"/>
      <c r="AF345" s="65"/>
      <c r="AG345" s="65"/>
      <c r="AH345" s="65"/>
      <c r="AI345" s="65"/>
      <c r="AJ345" s="65"/>
      <c r="AK345" s="65"/>
      <c r="AL345" s="65"/>
      <c r="AM345" s="65"/>
      <c r="AN345" s="65"/>
      <c r="AO345" s="65"/>
      <c r="AP345" s="65"/>
      <c r="AQ345" s="65"/>
      <c r="AR345" s="65"/>
      <c r="AS345" s="65"/>
      <c r="AT345" s="65"/>
      <c r="AU345" s="65"/>
      <c r="AV345" s="65"/>
      <c r="AW345" s="65"/>
      <c r="AX345" s="65"/>
      <c r="AY345" s="65"/>
      <c r="AZ345" s="65"/>
      <c r="BA345" s="65"/>
    </row>
    <row r="346" spans="1:53">
      <c r="A346" s="65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65"/>
      <c r="Y346" s="65"/>
      <c r="Z346" s="65"/>
      <c r="AA346" s="65"/>
      <c r="AB346" s="65"/>
      <c r="AC346" s="65"/>
      <c r="AD346" s="65"/>
      <c r="AE346" s="65"/>
      <c r="AF346" s="65"/>
      <c r="AG346" s="65"/>
      <c r="AH346" s="65"/>
      <c r="AI346" s="65"/>
      <c r="AJ346" s="65"/>
      <c r="AK346" s="65"/>
      <c r="AL346" s="65"/>
      <c r="AM346" s="65"/>
      <c r="AN346" s="65"/>
      <c r="AO346" s="65"/>
      <c r="AP346" s="65"/>
      <c r="AQ346" s="65"/>
      <c r="AR346" s="65"/>
      <c r="AS346" s="65"/>
      <c r="AT346" s="65"/>
      <c r="AU346" s="65"/>
      <c r="AV346" s="65"/>
      <c r="AW346" s="65"/>
      <c r="AX346" s="65"/>
      <c r="AY346" s="65"/>
      <c r="AZ346" s="65"/>
      <c r="BA346" s="65"/>
    </row>
    <row r="347" spans="1:53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  <c r="Y347" s="65"/>
      <c r="Z347" s="65"/>
      <c r="AA347" s="65"/>
      <c r="AB347" s="65"/>
      <c r="AC347" s="65"/>
      <c r="AD347" s="65"/>
      <c r="AE347" s="65"/>
      <c r="AF347" s="65"/>
      <c r="AG347" s="65"/>
      <c r="AH347" s="65"/>
      <c r="AI347" s="65"/>
      <c r="AJ347" s="65"/>
      <c r="AK347" s="65"/>
      <c r="AL347" s="65"/>
      <c r="AM347" s="65"/>
      <c r="AN347" s="65"/>
      <c r="AO347" s="65"/>
      <c r="AP347" s="65"/>
      <c r="AQ347" s="65"/>
      <c r="AR347" s="65"/>
      <c r="AS347" s="65"/>
      <c r="AT347" s="65"/>
      <c r="AU347" s="65"/>
      <c r="AV347" s="65"/>
      <c r="AW347" s="65"/>
      <c r="AX347" s="65"/>
      <c r="AY347" s="65"/>
      <c r="AZ347" s="65"/>
      <c r="BA347" s="65"/>
    </row>
    <row r="348" spans="1:53">
      <c r="A348" s="65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65"/>
      <c r="Y348" s="65"/>
      <c r="Z348" s="65"/>
      <c r="AA348" s="65"/>
      <c r="AB348" s="65"/>
      <c r="AC348" s="65"/>
      <c r="AD348" s="65"/>
      <c r="AE348" s="65"/>
      <c r="AF348" s="65"/>
      <c r="AG348" s="65"/>
      <c r="AH348" s="65"/>
      <c r="AI348" s="65"/>
      <c r="AJ348" s="65"/>
      <c r="AK348" s="65"/>
      <c r="AL348" s="65"/>
      <c r="AM348" s="65"/>
      <c r="AN348" s="65"/>
      <c r="AO348" s="65"/>
      <c r="AP348" s="65"/>
      <c r="AQ348" s="65"/>
      <c r="AR348" s="65"/>
      <c r="AS348" s="65"/>
      <c r="AT348" s="65"/>
      <c r="AU348" s="65"/>
      <c r="AV348" s="65"/>
      <c r="AW348" s="65"/>
      <c r="AX348" s="65"/>
      <c r="AY348" s="65"/>
      <c r="AZ348" s="65"/>
      <c r="BA348" s="65"/>
    </row>
    <row r="349" spans="1:53">
      <c r="A349" s="65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  <c r="AA349" s="65"/>
      <c r="AB349" s="65"/>
      <c r="AC349" s="65"/>
      <c r="AD349" s="65"/>
      <c r="AE349" s="65"/>
      <c r="AF349" s="65"/>
      <c r="AG349" s="65"/>
      <c r="AH349" s="65"/>
      <c r="AI349" s="65"/>
      <c r="AJ349" s="65"/>
      <c r="AK349" s="65"/>
      <c r="AL349" s="65"/>
      <c r="AM349" s="65"/>
      <c r="AN349" s="65"/>
      <c r="AO349" s="65"/>
      <c r="AP349" s="65"/>
      <c r="AQ349" s="65"/>
      <c r="AR349" s="65"/>
      <c r="AS349" s="65"/>
      <c r="AT349" s="65"/>
      <c r="AU349" s="65"/>
      <c r="AV349" s="65"/>
      <c r="AW349" s="65"/>
      <c r="AX349" s="65"/>
      <c r="AY349" s="65"/>
      <c r="AZ349" s="65"/>
      <c r="BA349" s="65"/>
    </row>
    <row r="350" spans="1:53">
      <c r="A350" s="65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  <c r="AA350" s="65"/>
      <c r="AB350" s="65"/>
      <c r="AC350" s="65"/>
      <c r="AD350" s="65"/>
      <c r="AE350" s="65"/>
      <c r="AF350" s="65"/>
      <c r="AG350" s="65"/>
      <c r="AH350" s="65"/>
      <c r="AI350" s="65"/>
      <c r="AJ350" s="65"/>
      <c r="AK350" s="65"/>
      <c r="AL350" s="65"/>
      <c r="AM350" s="65"/>
      <c r="AN350" s="65"/>
      <c r="AO350" s="65"/>
      <c r="AP350" s="65"/>
      <c r="AQ350" s="65"/>
      <c r="AR350" s="65"/>
      <c r="AS350" s="65"/>
      <c r="AT350" s="65"/>
      <c r="AU350" s="65"/>
      <c r="AV350" s="65"/>
      <c r="AW350" s="65"/>
      <c r="AX350" s="65"/>
      <c r="AY350" s="65"/>
      <c r="AZ350" s="65"/>
      <c r="BA350" s="65"/>
    </row>
    <row r="351" spans="1:53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  <c r="AA351" s="65"/>
      <c r="AB351" s="65"/>
      <c r="AC351" s="65"/>
      <c r="AD351" s="65"/>
      <c r="AE351" s="65"/>
      <c r="AF351" s="65"/>
      <c r="AG351" s="65"/>
      <c r="AH351" s="65"/>
      <c r="AI351" s="65"/>
      <c r="AJ351" s="65"/>
      <c r="AK351" s="65"/>
      <c r="AL351" s="65"/>
      <c r="AM351" s="65"/>
      <c r="AN351" s="65"/>
      <c r="AO351" s="65"/>
      <c r="AP351" s="65"/>
      <c r="AQ351" s="65"/>
      <c r="AR351" s="65"/>
      <c r="AS351" s="65"/>
      <c r="AT351" s="65"/>
      <c r="AU351" s="65"/>
      <c r="AV351" s="65"/>
      <c r="AW351" s="65"/>
      <c r="AX351" s="65"/>
      <c r="AY351" s="65"/>
      <c r="AZ351" s="65"/>
      <c r="BA351" s="65"/>
    </row>
    <row r="352" spans="1:53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65"/>
      <c r="Y352" s="65"/>
      <c r="Z352" s="65"/>
      <c r="AA352" s="65"/>
      <c r="AB352" s="65"/>
      <c r="AC352" s="65"/>
      <c r="AD352" s="65"/>
      <c r="AE352" s="65"/>
      <c r="AF352" s="65"/>
      <c r="AG352" s="65"/>
      <c r="AH352" s="65"/>
      <c r="AI352" s="65"/>
      <c r="AJ352" s="65"/>
      <c r="AK352" s="65"/>
      <c r="AL352" s="65"/>
      <c r="AM352" s="65"/>
      <c r="AN352" s="65"/>
      <c r="AO352" s="65"/>
      <c r="AP352" s="65"/>
      <c r="AQ352" s="65"/>
      <c r="AR352" s="65"/>
      <c r="AS352" s="65"/>
      <c r="AT352" s="65"/>
      <c r="AU352" s="65"/>
      <c r="AV352" s="65"/>
      <c r="AW352" s="65"/>
      <c r="AX352" s="65"/>
      <c r="AY352" s="65"/>
      <c r="AZ352" s="65"/>
      <c r="BA352" s="65"/>
    </row>
    <row r="353" spans="1:53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65"/>
      <c r="Y353" s="65"/>
      <c r="Z353" s="65"/>
      <c r="AA353" s="65"/>
      <c r="AB353" s="65"/>
      <c r="AC353" s="65"/>
      <c r="AD353" s="65"/>
      <c r="AE353" s="65"/>
      <c r="AF353" s="65"/>
      <c r="AG353" s="65"/>
      <c r="AH353" s="65"/>
      <c r="AI353" s="65"/>
      <c r="AJ353" s="65"/>
      <c r="AK353" s="65"/>
      <c r="AL353" s="65"/>
      <c r="AM353" s="65"/>
      <c r="AN353" s="65"/>
      <c r="AO353" s="65"/>
      <c r="AP353" s="65"/>
      <c r="AQ353" s="65"/>
      <c r="AR353" s="65"/>
      <c r="AS353" s="65"/>
      <c r="AT353" s="65"/>
      <c r="AU353" s="65"/>
      <c r="AV353" s="65"/>
      <c r="AW353" s="65"/>
      <c r="AX353" s="65"/>
      <c r="AY353" s="65"/>
      <c r="AZ353" s="65"/>
      <c r="BA353" s="65"/>
    </row>
    <row r="354" spans="1:53">
      <c r="A354" s="65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/>
      <c r="Z354" s="65"/>
      <c r="AA354" s="65"/>
      <c r="AB354" s="65"/>
      <c r="AC354" s="65"/>
      <c r="AD354" s="65"/>
      <c r="AE354" s="65"/>
      <c r="AF354" s="65"/>
      <c r="AG354" s="65"/>
      <c r="AH354" s="65"/>
      <c r="AI354" s="65"/>
      <c r="AJ354" s="65"/>
      <c r="AK354" s="65"/>
      <c r="AL354" s="65"/>
      <c r="AM354" s="65"/>
      <c r="AN354" s="65"/>
      <c r="AO354" s="65"/>
      <c r="AP354" s="65"/>
      <c r="AQ354" s="65"/>
      <c r="AR354" s="65"/>
      <c r="AS354" s="65"/>
      <c r="AT354" s="65"/>
      <c r="AU354" s="65"/>
      <c r="AV354" s="65"/>
      <c r="AW354" s="65"/>
      <c r="AX354" s="65"/>
      <c r="AY354" s="65"/>
      <c r="AZ354" s="65"/>
      <c r="BA354" s="65"/>
    </row>
    <row r="355" spans="1:53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65"/>
      <c r="Y355" s="65"/>
      <c r="Z355" s="65"/>
      <c r="AA355" s="65"/>
      <c r="AB355" s="65"/>
      <c r="AC355" s="65"/>
      <c r="AD355" s="65"/>
      <c r="AE355" s="65"/>
      <c r="AF355" s="65"/>
      <c r="AG355" s="65"/>
      <c r="AH355" s="65"/>
      <c r="AI355" s="65"/>
      <c r="AJ355" s="65"/>
      <c r="AK355" s="65"/>
      <c r="AL355" s="65"/>
      <c r="AM355" s="65"/>
      <c r="AN355" s="65"/>
      <c r="AO355" s="65"/>
      <c r="AP355" s="65"/>
      <c r="AQ355" s="65"/>
      <c r="AR355" s="65"/>
      <c r="AS355" s="65"/>
      <c r="AT355" s="65"/>
      <c r="AU355" s="65"/>
      <c r="AV355" s="65"/>
      <c r="AW355" s="65"/>
      <c r="AX355" s="65"/>
      <c r="AY355" s="65"/>
      <c r="AZ355" s="65"/>
      <c r="BA355" s="65"/>
    </row>
    <row r="356" spans="1:53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  <c r="Y356" s="65"/>
      <c r="Z356" s="65"/>
      <c r="AA356" s="65"/>
      <c r="AB356" s="65"/>
      <c r="AC356" s="65"/>
      <c r="AD356" s="65"/>
      <c r="AE356" s="65"/>
      <c r="AF356" s="65"/>
      <c r="AG356" s="65"/>
      <c r="AH356" s="65"/>
      <c r="AI356" s="65"/>
      <c r="AJ356" s="65"/>
      <c r="AK356" s="65"/>
      <c r="AL356" s="65"/>
      <c r="AM356" s="65"/>
      <c r="AN356" s="65"/>
      <c r="AO356" s="65"/>
      <c r="AP356" s="65"/>
      <c r="AQ356" s="65"/>
      <c r="AR356" s="65"/>
      <c r="AS356" s="65"/>
      <c r="AT356" s="65"/>
      <c r="AU356" s="65"/>
      <c r="AV356" s="65"/>
      <c r="AW356" s="65"/>
      <c r="AX356" s="65"/>
      <c r="AY356" s="65"/>
      <c r="AZ356" s="65"/>
      <c r="BA356" s="65"/>
    </row>
    <row r="357" spans="1:53">
      <c r="A357" s="65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65"/>
      <c r="Y357" s="65"/>
      <c r="Z357" s="65"/>
      <c r="AA357" s="65"/>
      <c r="AB357" s="65"/>
      <c r="AC357" s="65"/>
      <c r="AD357" s="65"/>
      <c r="AE357" s="65"/>
      <c r="AF357" s="65"/>
      <c r="AG357" s="65"/>
      <c r="AH357" s="65"/>
      <c r="AI357" s="65"/>
      <c r="AJ357" s="65"/>
      <c r="AK357" s="65"/>
      <c r="AL357" s="65"/>
      <c r="AM357" s="65"/>
      <c r="AN357" s="65"/>
      <c r="AO357" s="65"/>
      <c r="AP357" s="65"/>
      <c r="AQ357" s="65"/>
      <c r="AR357" s="65"/>
      <c r="AS357" s="65"/>
      <c r="AT357" s="65"/>
      <c r="AU357" s="65"/>
      <c r="AV357" s="65"/>
      <c r="AW357" s="65"/>
      <c r="AX357" s="65"/>
      <c r="AY357" s="65"/>
      <c r="AZ357" s="65"/>
      <c r="BA357" s="65"/>
    </row>
    <row r="358" spans="1:53">
      <c r="A358" s="65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65"/>
      <c r="AA358" s="65"/>
      <c r="AB358" s="65"/>
      <c r="AC358" s="65"/>
      <c r="AD358" s="65"/>
      <c r="AE358" s="65"/>
      <c r="AF358" s="65"/>
      <c r="AG358" s="65"/>
      <c r="AH358" s="65"/>
      <c r="AI358" s="65"/>
      <c r="AJ358" s="65"/>
      <c r="AK358" s="65"/>
      <c r="AL358" s="65"/>
      <c r="AM358" s="65"/>
      <c r="AN358" s="65"/>
      <c r="AO358" s="65"/>
      <c r="AP358" s="65"/>
      <c r="AQ358" s="65"/>
      <c r="AR358" s="65"/>
      <c r="AS358" s="65"/>
      <c r="AT358" s="65"/>
      <c r="AU358" s="65"/>
      <c r="AV358" s="65"/>
      <c r="AW358" s="65"/>
      <c r="AX358" s="65"/>
      <c r="AY358" s="65"/>
      <c r="AZ358" s="65"/>
      <c r="BA358" s="65"/>
    </row>
    <row r="359" spans="1:53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/>
      <c r="Z359" s="65"/>
      <c r="AA359" s="65"/>
      <c r="AB359" s="65"/>
      <c r="AC359" s="65"/>
      <c r="AD359" s="65"/>
      <c r="AE359" s="65"/>
      <c r="AF359" s="65"/>
      <c r="AG359" s="65"/>
      <c r="AH359" s="65"/>
      <c r="AI359" s="65"/>
      <c r="AJ359" s="65"/>
      <c r="AK359" s="65"/>
      <c r="AL359" s="65"/>
      <c r="AM359" s="65"/>
      <c r="AN359" s="65"/>
      <c r="AO359" s="65"/>
      <c r="AP359" s="65"/>
      <c r="AQ359" s="65"/>
      <c r="AR359" s="65"/>
      <c r="AS359" s="65"/>
      <c r="AT359" s="65"/>
      <c r="AU359" s="65"/>
      <c r="AV359" s="65"/>
      <c r="AW359" s="65"/>
      <c r="AX359" s="65"/>
      <c r="AY359" s="65"/>
      <c r="AZ359" s="65"/>
      <c r="BA359" s="65"/>
    </row>
    <row r="360" spans="1:53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5"/>
      <c r="Z360" s="65"/>
      <c r="AA360" s="65"/>
      <c r="AB360" s="65"/>
      <c r="AC360" s="65"/>
      <c r="AD360" s="65"/>
      <c r="AE360" s="65"/>
      <c r="AF360" s="65"/>
      <c r="AG360" s="65"/>
      <c r="AH360" s="65"/>
      <c r="AI360" s="65"/>
      <c r="AJ360" s="65"/>
      <c r="AK360" s="65"/>
      <c r="AL360" s="65"/>
      <c r="AM360" s="65"/>
      <c r="AN360" s="65"/>
      <c r="AO360" s="65"/>
      <c r="AP360" s="65"/>
      <c r="AQ360" s="65"/>
      <c r="AR360" s="65"/>
      <c r="AS360" s="65"/>
      <c r="AT360" s="65"/>
      <c r="AU360" s="65"/>
      <c r="AV360" s="65"/>
      <c r="AW360" s="65"/>
      <c r="AX360" s="65"/>
      <c r="AY360" s="65"/>
      <c r="AZ360" s="65"/>
      <c r="BA360" s="65"/>
    </row>
    <row r="361" spans="1:53">
      <c r="A361" s="65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/>
      <c r="Z361" s="65"/>
      <c r="AA361" s="65"/>
      <c r="AB361" s="65"/>
      <c r="AC361" s="65"/>
      <c r="AD361" s="65"/>
      <c r="AE361" s="65"/>
      <c r="AF361" s="65"/>
      <c r="AG361" s="65"/>
      <c r="AH361" s="65"/>
      <c r="AI361" s="65"/>
      <c r="AJ361" s="65"/>
      <c r="AK361" s="65"/>
      <c r="AL361" s="65"/>
      <c r="AM361" s="65"/>
      <c r="AN361" s="65"/>
      <c r="AO361" s="65"/>
      <c r="AP361" s="65"/>
      <c r="AQ361" s="65"/>
      <c r="AR361" s="65"/>
      <c r="AS361" s="65"/>
      <c r="AT361" s="65"/>
      <c r="AU361" s="65"/>
      <c r="AV361" s="65"/>
      <c r="AW361" s="65"/>
      <c r="AX361" s="65"/>
      <c r="AY361" s="65"/>
      <c r="AZ361" s="65"/>
      <c r="BA361" s="65"/>
    </row>
    <row r="362" spans="1:53">
      <c r="A362" s="65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  <c r="Y362" s="65"/>
      <c r="Z362" s="65"/>
      <c r="AA362" s="65"/>
      <c r="AB362" s="65"/>
      <c r="AC362" s="65"/>
      <c r="AD362" s="65"/>
      <c r="AE362" s="65"/>
      <c r="AF362" s="65"/>
      <c r="AG362" s="65"/>
      <c r="AH362" s="65"/>
      <c r="AI362" s="65"/>
      <c r="AJ362" s="65"/>
      <c r="AK362" s="65"/>
      <c r="AL362" s="65"/>
      <c r="AM362" s="65"/>
      <c r="AN362" s="65"/>
      <c r="AO362" s="65"/>
      <c r="AP362" s="65"/>
      <c r="AQ362" s="65"/>
      <c r="AR362" s="65"/>
      <c r="AS362" s="65"/>
      <c r="AT362" s="65"/>
      <c r="AU362" s="65"/>
      <c r="AV362" s="65"/>
      <c r="AW362" s="65"/>
      <c r="AX362" s="65"/>
      <c r="AY362" s="65"/>
      <c r="AZ362" s="65"/>
      <c r="BA362" s="65"/>
    </row>
    <row r="363" spans="1:53">
      <c r="A363" s="65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  <c r="Y363" s="65"/>
      <c r="Z363" s="65"/>
      <c r="AA363" s="65"/>
      <c r="AB363" s="65"/>
      <c r="AC363" s="65"/>
      <c r="AD363" s="65"/>
      <c r="AE363" s="65"/>
      <c r="AF363" s="65"/>
      <c r="AG363" s="65"/>
      <c r="AH363" s="65"/>
      <c r="AI363" s="65"/>
      <c r="AJ363" s="65"/>
      <c r="AK363" s="65"/>
      <c r="AL363" s="65"/>
      <c r="AM363" s="65"/>
      <c r="AN363" s="65"/>
      <c r="AO363" s="65"/>
      <c r="AP363" s="65"/>
      <c r="AQ363" s="65"/>
      <c r="AR363" s="65"/>
      <c r="AS363" s="65"/>
      <c r="AT363" s="65"/>
      <c r="AU363" s="65"/>
      <c r="AV363" s="65"/>
      <c r="AW363" s="65"/>
      <c r="AX363" s="65"/>
      <c r="AY363" s="65"/>
      <c r="AZ363" s="65"/>
      <c r="BA363" s="65"/>
    </row>
    <row r="364" spans="1:53">
      <c r="A364" s="65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5"/>
      <c r="X364" s="65"/>
      <c r="Y364" s="65"/>
      <c r="Z364" s="65"/>
      <c r="AA364" s="65"/>
      <c r="AB364" s="65"/>
      <c r="AC364" s="65"/>
      <c r="AD364" s="65"/>
      <c r="AE364" s="65"/>
      <c r="AF364" s="65"/>
      <c r="AG364" s="65"/>
      <c r="AH364" s="65"/>
      <c r="AI364" s="65"/>
      <c r="AJ364" s="65"/>
      <c r="AK364" s="65"/>
      <c r="AL364" s="65"/>
      <c r="AM364" s="65"/>
      <c r="AN364" s="65"/>
      <c r="AO364" s="65"/>
      <c r="AP364" s="65"/>
      <c r="AQ364" s="65"/>
      <c r="AR364" s="65"/>
      <c r="AS364" s="65"/>
      <c r="AT364" s="65"/>
      <c r="AU364" s="65"/>
      <c r="AV364" s="65"/>
      <c r="AW364" s="65"/>
      <c r="AX364" s="65"/>
      <c r="AY364" s="65"/>
      <c r="AZ364" s="65"/>
      <c r="BA364" s="65"/>
    </row>
    <row r="365" spans="1:53">
      <c r="A365" s="65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65"/>
      <c r="Y365" s="65"/>
      <c r="Z365" s="65"/>
      <c r="AA365" s="65"/>
      <c r="AB365" s="65"/>
      <c r="AC365" s="65"/>
      <c r="AD365" s="65"/>
      <c r="AE365" s="65"/>
      <c r="AF365" s="65"/>
      <c r="AG365" s="65"/>
      <c r="AH365" s="65"/>
      <c r="AI365" s="65"/>
      <c r="AJ365" s="65"/>
      <c r="AK365" s="65"/>
      <c r="AL365" s="65"/>
      <c r="AM365" s="65"/>
      <c r="AN365" s="65"/>
      <c r="AO365" s="65"/>
      <c r="AP365" s="65"/>
      <c r="AQ365" s="65"/>
      <c r="AR365" s="65"/>
      <c r="AS365" s="65"/>
      <c r="AT365" s="65"/>
      <c r="AU365" s="65"/>
      <c r="AV365" s="65"/>
      <c r="AW365" s="65"/>
      <c r="AX365" s="65"/>
      <c r="AY365" s="65"/>
      <c r="AZ365" s="65"/>
      <c r="BA365" s="65"/>
    </row>
    <row r="366" spans="1:53">
      <c r="A366" s="65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65"/>
      <c r="X366" s="65"/>
      <c r="Y366" s="65"/>
      <c r="Z366" s="65"/>
      <c r="AA366" s="65"/>
      <c r="AB366" s="65"/>
      <c r="AC366" s="65"/>
      <c r="AD366" s="65"/>
      <c r="AE366" s="65"/>
      <c r="AF366" s="65"/>
      <c r="AG366" s="65"/>
      <c r="AH366" s="65"/>
      <c r="AI366" s="65"/>
      <c r="AJ366" s="65"/>
      <c r="AK366" s="65"/>
      <c r="AL366" s="65"/>
      <c r="AM366" s="65"/>
      <c r="AN366" s="65"/>
      <c r="AO366" s="65"/>
      <c r="AP366" s="65"/>
      <c r="AQ366" s="65"/>
      <c r="AR366" s="65"/>
      <c r="AS366" s="65"/>
      <c r="AT366" s="65"/>
      <c r="AU366" s="65"/>
      <c r="AV366" s="65"/>
      <c r="AW366" s="65"/>
      <c r="AX366" s="65"/>
      <c r="AY366" s="65"/>
      <c r="AZ366" s="65"/>
      <c r="BA366" s="65"/>
    </row>
    <row r="367" spans="1:53">
      <c r="A367" s="65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65"/>
      <c r="X367" s="65"/>
      <c r="Y367" s="65"/>
      <c r="Z367" s="65"/>
      <c r="AA367" s="65"/>
      <c r="AB367" s="65"/>
      <c r="AC367" s="65"/>
      <c r="AD367" s="65"/>
      <c r="AE367" s="65"/>
      <c r="AF367" s="65"/>
      <c r="AG367" s="65"/>
      <c r="AH367" s="65"/>
      <c r="AI367" s="65"/>
      <c r="AJ367" s="65"/>
      <c r="AK367" s="65"/>
      <c r="AL367" s="65"/>
      <c r="AM367" s="65"/>
      <c r="AN367" s="65"/>
      <c r="AO367" s="65"/>
      <c r="AP367" s="65"/>
      <c r="AQ367" s="65"/>
      <c r="AR367" s="65"/>
      <c r="AS367" s="65"/>
      <c r="AT367" s="65"/>
      <c r="AU367" s="65"/>
      <c r="AV367" s="65"/>
      <c r="AW367" s="65"/>
      <c r="AX367" s="65"/>
      <c r="AY367" s="65"/>
      <c r="AZ367" s="65"/>
      <c r="BA367" s="65"/>
    </row>
    <row r="368" spans="1:53">
      <c r="A368" s="65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  <c r="Y368" s="65"/>
      <c r="Z368" s="65"/>
      <c r="AA368" s="65"/>
      <c r="AB368" s="65"/>
      <c r="AC368" s="65"/>
      <c r="AD368" s="65"/>
      <c r="AE368" s="65"/>
      <c r="AF368" s="65"/>
      <c r="AG368" s="65"/>
      <c r="AH368" s="65"/>
      <c r="AI368" s="65"/>
      <c r="AJ368" s="65"/>
      <c r="AK368" s="65"/>
      <c r="AL368" s="65"/>
      <c r="AM368" s="65"/>
      <c r="AN368" s="65"/>
      <c r="AO368" s="65"/>
      <c r="AP368" s="65"/>
      <c r="AQ368" s="65"/>
      <c r="AR368" s="65"/>
      <c r="AS368" s="65"/>
      <c r="AT368" s="65"/>
      <c r="AU368" s="65"/>
      <c r="AV368" s="65"/>
      <c r="AW368" s="65"/>
      <c r="AX368" s="65"/>
      <c r="AY368" s="65"/>
      <c r="AZ368" s="65"/>
      <c r="BA368" s="65"/>
    </row>
    <row r="369" spans="1:53">
      <c r="A369" s="65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65"/>
      <c r="Y369" s="65"/>
      <c r="Z369" s="65"/>
      <c r="AA369" s="65"/>
      <c r="AB369" s="65"/>
      <c r="AC369" s="65"/>
      <c r="AD369" s="65"/>
      <c r="AE369" s="65"/>
      <c r="AF369" s="65"/>
      <c r="AG369" s="65"/>
      <c r="AH369" s="65"/>
      <c r="AI369" s="65"/>
      <c r="AJ369" s="65"/>
      <c r="AK369" s="65"/>
      <c r="AL369" s="65"/>
      <c r="AM369" s="65"/>
      <c r="AN369" s="65"/>
      <c r="AO369" s="65"/>
      <c r="AP369" s="65"/>
      <c r="AQ369" s="65"/>
      <c r="AR369" s="65"/>
      <c r="AS369" s="65"/>
      <c r="AT369" s="65"/>
      <c r="AU369" s="65"/>
      <c r="AV369" s="65"/>
      <c r="AW369" s="65"/>
      <c r="AX369" s="65"/>
      <c r="AY369" s="65"/>
      <c r="AZ369" s="65"/>
      <c r="BA369" s="65"/>
    </row>
    <row r="370" spans="1:53">
      <c r="A370" s="65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65"/>
      <c r="Y370" s="65"/>
      <c r="Z370" s="65"/>
      <c r="AA370" s="65"/>
      <c r="AB370" s="65"/>
      <c r="AC370" s="65"/>
      <c r="AD370" s="65"/>
      <c r="AE370" s="65"/>
      <c r="AF370" s="65"/>
      <c r="AG370" s="65"/>
      <c r="AH370" s="65"/>
      <c r="AI370" s="65"/>
      <c r="AJ370" s="65"/>
      <c r="AK370" s="65"/>
      <c r="AL370" s="65"/>
      <c r="AM370" s="65"/>
      <c r="AN370" s="65"/>
      <c r="AO370" s="65"/>
      <c r="AP370" s="65"/>
      <c r="AQ370" s="65"/>
      <c r="AR370" s="65"/>
      <c r="AS370" s="65"/>
      <c r="AT370" s="65"/>
      <c r="AU370" s="65"/>
      <c r="AV370" s="65"/>
      <c r="AW370" s="65"/>
      <c r="AX370" s="65"/>
      <c r="AY370" s="65"/>
      <c r="AZ370" s="65"/>
      <c r="BA370" s="65"/>
    </row>
    <row r="371" spans="1:53">
      <c r="A371" s="65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  <c r="AA371" s="65"/>
      <c r="AB371" s="65"/>
      <c r="AC371" s="65"/>
      <c r="AD371" s="65"/>
      <c r="AE371" s="65"/>
      <c r="AF371" s="65"/>
      <c r="AG371" s="65"/>
      <c r="AH371" s="65"/>
      <c r="AI371" s="65"/>
      <c r="AJ371" s="65"/>
      <c r="AK371" s="65"/>
      <c r="AL371" s="65"/>
      <c r="AM371" s="65"/>
      <c r="AN371" s="65"/>
      <c r="AO371" s="65"/>
      <c r="AP371" s="65"/>
      <c r="AQ371" s="65"/>
      <c r="AR371" s="65"/>
      <c r="AS371" s="65"/>
      <c r="AT371" s="65"/>
      <c r="AU371" s="65"/>
      <c r="AV371" s="65"/>
      <c r="AW371" s="65"/>
      <c r="AX371" s="65"/>
      <c r="AY371" s="65"/>
      <c r="AZ371" s="65"/>
      <c r="BA371" s="65"/>
    </row>
    <row r="372" spans="1:53">
      <c r="A372" s="65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  <c r="AA372" s="65"/>
      <c r="AB372" s="65"/>
      <c r="AC372" s="65"/>
      <c r="AD372" s="65"/>
      <c r="AE372" s="65"/>
      <c r="AF372" s="65"/>
      <c r="AG372" s="65"/>
      <c r="AH372" s="65"/>
      <c r="AI372" s="65"/>
      <c r="AJ372" s="65"/>
      <c r="AK372" s="65"/>
      <c r="AL372" s="65"/>
      <c r="AM372" s="65"/>
      <c r="AN372" s="65"/>
      <c r="AO372" s="65"/>
      <c r="AP372" s="65"/>
      <c r="AQ372" s="65"/>
      <c r="AR372" s="65"/>
      <c r="AS372" s="65"/>
      <c r="AT372" s="65"/>
      <c r="AU372" s="65"/>
      <c r="AV372" s="65"/>
      <c r="AW372" s="65"/>
      <c r="AX372" s="65"/>
      <c r="AY372" s="65"/>
      <c r="AZ372" s="65"/>
      <c r="BA372" s="65"/>
    </row>
    <row r="373" spans="1:53">
      <c r="A373" s="65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65"/>
      <c r="X373" s="65"/>
      <c r="Y373" s="65"/>
      <c r="Z373" s="65"/>
      <c r="AA373" s="65"/>
      <c r="AB373" s="65"/>
      <c r="AC373" s="65"/>
      <c r="AD373" s="65"/>
      <c r="AE373" s="65"/>
      <c r="AF373" s="65"/>
      <c r="AG373" s="65"/>
      <c r="AH373" s="65"/>
      <c r="AI373" s="65"/>
      <c r="AJ373" s="65"/>
      <c r="AK373" s="65"/>
      <c r="AL373" s="65"/>
      <c r="AM373" s="65"/>
      <c r="AN373" s="65"/>
      <c r="AO373" s="65"/>
      <c r="AP373" s="65"/>
      <c r="AQ373" s="65"/>
      <c r="AR373" s="65"/>
      <c r="AS373" s="65"/>
      <c r="AT373" s="65"/>
      <c r="AU373" s="65"/>
      <c r="AV373" s="65"/>
      <c r="AW373" s="65"/>
      <c r="AX373" s="65"/>
      <c r="AY373" s="65"/>
      <c r="AZ373" s="65"/>
      <c r="BA373" s="65"/>
    </row>
    <row r="374" spans="1:53">
      <c r="A374" s="65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5"/>
      <c r="X374" s="65"/>
      <c r="Y374" s="65"/>
      <c r="Z374" s="65"/>
      <c r="AA374" s="65"/>
      <c r="AB374" s="65"/>
      <c r="AC374" s="65"/>
      <c r="AD374" s="65"/>
      <c r="AE374" s="65"/>
      <c r="AF374" s="65"/>
      <c r="AG374" s="65"/>
      <c r="AH374" s="65"/>
      <c r="AI374" s="65"/>
      <c r="AJ374" s="65"/>
      <c r="AK374" s="65"/>
      <c r="AL374" s="65"/>
      <c r="AM374" s="65"/>
      <c r="AN374" s="65"/>
      <c r="AO374" s="65"/>
      <c r="AP374" s="65"/>
      <c r="AQ374" s="65"/>
      <c r="AR374" s="65"/>
      <c r="AS374" s="65"/>
      <c r="AT374" s="65"/>
      <c r="AU374" s="65"/>
      <c r="AV374" s="65"/>
      <c r="AW374" s="65"/>
      <c r="AX374" s="65"/>
      <c r="AY374" s="65"/>
      <c r="AZ374" s="65"/>
      <c r="BA374" s="65"/>
    </row>
    <row r="375" spans="1:53">
      <c r="A375" s="65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  <c r="Y375" s="65"/>
      <c r="Z375" s="65"/>
      <c r="AA375" s="65"/>
      <c r="AB375" s="65"/>
      <c r="AC375" s="65"/>
      <c r="AD375" s="65"/>
      <c r="AE375" s="65"/>
      <c r="AF375" s="65"/>
      <c r="AG375" s="65"/>
      <c r="AH375" s="65"/>
      <c r="AI375" s="65"/>
      <c r="AJ375" s="65"/>
      <c r="AK375" s="65"/>
      <c r="AL375" s="65"/>
      <c r="AM375" s="65"/>
      <c r="AN375" s="65"/>
      <c r="AO375" s="65"/>
      <c r="AP375" s="65"/>
      <c r="AQ375" s="65"/>
      <c r="AR375" s="65"/>
      <c r="AS375" s="65"/>
      <c r="AT375" s="65"/>
      <c r="AU375" s="65"/>
      <c r="AV375" s="65"/>
      <c r="AW375" s="65"/>
      <c r="AX375" s="65"/>
      <c r="AY375" s="65"/>
      <c r="AZ375" s="65"/>
      <c r="BA375" s="65"/>
    </row>
    <row r="376" spans="1:53">
      <c r="A376" s="65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/>
      <c r="Z376" s="65"/>
      <c r="AA376" s="65"/>
      <c r="AB376" s="65"/>
      <c r="AC376" s="65"/>
      <c r="AD376" s="65"/>
      <c r="AE376" s="65"/>
      <c r="AF376" s="65"/>
      <c r="AG376" s="65"/>
      <c r="AH376" s="65"/>
      <c r="AI376" s="65"/>
      <c r="AJ376" s="65"/>
      <c r="AK376" s="65"/>
      <c r="AL376" s="65"/>
      <c r="AM376" s="65"/>
      <c r="AN376" s="65"/>
      <c r="AO376" s="65"/>
      <c r="AP376" s="65"/>
      <c r="AQ376" s="65"/>
      <c r="AR376" s="65"/>
      <c r="AS376" s="65"/>
      <c r="AT376" s="65"/>
      <c r="AU376" s="65"/>
      <c r="AV376" s="65"/>
      <c r="AW376" s="65"/>
      <c r="AX376" s="65"/>
      <c r="AY376" s="65"/>
      <c r="AZ376" s="65"/>
      <c r="BA376" s="65"/>
    </row>
    <row r="377" spans="1:53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/>
      <c r="Z377" s="65"/>
      <c r="AA377" s="65"/>
      <c r="AB377" s="65"/>
      <c r="AC377" s="65"/>
      <c r="AD377" s="65"/>
      <c r="AE377" s="65"/>
      <c r="AF377" s="65"/>
      <c r="AG377" s="65"/>
      <c r="AH377" s="65"/>
      <c r="AI377" s="65"/>
      <c r="AJ377" s="65"/>
      <c r="AK377" s="65"/>
      <c r="AL377" s="65"/>
      <c r="AM377" s="65"/>
      <c r="AN377" s="65"/>
      <c r="AO377" s="65"/>
      <c r="AP377" s="65"/>
      <c r="AQ377" s="65"/>
      <c r="AR377" s="65"/>
      <c r="AS377" s="65"/>
      <c r="AT377" s="65"/>
      <c r="AU377" s="65"/>
      <c r="AV377" s="65"/>
      <c r="AW377" s="65"/>
      <c r="AX377" s="65"/>
      <c r="AY377" s="65"/>
      <c r="AZ377" s="65"/>
      <c r="BA377" s="65"/>
    </row>
    <row r="378" spans="1:53">
      <c r="A378" s="65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  <c r="AA378" s="65"/>
      <c r="AB378" s="65"/>
      <c r="AC378" s="65"/>
      <c r="AD378" s="65"/>
      <c r="AE378" s="65"/>
      <c r="AF378" s="65"/>
      <c r="AG378" s="65"/>
      <c r="AH378" s="65"/>
      <c r="AI378" s="65"/>
      <c r="AJ378" s="65"/>
      <c r="AK378" s="65"/>
      <c r="AL378" s="65"/>
      <c r="AM378" s="65"/>
      <c r="AN378" s="65"/>
      <c r="AO378" s="65"/>
      <c r="AP378" s="65"/>
      <c r="AQ378" s="65"/>
      <c r="AR378" s="65"/>
      <c r="AS378" s="65"/>
      <c r="AT378" s="65"/>
      <c r="AU378" s="65"/>
      <c r="AV378" s="65"/>
      <c r="AW378" s="65"/>
      <c r="AX378" s="65"/>
      <c r="AY378" s="65"/>
      <c r="AZ378" s="65"/>
      <c r="BA378" s="65"/>
    </row>
    <row r="379" spans="1:53">
      <c r="A379" s="65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  <c r="AA379" s="65"/>
      <c r="AB379" s="65"/>
      <c r="AC379" s="65"/>
      <c r="AD379" s="65"/>
      <c r="AE379" s="65"/>
      <c r="AF379" s="65"/>
      <c r="AG379" s="65"/>
      <c r="AH379" s="65"/>
      <c r="AI379" s="65"/>
      <c r="AJ379" s="65"/>
      <c r="AK379" s="65"/>
      <c r="AL379" s="65"/>
      <c r="AM379" s="65"/>
      <c r="AN379" s="65"/>
      <c r="AO379" s="65"/>
      <c r="AP379" s="65"/>
      <c r="AQ379" s="65"/>
      <c r="AR379" s="65"/>
      <c r="AS379" s="65"/>
      <c r="AT379" s="65"/>
      <c r="AU379" s="65"/>
      <c r="AV379" s="65"/>
      <c r="AW379" s="65"/>
      <c r="AX379" s="65"/>
      <c r="AY379" s="65"/>
      <c r="AZ379" s="65"/>
      <c r="BA379" s="65"/>
    </row>
    <row r="380" spans="1:53">
      <c r="A380" s="65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  <c r="Y380" s="65"/>
      <c r="Z380" s="65"/>
      <c r="AA380" s="65"/>
      <c r="AB380" s="65"/>
      <c r="AC380" s="65"/>
      <c r="AD380" s="65"/>
      <c r="AE380" s="65"/>
      <c r="AF380" s="65"/>
      <c r="AG380" s="65"/>
      <c r="AH380" s="65"/>
      <c r="AI380" s="65"/>
      <c r="AJ380" s="65"/>
      <c r="AK380" s="65"/>
      <c r="AL380" s="65"/>
      <c r="AM380" s="65"/>
      <c r="AN380" s="65"/>
      <c r="AO380" s="65"/>
      <c r="AP380" s="65"/>
      <c r="AQ380" s="65"/>
      <c r="AR380" s="65"/>
      <c r="AS380" s="65"/>
      <c r="AT380" s="65"/>
      <c r="AU380" s="65"/>
      <c r="AV380" s="65"/>
      <c r="AW380" s="65"/>
      <c r="AX380" s="65"/>
      <c r="AY380" s="65"/>
      <c r="AZ380" s="65"/>
      <c r="BA380" s="65"/>
    </row>
    <row r="381" spans="1:53">
      <c r="A381" s="65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65"/>
      <c r="Y381" s="65"/>
      <c r="Z381" s="65"/>
      <c r="AA381" s="65"/>
      <c r="AB381" s="65"/>
      <c r="AC381" s="65"/>
      <c r="AD381" s="65"/>
      <c r="AE381" s="65"/>
      <c r="AF381" s="65"/>
      <c r="AG381" s="65"/>
      <c r="AH381" s="65"/>
      <c r="AI381" s="65"/>
      <c r="AJ381" s="65"/>
      <c r="AK381" s="65"/>
      <c r="AL381" s="65"/>
      <c r="AM381" s="65"/>
      <c r="AN381" s="65"/>
      <c r="AO381" s="65"/>
      <c r="AP381" s="65"/>
      <c r="AQ381" s="65"/>
      <c r="AR381" s="65"/>
      <c r="AS381" s="65"/>
      <c r="AT381" s="65"/>
      <c r="AU381" s="65"/>
      <c r="AV381" s="65"/>
      <c r="AW381" s="65"/>
      <c r="AX381" s="65"/>
      <c r="AY381" s="65"/>
      <c r="AZ381" s="65"/>
      <c r="BA381" s="65"/>
    </row>
    <row r="382" spans="1:53">
      <c r="A382" s="65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65"/>
      <c r="Y382" s="65"/>
      <c r="Z382" s="65"/>
      <c r="AA382" s="65"/>
      <c r="AB382" s="65"/>
      <c r="AC382" s="65"/>
      <c r="AD382" s="65"/>
      <c r="AE382" s="65"/>
      <c r="AF382" s="65"/>
      <c r="AG382" s="65"/>
      <c r="AH382" s="65"/>
      <c r="AI382" s="65"/>
      <c r="AJ382" s="65"/>
      <c r="AK382" s="65"/>
      <c r="AL382" s="65"/>
      <c r="AM382" s="65"/>
      <c r="AN382" s="65"/>
      <c r="AO382" s="65"/>
      <c r="AP382" s="65"/>
      <c r="AQ382" s="65"/>
      <c r="AR382" s="65"/>
      <c r="AS382" s="65"/>
      <c r="AT382" s="65"/>
      <c r="AU382" s="65"/>
      <c r="AV382" s="65"/>
      <c r="AW382" s="65"/>
      <c r="AX382" s="65"/>
      <c r="AY382" s="65"/>
      <c r="AZ382" s="65"/>
      <c r="BA382" s="65"/>
    </row>
    <row r="383" spans="1:53">
      <c r="A383" s="65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  <c r="Y383" s="65"/>
      <c r="Z383" s="65"/>
      <c r="AA383" s="65"/>
      <c r="AB383" s="65"/>
      <c r="AC383" s="65"/>
      <c r="AD383" s="65"/>
      <c r="AE383" s="65"/>
      <c r="AF383" s="65"/>
      <c r="AG383" s="65"/>
      <c r="AH383" s="65"/>
      <c r="AI383" s="65"/>
      <c r="AJ383" s="65"/>
      <c r="AK383" s="65"/>
      <c r="AL383" s="65"/>
      <c r="AM383" s="65"/>
      <c r="AN383" s="65"/>
      <c r="AO383" s="65"/>
      <c r="AP383" s="65"/>
      <c r="AQ383" s="65"/>
      <c r="AR383" s="65"/>
      <c r="AS383" s="65"/>
      <c r="AT383" s="65"/>
      <c r="AU383" s="65"/>
      <c r="AV383" s="65"/>
      <c r="AW383" s="65"/>
      <c r="AX383" s="65"/>
      <c r="AY383" s="65"/>
      <c r="AZ383" s="65"/>
      <c r="BA383" s="65"/>
    </row>
    <row r="384" spans="1:53">
      <c r="A384" s="65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65"/>
      <c r="Y384" s="65"/>
      <c r="Z384" s="65"/>
      <c r="AA384" s="65"/>
      <c r="AB384" s="65"/>
      <c r="AC384" s="65"/>
      <c r="AD384" s="65"/>
      <c r="AE384" s="65"/>
      <c r="AF384" s="65"/>
      <c r="AG384" s="65"/>
      <c r="AH384" s="65"/>
      <c r="AI384" s="65"/>
      <c r="AJ384" s="65"/>
      <c r="AK384" s="65"/>
      <c r="AL384" s="65"/>
      <c r="AM384" s="65"/>
      <c r="AN384" s="65"/>
      <c r="AO384" s="65"/>
      <c r="AP384" s="65"/>
      <c r="AQ384" s="65"/>
      <c r="AR384" s="65"/>
      <c r="AS384" s="65"/>
      <c r="AT384" s="65"/>
      <c r="AU384" s="65"/>
      <c r="AV384" s="65"/>
      <c r="AW384" s="65"/>
      <c r="AX384" s="65"/>
      <c r="AY384" s="65"/>
      <c r="AZ384" s="65"/>
      <c r="BA384" s="65"/>
    </row>
    <row r="385" spans="1:53">
      <c r="A385" s="65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  <c r="AA385" s="65"/>
      <c r="AB385" s="65"/>
      <c r="AC385" s="65"/>
      <c r="AD385" s="65"/>
      <c r="AE385" s="65"/>
      <c r="AF385" s="65"/>
      <c r="AG385" s="65"/>
      <c r="AH385" s="65"/>
      <c r="AI385" s="65"/>
      <c r="AJ385" s="65"/>
      <c r="AK385" s="65"/>
      <c r="AL385" s="65"/>
      <c r="AM385" s="65"/>
      <c r="AN385" s="65"/>
      <c r="AO385" s="65"/>
      <c r="AP385" s="65"/>
      <c r="AQ385" s="65"/>
      <c r="AR385" s="65"/>
      <c r="AS385" s="65"/>
      <c r="AT385" s="65"/>
      <c r="AU385" s="65"/>
      <c r="AV385" s="65"/>
      <c r="AW385" s="65"/>
      <c r="AX385" s="65"/>
      <c r="AY385" s="65"/>
      <c r="AZ385" s="65"/>
      <c r="BA385" s="65"/>
    </row>
    <row r="386" spans="1:53">
      <c r="A386" s="65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  <c r="AA386" s="65"/>
      <c r="AB386" s="65"/>
      <c r="AC386" s="65"/>
      <c r="AD386" s="65"/>
      <c r="AE386" s="65"/>
      <c r="AF386" s="65"/>
      <c r="AG386" s="65"/>
      <c r="AH386" s="65"/>
      <c r="AI386" s="65"/>
      <c r="AJ386" s="65"/>
      <c r="AK386" s="65"/>
      <c r="AL386" s="65"/>
      <c r="AM386" s="65"/>
      <c r="AN386" s="65"/>
      <c r="AO386" s="65"/>
      <c r="AP386" s="65"/>
      <c r="AQ386" s="65"/>
      <c r="AR386" s="65"/>
      <c r="AS386" s="65"/>
      <c r="AT386" s="65"/>
      <c r="AU386" s="65"/>
      <c r="AV386" s="65"/>
      <c r="AW386" s="65"/>
      <c r="AX386" s="65"/>
      <c r="AY386" s="65"/>
      <c r="AZ386" s="65"/>
      <c r="BA386" s="65"/>
    </row>
    <row r="387" spans="1:53">
      <c r="A387" s="65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/>
      <c r="Z387" s="65"/>
      <c r="AA387" s="65"/>
      <c r="AB387" s="65"/>
      <c r="AC387" s="65"/>
      <c r="AD387" s="65"/>
      <c r="AE387" s="65"/>
      <c r="AF387" s="65"/>
      <c r="AG387" s="65"/>
      <c r="AH387" s="65"/>
      <c r="AI387" s="65"/>
      <c r="AJ387" s="65"/>
      <c r="AK387" s="65"/>
      <c r="AL387" s="65"/>
      <c r="AM387" s="65"/>
      <c r="AN387" s="65"/>
      <c r="AO387" s="65"/>
      <c r="AP387" s="65"/>
      <c r="AQ387" s="65"/>
      <c r="AR387" s="65"/>
      <c r="AS387" s="65"/>
      <c r="AT387" s="65"/>
      <c r="AU387" s="65"/>
      <c r="AV387" s="65"/>
      <c r="AW387" s="65"/>
      <c r="AX387" s="65"/>
      <c r="AY387" s="65"/>
      <c r="AZ387" s="65"/>
      <c r="BA387" s="65"/>
    </row>
    <row r="388" spans="1:53">
      <c r="A388" s="65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  <c r="Y388" s="65"/>
      <c r="Z388" s="65"/>
      <c r="AA388" s="65"/>
      <c r="AB388" s="65"/>
      <c r="AC388" s="65"/>
      <c r="AD388" s="65"/>
      <c r="AE388" s="65"/>
      <c r="AF388" s="65"/>
      <c r="AG388" s="65"/>
      <c r="AH388" s="65"/>
      <c r="AI388" s="65"/>
      <c r="AJ388" s="65"/>
      <c r="AK388" s="65"/>
      <c r="AL388" s="65"/>
      <c r="AM388" s="65"/>
      <c r="AN388" s="65"/>
      <c r="AO388" s="65"/>
      <c r="AP388" s="65"/>
      <c r="AQ388" s="65"/>
      <c r="AR388" s="65"/>
      <c r="AS388" s="65"/>
      <c r="AT388" s="65"/>
      <c r="AU388" s="65"/>
      <c r="AV388" s="65"/>
      <c r="AW388" s="65"/>
      <c r="AX388" s="65"/>
      <c r="AY388" s="65"/>
      <c r="AZ388" s="65"/>
      <c r="BA388" s="65"/>
    </row>
    <row r="389" spans="1:53">
      <c r="A389" s="65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  <c r="Y389" s="65"/>
      <c r="Z389" s="65"/>
      <c r="AA389" s="65"/>
      <c r="AB389" s="65"/>
      <c r="AC389" s="65"/>
      <c r="AD389" s="65"/>
      <c r="AE389" s="65"/>
      <c r="AF389" s="65"/>
      <c r="AG389" s="65"/>
      <c r="AH389" s="65"/>
      <c r="AI389" s="65"/>
      <c r="AJ389" s="65"/>
      <c r="AK389" s="65"/>
      <c r="AL389" s="65"/>
      <c r="AM389" s="65"/>
      <c r="AN389" s="65"/>
      <c r="AO389" s="65"/>
      <c r="AP389" s="65"/>
      <c r="AQ389" s="65"/>
      <c r="AR389" s="65"/>
      <c r="AS389" s="65"/>
      <c r="AT389" s="65"/>
      <c r="AU389" s="65"/>
      <c r="AV389" s="65"/>
      <c r="AW389" s="65"/>
      <c r="AX389" s="65"/>
      <c r="AY389" s="65"/>
      <c r="AZ389" s="65"/>
      <c r="BA389" s="65"/>
    </row>
    <row r="390" spans="1:53">
      <c r="A390" s="65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T390" s="65"/>
      <c r="U390" s="65"/>
      <c r="V390" s="65"/>
      <c r="W390" s="65"/>
      <c r="X390" s="65"/>
      <c r="Y390" s="65"/>
      <c r="Z390" s="65"/>
      <c r="AA390" s="65"/>
      <c r="AB390" s="65"/>
      <c r="AC390" s="65"/>
      <c r="AD390" s="65"/>
      <c r="AE390" s="65"/>
      <c r="AF390" s="65"/>
      <c r="AG390" s="65"/>
      <c r="AH390" s="65"/>
      <c r="AI390" s="65"/>
      <c r="AJ390" s="65"/>
      <c r="AK390" s="65"/>
      <c r="AL390" s="65"/>
      <c r="AM390" s="65"/>
      <c r="AN390" s="65"/>
      <c r="AO390" s="65"/>
      <c r="AP390" s="65"/>
      <c r="AQ390" s="65"/>
      <c r="AR390" s="65"/>
      <c r="AS390" s="65"/>
      <c r="AT390" s="65"/>
      <c r="AU390" s="65"/>
      <c r="AV390" s="65"/>
      <c r="AW390" s="65"/>
      <c r="AX390" s="65"/>
      <c r="AY390" s="65"/>
      <c r="AZ390" s="65"/>
      <c r="BA390" s="65"/>
    </row>
    <row r="391" spans="1:53">
      <c r="A391" s="65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/>
      <c r="Z391" s="65"/>
      <c r="AA391" s="65"/>
      <c r="AB391" s="65"/>
      <c r="AC391" s="65"/>
      <c r="AD391" s="65"/>
      <c r="AE391" s="65"/>
      <c r="AF391" s="65"/>
      <c r="AG391" s="65"/>
      <c r="AH391" s="65"/>
      <c r="AI391" s="65"/>
      <c r="AJ391" s="65"/>
      <c r="AK391" s="65"/>
      <c r="AL391" s="65"/>
      <c r="AM391" s="65"/>
      <c r="AN391" s="65"/>
      <c r="AO391" s="65"/>
      <c r="AP391" s="65"/>
      <c r="AQ391" s="65"/>
      <c r="AR391" s="65"/>
      <c r="AS391" s="65"/>
      <c r="AT391" s="65"/>
      <c r="AU391" s="65"/>
      <c r="AV391" s="65"/>
      <c r="AW391" s="65"/>
      <c r="AX391" s="65"/>
      <c r="AY391" s="65"/>
      <c r="AZ391" s="65"/>
      <c r="BA391" s="65"/>
    </row>
    <row r="392" spans="1:53">
      <c r="A392" s="65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  <c r="Y392" s="65"/>
      <c r="Z392" s="65"/>
      <c r="AA392" s="65"/>
      <c r="AB392" s="65"/>
      <c r="AC392" s="65"/>
      <c r="AD392" s="65"/>
      <c r="AE392" s="65"/>
      <c r="AF392" s="65"/>
      <c r="AG392" s="65"/>
      <c r="AH392" s="65"/>
      <c r="AI392" s="65"/>
      <c r="AJ392" s="65"/>
      <c r="AK392" s="65"/>
      <c r="AL392" s="65"/>
      <c r="AM392" s="65"/>
      <c r="AN392" s="65"/>
      <c r="AO392" s="65"/>
      <c r="AP392" s="65"/>
      <c r="AQ392" s="65"/>
      <c r="AR392" s="65"/>
      <c r="AS392" s="65"/>
      <c r="AT392" s="65"/>
      <c r="AU392" s="65"/>
      <c r="AV392" s="65"/>
      <c r="AW392" s="65"/>
      <c r="AX392" s="65"/>
      <c r="AY392" s="65"/>
      <c r="AZ392" s="65"/>
      <c r="BA392" s="65"/>
    </row>
    <row r="393" spans="1:53">
      <c r="A393" s="65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65"/>
      <c r="Y393" s="65"/>
      <c r="Z393" s="65"/>
      <c r="AA393" s="65"/>
      <c r="AB393" s="65"/>
      <c r="AC393" s="65"/>
      <c r="AD393" s="65"/>
      <c r="AE393" s="65"/>
      <c r="AF393" s="65"/>
      <c r="AG393" s="65"/>
      <c r="AH393" s="65"/>
      <c r="AI393" s="65"/>
      <c r="AJ393" s="65"/>
      <c r="AK393" s="65"/>
      <c r="AL393" s="65"/>
      <c r="AM393" s="65"/>
      <c r="AN393" s="65"/>
      <c r="AO393" s="65"/>
      <c r="AP393" s="65"/>
      <c r="AQ393" s="65"/>
      <c r="AR393" s="65"/>
      <c r="AS393" s="65"/>
      <c r="AT393" s="65"/>
      <c r="AU393" s="65"/>
      <c r="AV393" s="65"/>
      <c r="AW393" s="65"/>
      <c r="AX393" s="65"/>
      <c r="AY393" s="65"/>
      <c r="AZ393" s="65"/>
      <c r="BA393" s="65"/>
    </row>
    <row r="394" spans="1:53">
      <c r="A394" s="65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/>
      <c r="Z394" s="65"/>
      <c r="AA394" s="65"/>
      <c r="AB394" s="65"/>
      <c r="AC394" s="65"/>
      <c r="AD394" s="65"/>
      <c r="AE394" s="65"/>
      <c r="AF394" s="65"/>
      <c r="AG394" s="65"/>
      <c r="AH394" s="65"/>
      <c r="AI394" s="65"/>
      <c r="AJ394" s="65"/>
      <c r="AK394" s="65"/>
      <c r="AL394" s="65"/>
      <c r="AM394" s="65"/>
      <c r="AN394" s="65"/>
      <c r="AO394" s="65"/>
      <c r="AP394" s="65"/>
      <c r="AQ394" s="65"/>
      <c r="AR394" s="65"/>
      <c r="AS394" s="65"/>
      <c r="AT394" s="65"/>
      <c r="AU394" s="65"/>
      <c r="AV394" s="65"/>
      <c r="AW394" s="65"/>
      <c r="AX394" s="65"/>
      <c r="AY394" s="65"/>
      <c r="AZ394" s="65"/>
      <c r="BA394" s="65"/>
    </row>
    <row r="395" spans="1:53">
      <c r="A395" s="65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  <c r="Y395" s="65"/>
      <c r="Z395" s="65"/>
      <c r="AA395" s="65"/>
      <c r="AB395" s="65"/>
      <c r="AC395" s="65"/>
      <c r="AD395" s="65"/>
      <c r="AE395" s="65"/>
      <c r="AF395" s="65"/>
      <c r="AG395" s="65"/>
      <c r="AH395" s="65"/>
      <c r="AI395" s="65"/>
      <c r="AJ395" s="65"/>
      <c r="AK395" s="65"/>
      <c r="AL395" s="65"/>
      <c r="AM395" s="65"/>
      <c r="AN395" s="65"/>
      <c r="AO395" s="65"/>
      <c r="AP395" s="65"/>
      <c r="AQ395" s="65"/>
      <c r="AR395" s="65"/>
      <c r="AS395" s="65"/>
      <c r="AT395" s="65"/>
      <c r="AU395" s="65"/>
      <c r="AV395" s="65"/>
      <c r="AW395" s="65"/>
      <c r="AX395" s="65"/>
      <c r="AY395" s="65"/>
      <c r="AZ395" s="65"/>
      <c r="BA395" s="65"/>
    </row>
    <row r="396" spans="1:53">
      <c r="A396" s="65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/>
      <c r="Z396" s="65"/>
      <c r="AA396" s="65"/>
      <c r="AB396" s="65"/>
      <c r="AC396" s="65"/>
      <c r="AD396" s="65"/>
      <c r="AE396" s="65"/>
      <c r="AF396" s="65"/>
      <c r="AG396" s="65"/>
      <c r="AH396" s="65"/>
      <c r="AI396" s="65"/>
      <c r="AJ396" s="65"/>
      <c r="AK396" s="65"/>
      <c r="AL396" s="65"/>
      <c r="AM396" s="65"/>
      <c r="AN396" s="65"/>
      <c r="AO396" s="65"/>
      <c r="AP396" s="65"/>
      <c r="AQ396" s="65"/>
      <c r="AR396" s="65"/>
      <c r="AS396" s="65"/>
      <c r="AT396" s="65"/>
      <c r="AU396" s="65"/>
      <c r="AV396" s="65"/>
      <c r="AW396" s="65"/>
      <c r="AX396" s="65"/>
      <c r="AY396" s="65"/>
      <c r="AZ396" s="65"/>
      <c r="BA396" s="65"/>
    </row>
    <row r="397" spans="1:53">
      <c r="A397" s="65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/>
      <c r="Z397" s="65"/>
      <c r="AA397" s="65"/>
      <c r="AB397" s="65"/>
      <c r="AC397" s="65"/>
      <c r="AD397" s="65"/>
      <c r="AE397" s="65"/>
      <c r="AF397" s="65"/>
      <c r="AG397" s="65"/>
      <c r="AH397" s="65"/>
      <c r="AI397" s="65"/>
      <c r="AJ397" s="65"/>
      <c r="AK397" s="65"/>
      <c r="AL397" s="65"/>
      <c r="AM397" s="65"/>
      <c r="AN397" s="65"/>
      <c r="AO397" s="65"/>
      <c r="AP397" s="65"/>
      <c r="AQ397" s="65"/>
      <c r="AR397" s="65"/>
      <c r="AS397" s="65"/>
      <c r="AT397" s="65"/>
      <c r="AU397" s="65"/>
      <c r="AV397" s="65"/>
      <c r="AW397" s="65"/>
      <c r="AX397" s="65"/>
      <c r="AY397" s="65"/>
      <c r="AZ397" s="65"/>
      <c r="BA397" s="65"/>
    </row>
    <row r="398" spans="1:53">
      <c r="A398" s="65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  <c r="AA398" s="65"/>
      <c r="AB398" s="65"/>
      <c r="AC398" s="65"/>
      <c r="AD398" s="65"/>
      <c r="AE398" s="65"/>
      <c r="AF398" s="65"/>
      <c r="AG398" s="65"/>
      <c r="AH398" s="65"/>
      <c r="AI398" s="65"/>
      <c r="AJ398" s="65"/>
      <c r="AK398" s="65"/>
      <c r="AL398" s="65"/>
      <c r="AM398" s="65"/>
      <c r="AN398" s="65"/>
      <c r="AO398" s="65"/>
      <c r="AP398" s="65"/>
      <c r="AQ398" s="65"/>
      <c r="AR398" s="65"/>
      <c r="AS398" s="65"/>
      <c r="AT398" s="65"/>
      <c r="AU398" s="65"/>
      <c r="AV398" s="65"/>
      <c r="AW398" s="65"/>
      <c r="AX398" s="65"/>
      <c r="AY398" s="65"/>
      <c r="AZ398" s="65"/>
      <c r="BA398" s="65"/>
    </row>
    <row r="399" spans="1:53">
      <c r="A399" s="65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  <c r="AA399" s="65"/>
      <c r="AB399" s="65"/>
      <c r="AC399" s="65"/>
      <c r="AD399" s="65"/>
      <c r="AE399" s="65"/>
      <c r="AF399" s="65"/>
      <c r="AG399" s="65"/>
      <c r="AH399" s="65"/>
      <c r="AI399" s="65"/>
      <c r="AJ399" s="65"/>
      <c r="AK399" s="65"/>
      <c r="AL399" s="65"/>
      <c r="AM399" s="65"/>
      <c r="AN399" s="65"/>
      <c r="AO399" s="65"/>
      <c r="AP399" s="65"/>
      <c r="AQ399" s="65"/>
      <c r="AR399" s="65"/>
      <c r="AS399" s="65"/>
      <c r="AT399" s="65"/>
      <c r="AU399" s="65"/>
      <c r="AV399" s="65"/>
      <c r="AW399" s="65"/>
      <c r="AX399" s="65"/>
      <c r="AY399" s="65"/>
      <c r="AZ399" s="65"/>
      <c r="BA399" s="65"/>
    </row>
    <row r="400" spans="1:53">
      <c r="A400" s="65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  <c r="AA400" s="65"/>
      <c r="AB400" s="65"/>
      <c r="AC400" s="65"/>
      <c r="AD400" s="65"/>
      <c r="AE400" s="65"/>
      <c r="AF400" s="65"/>
      <c r="AG400" s="65"/>
      <c r="AH400" s="65"/>
      <c r="AI400" s="65"/>
      <c r="AJ400" s="65"/>
      <c r="AK400" s="65"/>
      <c r="AL400" s="65"/>
      <c r="AM400" s="65"/>
      <c r="AN400" s="65"/>
      <c r="AO400" s="65"/>
      <c r="AP400" s="65"/>
      <c r="AQ400" s="65"/>
      <c r="AR400" s="65"/>
      <c r="AS400" s="65"/>
      <c r="AT400" s="65"/>
      <c r="AU400" s="65"/>
      <c r="AV400" s="65"/>
      <c r="AW400" s="65"/>
      <c r="AX400" s="65"/>
      <c r="AY400" s="65"/>
      <c r="AZ400" s="65"/>
      <c r="BA400" s="65"/>
    </row>
    <row r="401" spans="1:53">
      <c r="A401" s="65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T401" s="65"/>
      <c r="U401" s="65"/>
      <c r="V401" s="65"/>
      <c r="W401" s="65"/>
      <c r="X401" s="65"/>
      <c r="Y401" s="65"/>
      <c r="Z401" s="65"/>
      <c r="AA401" s="65"/>
      <c r="AB401" s="65"/>
      <c r="AC401" s="65"/>
      <c r="AD401" s="65"/>
      <c r="AE401" s="65"/>
      <c r="AF401" s="65"/>
      <c r="AG401" s="65"/>
      <c r="AH401" s="65"/>
      <c r="AI401" s="65"/>
      <c r="AJ401" s="65"/>
      <c r="AK401" s="65"/>
      <c r="AL401" s="65"/>
      <c r="AM401" s="65"/>
      <c r="AN401" s="65"/>
      <c r="AO401" s="65"/>
      <c r="AP401" s="65"/>
      <c r="AQ401" s="65"/>
      <c r="AR401" s="65"/>
      <c r="AS401" s="65"/>
      <c r="AT401" s="65"/>
      <c r="AU401" s="65"/>
      <c r="AV401" s="65"/>
      <c r="AW401" s="65"/>
      <c r="AX401" s="65"/>
      <c r="AY401" s="65"/>
      <c r="AZ401" s="65"/>
      <c r="BA401" s="65"/>
    </row>
    <row r="402" spans="1:53">
      <c r="A402" s="65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  <c r="AA402" s="65"/>
      <c r="AB402" s="65"/>
      <c r="AC402" s="65"/>
      <c r="AD402" s="65"/>
      <c r="AE402" s="65"/>
      <c r="AF402" s="65"/>
      <c r="AG402" s="65"/>
      <c r="AH402" s="65"/>
      <c r="AI402" s="65"/>
      <c r="AJ402" s="65"/>
      <c r="AK402" s="65"/>
      <c r="AL402" s="65"/>
      <c r="AM402" s="65"/>
      <c r="AN402" s="65"/>
      <c r="AO402" s="65"/>
      <c r="AP402" s="65"/>
      <c r="AQ402" s="65"/>
      <c r="AR402" s="65"/>
      <c r="AS402" s="65"/>
      <c r="AT402" s="65"/>
      <c r="AU402" s="65"/>
      <c r="AV402" s="65"/>
      <c r="AW402" s="65"/>
      <c r="AX402" s="65"/>
      <c r="AY402" s="65"/>
      <c r="AZ402" s="65"/>
      <c r="BA402" s="65"/>
    </row>
    <row r="403" spans="1:53">
      <c r="A403" s="65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  <c r="AA403" s="65"/>
      <c r="AB403" s="65"/>
      <c r="AC403" s="65"/>
      <c r="AD403" s="65"/>
      <c r="AE403" s="65"/>
      <c r="AF403" s="65"/>
      <c r="AG403" s="65"/>
      <c r="AH403" s="65"/>
      <c r="AI403" s="65"/>
      <c r="AJ403" s="65"/>
      <c r="AK403" s="65"/>
      <c r="AL403" s="65"/>
      <c r="AM403" s="65"/>
      <c r="AN403" s="65"/>
      <c r="AO403" s="65"/>
      <c r="AP403" s="65"/>
      <c r="AQ403" s="65"/>
      <c r="AR403" s="65"/>
      <c r="AS403" s="65"/>
      <c r="AT403" s="65"/>
      <c r="AU403" s="65"/>
      <c r="AV403" s="65"/>
      <c r="AW403" s="65"/>
      <c r="AX403" s="65"/>
      <c r="AY403" s="65"/>
      <c r="AZ403" s="65"/>
      <c r="BA403" s="65"/>
    </row>
    <row r="404" spans="1:53">
      <c r="A404" s="65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  <c r="AA404" s="65"/>
      <c r="AB404" s="65"/>
      <c r="AC404" s="65"/>
      <c r="AD404" s="65"/>
      <c r="AE404" s="65"/>
      <c r="AF404" s="65"/>
      <c r="AG404" s="65"/>
      <c r="AH404" s="65"/>
      <c r="AI404" s="65"/>
      <c r="AJ404" s="65"/>
      <c r="AK404" s="65"/>
      <c r="AL404" s="65"/>
      <c r="AM404" s="65"/>
      <c r="AN404" s="65"/>
      <c r="AO404" s="65"/>
      <c r="AP404" s="65"/>
      <c r="AQ404" s="65"/>
      <c r="AR404" s="65"/>
      <c r="AS404" s="65"/>
      <c r="AT404" s="65"/>
      <c r="AU404" s="65"/>
      <c r="AV404" s="65"/>
      <c r="AW404" s="65"/>
      <c r="AX404" s="65"/>
      <c r="AY404" s="65"/>
      <c r="AZ404" s="65"/>
      <c r="BA404" s="65"/>
    </row>
    <row r="405" spans="1:53">
      <c r="A405" s="65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  <c r="Y405" s="65"/>
      <c r="Z405" s="65"/>
      <c r="AA405" s="65"/>
      <c r="AB405" s="65"/>
      <c r="AC405" s="65"/>
      <c r="AD405" s="65"/>
      <c r="AE405" s="65"/>
      <c r="AF405" s="65"/>
      <c r="AG405" s="65"/>
      <c r="AH405" s="65"/>
      <c r="AI405" s="65"/>
      <c r="AJ405" s="65"/>
      <c r="AK405" s="65"/>
      <c r="AL405" s="65"/>
      <c r="AM405" s="65"/>
      <c r="AN405" s="65"/>
      <c r="AO405" s="65"/>
      <c r="AP405" s="65"/>
      <c r="AQ405" s="65"/>
      <c r="AR405" s="65"/>
      <c r="AS405" s="65"/>
      <c r="AT405" s="65"/>
      <c r="AU405" s="65"/>
      <c r="AV405" s="65"/>
      <c r="AW405" s="65"/>
      <c r="AX405" s="65"/>
      <c r="AY405" s="65"/>
      <c r="AZ405" s="65"/>
      <c r="BA405" s="65"/>
    </row>
    <row r="406" spans="1:53">
      <c r="A406" s="65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  <c r="AA406" s="65"/>
      <c r="AB406" s="65"/>
      <c r="AC406" s="65"/>
      <c r="AD406" s="65"/>
      <c r="AE406" s="65"/>
      <c r="AF406" s="65"/>
      <c r="AG406" s="65"/>
      <c r="AH406" s="65"/>
      <c r="AI406" s="65"/>
      <c r="AJ406" s="65"/>
      <c r="AK406" s="65"/>
      <c r="AL406" s="65"/>
      <c r="AM406" s="65"/>
      <c r="AN406" s="65"/>
      <c r="AO406" s="65"/>
      <c r="AP406" s="65"/>
      <c r="AQ406" s="65"/>
      <c r="AR406" s="65"/>
      <c r="AS406" s="65"/>
      <c r="AT406" s="65"/>
      <c r="AU406" s="65"/>
      <c r="AV406" s="65"/>
      <c r="AW406" s="65"/>
      <c r="AX406" s="65"/>
      <c r="AY406" s="65"/>
      <c r="AZ406" s="65"/>
      <c r="BA406" s="65"/>
    </row>
    <row r="407" spans="1:53">
      <c r="A407" s="65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T407" s="65"/>
      <c r="U407" s="65"/>
      <c r="V407" s="65"/>
      <c r="W407" s="65"/>
      <c r="X407" s="65"/>
      <c r="Y407" s="65"/>
      <c r="Z407" s="65"/>
      <c r="AA407" s="65"/>
      <c r="AB407" s="65"/>
      <c r="AC407" s="65"/>
      <c r="AD407" s="65"/>
      <c r="AE407" s="65"/>
      <c r="AF407" s="65"/>
      <c r="AG407" s="65"/>
      <c r="AH407" s="65"/>
      <c r="AI407" s="65"/>
      <c r="AJ407" s="65"/>
      <c r="AK407" s="65"/>
      <c r="AL407" s="65"/>
      <c r="AM407" s="65"/>
      <c r="AN407" s="65"/>
      <c r="AO407" s="65"/>
      <c r="AP407" s="65"/>
      <c r="AQ407" s="65"/>
      <c r="AR407" s="65"/>
      <c r="AS407" s="65"/>
      <c r="AT407" s="65"/>
      <c r="AU407" s="65"/>
      <c r="AV407" s="65"/>
      <c r="AW407" s="65"/>
      <c r="AX407" s="65"/>
      <c r="AY407" s="65"/>
      <c r="AZ407" s="65"/>
      <c r="BA407" s="65"/>
    </row>
    <row r="408" spans="1:53">
      <c r="A408" s="65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  <c r="AA408" s="65"/>
      <c r="AB408" s="65"/>
      <c r="AC408" s="65"/>
      <c r="AD408" s="65"/>
      <c r="AE408" s="65"/>
      <c r="AF408" s="65"/>
      <c r="AG408" s="65"/>
      <c r="AH408" s="65"/>
      <c r="AI408" s="65"/>
      <c r="AJ408" s="65"/>
      <c r="AK408" s="65"/>
      <c r="AL408" s="65"/>
      <c r="AM408" s="65"/>
      <c r="AN408" s="65"/>
      <c r="AO408" s="65"/>
      <c r="AP408" s="65"/>
      <c r="AQ408" s="65"/>
      <c r="AR408" s="65"/>
      <c r="AS408" s="65"/>
      <c r="AT408" s="65"/>
      <c r="AU408" s="65"/>
      <c r="AV408" s="65"/>
      <c r="AW408" s="65"/>
      <c r="AX408" s="65"/>
      <c r="AY408" s="65"/>
      <c r="AZ408" s="65"/>
      <c r="BA408" s="65"/>
    </row>
    <row r="409" spans="1:53">
      <c r="A409" s="65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  <c r="Z409" s="65"/>
      <c r="AA409" s="65"/>
      <c r="AB409" s="65"/>
      <c r="AC409" s="65"/>
      <c r="AD409" s="65"/>
      <c r="AE409" s="65"/>
      <c r="AF409" s="65"/>
      <c r="AG409" s="65"/>
      <c r="AH409" s="65"/>
      <c r="AI409" s="65"/>
      <c r="AJ409" s="65"/>
      <c r="AK409" s="65"/>
      <c r="AL409" s="65"/>
      <c r="AM409" s="65"/>
      <c r="AN409" s="65"/>
      <c r="AO409" s="65"/>
      <c r="AP409" s="65"/>
      <c r="AQ409" s="65"/>
      <c r="AR409" s="65"/>
      <c r="AS409" s="65"/>
      <c r="AT409" s="65"/>
      <c r="AU409" s="65"/>
      <c r="AV409" s="65"/>
      <c r="AW409" s="65"/>
      <c r="AX409" s="65"/>
      <c r="AY409" s="65"/>
      <c r="AZ409" s="65"/>
      <c r="BA409" s="65"/>
    </row>
    <row r="410" spans="1:53">
      <c r="A410" s="65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  <c r="Z410" s="65"/>
      <c r="AA410" s="65"/>
      <c r="AB410" s="65"/>
      <c r="AC410" s="65"/>
      <c r="AD410" s="65"/>
      <c r="AE410" s="65"/>
      <c r="AF410" s="65"/>
      <c r="AG410" s="65"/>
      <c r="AH410" s="65"/>
      <c r="AI410" s="65"/>
      <c r="AJ410" s="65"/>
      <c r="AK410" s="65"/>
      <c r="AL410" s="65"/>
      <c r="AM410" s="65"/>
      <c r="AN410" s="65"/>
      <c r="AO410" s="65"/>
      <c r="AP410" s="65"/>
      <c r="AQ410" s="65"/>
      <c r="AR410" s="65"/>
      <c r="AS410" s="65"/>
      <c r="AT410" s="65"/>
      <c r="AU410" s="65"/>
      <c r="AV410" s="65"/>
      <c r="AW410" s="65"/>
      <c r="AX410" s="65"/>
      <c r="AY410" s="65"/>
      <c r="AZ410" s="65"/>
      <c r="BA410" s="65"/>
    </row>
    <row r="411" spans="1:53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T411" s="65"/>
      <c r="U411" s="65"/>
      <c r="V411" s="65"/>
      <c r="W411" s="65"/>
      <c r="X411" s="65"/>
      <c r="Y411" s="65"/>
      <c r="Z411" s="65"/>
      <c r="AA411" s="65"/>
      <c r="AB411" s="65"/>
      <c r="AC411" s="65"/>
      <c r="AD411" s="65"/>
      <c r="AE411" s="65"/>
      <c r="AF411" s="65"/>
      <c r="AG411" s="65"/>
      <c r="AH411" s="65"/>
      <c r="AI411" s="65"/>
      <c r="AJ411" s="65"/>
      <c r="AK411" s="65"/>
      <c r="AL411" s="65"/>
      <c r="AM411" s="65"/>
      <c r="AN411" s="65"/>
      <c r="AO411" s="65"/>
      <c r="AP411" s="65"/>
      <c r="AQ411" s="65"/>
      <c r="AR411" s="65"/>
      <c r="AS411" s="65"/>
      <c r="AT411" s="65"/>
      <c r="AU411" s="65"/>
      <c r="AV411" s="65"/>
      <c r="AW411" s="65"/>
      <c r="AX411" s="65"/>
      <c r="AY411" s="65"/>
      <c r="AZ411" s="65"/>
      <c r="BA411" s="65"/>
    </row>
    <row r="412" spans="1:53">
      <c r="A412" s="65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T412" s="65"/>
      <c r="U412" s="65"/>
      <c r="V412" s="65"/>
      <c r="W412" s="65"/>
      <c r="X412" s="65"/>
      <c r="Y412" s="65"/>
      <c r="Z412" s="65"/>
      <c r="AA412" s="65"/>
      <c r="AB412" s="65"/>
      <c r="AC412" s="65"/>
      <c r="AD412" s="65"/>
      <c r="AE412" s="65"/>
      <c r="AF412" s="65"/>
      <c r="AG412" s="65"/>
      <c r="AH412" s="65"/>
      <c r="AI412" s="65"/>
      <c r="AJ412" s="65"/>
      <c r="AK412" s="65"/>
      <c r="AL412" s="65"/>
      <c r="AM412" s="65"/>
      <c r="AN412" s="65"/>
      <c r="AO412" s="65"/>
      <c r="AP412" s="65"/>
      <c r="AQ412" s="65"/>
      <c r="AR412" s="65"/>
      <c r="AS412" s="65"/>
      <c r="AT412" s="65"/>
      <c r="AU412" s="65"/>
      <c r="AV412" s="65"/>
      <c r="AW412" s="65"/>
      <c r="AX412" s="65"/>
      <c r="AY412" s="65"/>
      <c r="AZ412" s="65"/>
      <c r="BA412" s="65"/>
    </row>
    <row r="413" spans="1:53">
      <c r="A413" s="65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65"/>
      <c r="AA413" s="65"/>
      <c r="AB413" s="65"/>
      <c r="AC413" s="65"/>
      <c r="AD413" s="65"/>
      <c r="AE413" s="65"/>
      <c r="AF413" s="65"/>
      <c r="AG413" s="65"/>
      <c r="AH413" s="65"/>
      <c r="AI413" s="65"/>
      <c r="AJ413" s="65"/>
      <c r="AK413" s="65"/>
      <c r="AL413" s="65"/>
      <c r="AM413" s="65"/>
      <c r="AN413" s="65"/>
      <c r="AO413" s="65"/>
      <c r="AP413" s="65"/>
      <c r="AQ413" s="65"/>
      <c r="AR413" s="65"/>
      <c r="AS413" s="65"/>
      <c r="AT413" s="65"/>
      <c r="AU413" s="65"/>
      <c r="AV413" s="65"/>
      <c r="AW413" s="65"/>
      <c r="AX413" s="65"/>
      <c r="AY413" s="65"/>
      <c r="AZ413" s="65"/>
      <c r="BA413" s="65"/>
    </row>
    <row r="414" spans="1:53">
      <c r="A414" s="65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65"/>
      <c r="AA414" s="65"/>
      <c r="AB414" s="65"/>
      <c r="AC414" s="65"/>
      <c r="AD414" s="65"/>
      <c r="AE414" s="65"/>
      <c r="AF414" s="65"/>
      <c r="AG414" s="65"/>
      <c r="AH414" s="65"/>
      <c r="AI414" s="65"/>
      <c r="AJ414" s="65"/>
      <c r="AK414" s="65"/>
      <c r="AL414" s="65"/>
      <c r="AM414" s="65"/>
      <c r="AN414" s="65"/>
      <c r="AO414" s="65"/>
      <c r="AP414" s="65"/>
      <c r="AQ414" s="65"/>
      <c r="AR414" s="65"/>
      <c r="AS414" s="65"/>
      <c r="AT414" s="65"/>
      <c r="AU414" s="65"/>
      <c r="AV414" s="65"/>
      <c r="AW414" s="65"/>
      <c r="AX414" s="65"/>
      <c r="AY414" s="65"/>
      <c r="AZ414" s="65"/>
      <c r="BA414" s="65"/>
    </row>
    <row r="415" spans="1:53">
      <c r="A415" s="65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  <c r="AA415" s="65"/>
      <c r="AB415" s="65"/>
      <c r="AC415" s="65"/>
      <c r="AD415" s="65"/>
      <c r="AE415" s="65"/>
      <c r="AF415" s="65"/>
      <c r="AG415" s="65"/>
      <c r="AH415" s="65"/>
      <c r="AI415" s="65"/>
      <c r="AJ415" s="65"/>
      <c r="AK415" s="65"/>
      <c r="AL415" s="65"/>
      <c r="AM415" s="65"/>
      <c r="AN415" s="65"/>
      <c r="AO415" s="65"/>
      <c r="AP415" s="65"/>
      <c r="AQ415" s="65"/>
      <c r="AR415" s="65"/>
      <c r="AS415" s="65"/>
      <c r="AT415" s="65"/>
      <c r="AU415" s="65"/>
      <c r="AV415" s="65"/>
      <c r="AW415" s="65"/>
      <c r="AX415" s="65"/>
      <c r="AY415" s="65"/>
      <c r="AZ415" s="65"/>
      <c r="BA415" s="65"/>
    </row>
    <row r="416" spans="1:53">
      <c r="A416" s="65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/>
      <c r="Z416" s="65"/>
      <c r="AA416" s="65"/>
      <c r="AB416" s="65"/>
      <c r="AC416" s="65"/>
      <c r="AD416" s="65"/>
      <c r="AE416" s="65"/>
      <c r="AF416" s="65"/>
      <c r="AG416" s="65"/>
      <c r="AH416" s="65"/>
      <c r="AI416" s="65"/>
      <c r="AJ416" s="65"/>
      <c r="AK416" s="65"/>
      <c r="AL416" s="65"/>
      <c r="AM416" s="65"/>
      <c r="AN416" s="65"/>
      <c r="AO416" s="65"/>
      <c r="AP416" s="65"/>
      <c r="AQ416" s="65"/>
      <c r="AR416" s="65"/>
      <c r="AS416" s="65"/>
      <c r="AT416" s="65"/>
      <c r="AU416" s="65"/>
      <c r="AV416" s="65"/>
      <c r="AW416" s="65"/>
      <c r="AX416" s="65"/>
      <c r="AY416" s="65"/>
      <c r="AZ416" s="65"/>
      <c r="BA416" s="65"/>
    </row>
    <row r="417" spans="1:53">
      <c r="A417" s="65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/>
      <c r="T417" s="65"/>
      <c r="U417" s="65"/>
      <c r="V417" s="65"/>
      <c r="W417" s="65"/>
      <c r="X417" s="65"/>
      <c r="Y417" s="65"/>
      <c r="Z417" s="65"/>
      <c r="AA417" s="65"/>
      <c r="AB417" s="65"/>
      <c r="AC417" s="65"/>
      <c r="AD417" s="65"/>
      <c r="AE417" s="65"/>
      <c r="AF417" s="65"/>
      <c r="AG417" s="65"/>
      <c r="AH417" s="65"/>
      <c r="AI417" s="65"/>
      <c r="AJ417" s="65"/>
      <c r="AK417" s="65"/>
      <c r="AL417" s="65"/>
      <c r="AM417" s="65"/>
      <c r="AN417" s="65"/>
      <c r="AO417" s="65"/>
      <c r="AP417" s="65"/>
      <c r="AQ417" s="65"/>
      <c r="AR417" s="65"/>
      <c r="AS417" s="65"/>
      <c r="AT417" s="65"/>
      <c r="AU417" s="65"/>
      <c r="AV417" s="65"/>
      <c r="AW417" s="65"/>
      <c r="AX417" s="65"/>
      <c r="AY417" s="65"/>
      <c r="AZ417" s="65"/>
      <c r="BA417" s="65"/>
    </row>
    <row r="418" spans="1:53">
      <c r="A418" s="65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T418" s="65"/>
      <c r="U418" s="65"/>
      <c r="V418" s="65"/>
      <c r="W418" s="65"/>
      <c r="X418" s="65"/>
      <c r="Y418" s="65"/>
      <c r="Z418" s="65"/>
      <c r="AA418" s="65"/>
      <c r="AB418" s="65"/>
      <c r="AC418" s="65"/>
      <c r="AD418" s="65"/>
      <c r="AE418" s="65"/>
      <c r="AF418" s="65"/>
      <c r="AG418" s="65"/>
      <c r="AH418" s="65"/>
      <c r="AI418" s="65"/>
      <c r="AJ418" s="65"/>
      <c r="AK418" s="65"/>
      <c r="AL418" s="65"/>
      <c r="AM418" s="65"/>
      <c r="AN418" s="65"/>
      <c r="AO418" s="65"/>
      <c r="AP418" s="65"/>
      <c r="AQ418" s="65"/>
      <c r="AR418" s="65"/>
      <c r="AS418" s="65"/>
      <c r="AT418" s="65"/>
      <c r="AU418" s="65"/>
      <c r="AV418" s="65"/>
      <c r="AW418" s="65"/>
      <c r="AX418" s="65"/>
      <c r="AY418" s="65"/>
      <c r="AZ418" s="65"/>
      <c r="BA418" s="65"/>
    </row>
    <row r="419" spans="1:53">
      <c r="A419" s="65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65"/>
      <c r="Y419" s="65"/>
      <c r="Z419" s="65"/>
      <c r="AA419" s="65"/>
      <c r="AB419" s="65"/>
      <c r="AC419" s="65"/>
      <c r="AD419" s="65"/>
      <c r="AE419" s="65"/>
      <c r="AF419" s="65"/>
      <c r="AG419" s="65"/>
      <c r="AH419" s="65"/>
      <c r="AI419" s="65"/>
      <c r="AJ419" s="65"/>
      <c r="AK419" s="65"/>
      <c r="AL419" s="65"/>
      <c r="AM419" s="65"/>
      <c r="AN419" s="65"/>
      <c r="AO419" s="65"/>
      <c r="AP419" s="65"/>
      <c r="AQ419" s="65"/>
      <c r="AR419" s="65"/>
      <c r="AS419" s="65"/>
      <c r="AT419" s="65"/>
      <c r="AU419" s="65"/>
      <c r="AV419" s="65"/>
      <c r="AW419" s="65"/>
      <c r="AX419" s="65"/>
      <c r="AY419" s="65"/>
      <c r="AZ419" s="65"/>
      <c r="BA419" s="65"/>
    </row>
    <row r="420" spans="1:53">
      <c r="A420" s="65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T420" s="65"/>
      <c r="U420" s="65"/>
      <c r="V420" s="65"/>
      <c r="W420" s="65"/>
      <c r="X420" s="65"/>
      <c r="Y420" s="65"/>
      <c r="Z420" s="65"/>
      <c r="AA420" s="65"/>
      <c r="AB420" s="65"/>
      <c r="AC420" s="65"/>
      <c r="AD420" s="65"/>
      <c r="AE420" s="65"/>
      <c r="AF420" s="65"/>
      <c r="AG420" s="65"/>
      <c r="AH420" s="65"/>
      <c r="AI420" s="65"/>
      <c r="AJ420" s="65"/>
      <c r="AK420" s="65"/>
      <c r="AL420" s="65"/>
      <c r="AM420" s="65"/>
      <c r="AN420" s="65"/>
      <c r="AO420" s="65"/>
      <c r="AP420" s="65"/>
      <c r="AQ420" s="65"/>
      <c r="AR420" s="65"/>
      <c r="AS420" s="65"/>
      <c r="AT420" s="65"/>
      <c r="AU420" s="65"/>
      <c r="AV420" s="65"/>
      <c r="AW420" s="65"/>
      <c r="AX420" s="65"/>
      <c r="AY420" s="65"/>
      <c r="AZ420" s="65"/>
      <c r="BA420" s="65"/>
    </row>
    <row r="421" spans="1:53">
      <c r="A421" s="65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  <c r="AA421" s="65"/>
      <c r="AB421" s="65"/>
      <c r="AC421" s="65"/>
      <c r="AD421" s="65"/>
      <c r="AE421" s="65"/>
      <c r="AF421" s="65"/>
      <c r="AG421" s="65"/>
      <c r="AH421" s="65"/>
      <c r="AI421" s="65"/>
      <c r="AJ421" s="65"/>
      <c r="AK421" s="65"/>
      <c r="AL421" s="65"/>
      <c r="AM421" s="65"/>
      <c r="AN421" s="65"/>
      <c r="AO421" s="65"/>
      <c r="AP421" s="65"/>
      <c r="AQ421" s="65"/>
      <c r="AR421" s="65"/>
      <c r="AS421" s="65"/>
      <c r="AT421" s="65"/>
      <c r="AU421" s="65"/>
      <c r="AV421" s="65"/>
      <c r="AW421" s="65"/>
      <c r="AX421" s="65"/>
      <c r="AY421" s="65"/>
      <c r="AZ421" s="65"/>
      <c r="BA421" s="65"/>
    </row>
    <row r="422" spans="1:53">
      <c r="A422" s="65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/>
      <c r="Z422" s="65"/>
      <c r="AA422" s="65"/>
      <c r="AB422" s="65"/>
      <c r="AC422" s="65"/>
      <c r="AD422" s="65"/>
      <c r="AE422" s="65"/>
      <c r="AF422" s="65"/>
      <c r="AG422" s="65"/>
      <c r="AH422" s="65"/>
      <c r="AI422" s="65"/>
      <c r="AJ422" s="65"/>
      <c r="AK422" s="65"/>
      <c r="AL422" s="65"/>
      <c r="AM422" s="65"/>
      <c r="AN422" s="65"/>
      <c r="AO422" s="65"/>
      <c r="AP422" s="65"/>
      <c r="AQ422" s="65"/>
      <c r="AR422" s="65"/>
      <c r="AS422" s="65"/>
      <c r="AT422" s="65"/>
      <c r="AU422" s="65"/>
      <c r="AV422" s="65"/>
      <c r="AW422" s="65"/>
      <c r="AX422" s="65"/>
      <c r="AY422" s="65"/>
      <c r="AZ422" s="65"/>
      <c r="BA422" s="65"/>
    </row>
    <row r="423" spans="1:53">
      <c r="A423" s="65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  <c r="AA423" s="65"/>
      <c r="AB423" s="65"/>
      <c r="AC423" s="65"/>
      <c r="AD423" s="65"/>
      <c r="AE423" s="65"/>
      <c r="AF423" s="65"/>
      <c r="AG423" s="65"/>
      <c r="AH423" s="65"/>
      <c r="AI423" s="65"/>
      <c r="AJ423" s="65"/>
      <c r="AK423" s="65"/>
      <c r="AL423" s="65"/>
      <c r="AM423" s="65"/>
      <c r="AN423" s="65"/>
      <c r="AO423" s="65"/>
      <c r="AP423" s="65"/>
      <c r="AQ423" s="65"/>
      <c r="AR423" s="65"/>
      <c r="AS423" s="65"/>
      <c r="AT423" s="65"/>
      <c r="AU423" s="65"/>
      <c r="AV423" s="65"/>
      <c r="AW423" s="65"/>
      <c r="AX423" s="65"/>
      <c r="AY423" s="65"/>
      <c r="AZ423" s="65"/>
      <c r="BA423" s="65"/>
    </row>
    <row r="424" spans="1:53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  <c r="Z424" s="65"/>
      <c r="AA424" s="65"/>
      <c r="AB424" s="65"/>
      <c r="AC424" s="65"/>
      <c r="AD424" s="65"/>
      <c r="AE424" s="65"/>
      <c r="AF424" s="65"/>
      <c r="AG424" s="65"/>
      <c r="AH424" s="65"/>
      <c r="AI424" s="65"/>
      <c r="AJ424" s="65"/>
      <c r="AK424" s="65"/>
      <c r="AL424" s="65"/>
      <c r="AM424" s="65"/>
      <c r="AN424" s="65"/>
      <c r="AO424" s="65"/>
      <c r="AP424" s="65"/>
      <c r="AQ424" s="65"/>
      <c r="AR424" s="65"/>
      <c r="AS424" s="65"/>
      <c r="AT424" s="65"/>
      <c r="AU424" s="65"/>
      <c r="AV424" s="65"/>
      <c r="AW424" s="65"/>
      <c r="AX424" s="65"/>
      <c r="AY424" s="65"/>
      <c r="AZ424" s="65"/>
      <c r="BA424" s="65"/>
    </row>
    <row r="425" spans="1:53">
      <c r="A425" s="65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/>
      <c r="Z425" s="65"/>
      <c r="AA425" s="65"/>
      <c r="AB425" s="65"/>
      <c r="AC425" s="65"/>
      <c r="AD425" s="65"/>
      <c r="AE425" s="65"/>
      <c r="AF425" s="65"/>
      <c r="AG425" s="65"/>
      <c r="AH425" s="65"/>
      <c r="AI425" s="65"/>
      <c r="AJ425" s="65"/>
      <c r="AK425" s="65"/>
      <c r="AL425" s="65"/>
      <c r="AM425" s="65"/>
      <c r="AN425" s="65"/>
      <c r="AO425" s="65"/>
      <c r="AP425" s="65"/>
      <c r="AQ425" s="65"/>
      <c r="AR425" s="65"/>
      <c r="AS425" s="65"/>
      <c r="AT425" s="65"/>
      <c r="AU425" s="65"/>
      <c r="AV425" s="65"/>
      <c r="AW425" s="65"/>
      <c r="AX425" s="65"/>
      <c r="AY425" s="65"/>
      <c r="AZ425" s="65"/>
      <c r="BA425" s="65"/>
    </row>
    <row r="426" spans="1:53">
      <c r="A426" s="65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  <c r="AA426" s="65"/>
      <c r="AB426" s="65"/>
      <c r="AC426" s="65"/>
      <c r="AD426" s="65"/>
      <c r="AE426" s="65"/>
      <c r="AF426" s="65"/>
      <c r="AG426" s="65"/>
      <c r="AH426" s="65"/>
      <c r="AI426" s="65"/>
      <c r="AJ426" s="65"/>
      <c r="AK426" s="65"/>
      <c r="AL426" s="65"/>
      <c r="AM426" s="65"/>
      <c r="AN426" s="65"/>
      <c r="AO426" s="65"/>
      <c r="AP426" s="65"/>
      <c r="AQ426" s="65"/>
      <c r="AR426" s="65"/>
      <c r="AS426" s="65"/>
      <c r="AT426" s="65"/>
      <c r="AU426" s="65"/>
      <c r="AV426" s="65"/>
      <c r="AW426" s="65"/>
      <c r="AX426" s="65"/>
      <c r="AY426" s="65"/>
      <c r="AZ426" s="65"/>
      <c r="BA426" s="65"/>
    </row>
    <row r="427" spans="1:53">
      <c r="A427" s="65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65"/>
      <c r="AA427" s="65"/>
      <c r="AB427" s="65"/>
      <c r="AC427" s="65"/>
      <c r="AD427" s="65"/>
      <c r="AE427" s="65"/>
      <c r="AF427" s="65"/>
      <c r="AG427" s="65"/>
      <c r="AH427" s="65"/>
      <c r="AI427" s="65"/>
      <c r="AJ427" s="65"/>
      <c r="AK427" s="65"/>
      <c r="AL427" s="65"/>
      <c r="AM427" s="65"/>
      <c r="AN427" s="65"/>
      <c r="AO427" s="65"/>
      <c r="AP427" s="65"/>
      <c r="AQ427" s="65"/>
      <c r="AR427" s="65"/>
      <c r="AS427" s="65"/>
      <c r="AT427" s="65"/>
      <c r="AU427" s="65"/>
      <c r="AV427" s="65"/>
      <c r="AW427" s="65"/>
      <c r="AX427" s="65"/>
      <c r="AY427" s="65"/>
      <c r="AZ427" s="65"/>
      <c r="BA427" s="65"/>
    </row>
    <row r="428" spans="1:53">
      <c r="A428" s="65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65"/>
      <c r="AA428" s="65"/>
      <c r="AB428" s="65"/>
      <c r="AC428" s="65"/>
      <c r="AD428" s="65"/>
      <c r="AE428" s="65"/>
      <c r="AF428" s="65"/>
      <c r="AG428" s="65"/>
      <c r="AH428" s="65"/>
      <c r="AI428" s="65"/>
      <c r="AJ428" s="65"/>
      <c r="AK428" s="65"/>
      <c r="AL428" s="65"/>
      <c r="AM428" s="65"/>
      <c r="AN428" s="65"/>
      <c r="AO428" s="65"/>
      <c r="AP428" s="65"/>
      <c r="AQ428" s="65"/>
      <c r="AR428" s="65"/>
      <c r="AS428" s="65"/>
      <c r="AT428" s="65"/>
      <c r="AU428" s="65"/>
      <c r="AV428" s="65"/>
      <c r="AW428" s="65"/>
      <c r="AX428" s="65"/>
      <c r="AY428" s="65"/>
      <c r="AZ428" s="65"/>
      <c r="BA428" s="65"/>
    </row>
    <row r="429" spans="1:53">
      <c r="A429" s="65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/>
      <c r="Z429" s="65"/>
      <c r="AA429" s="65"/>
      <c r="AB429" s="65"/>
      <c r="AC429" s="65"/>
      <c r="AD429" s="65"/>
      <c r="AE429" s="65"/>
      <c r="AF429" s="65"/>
      <c r="AG429" s="65"/>
      <c r="AH429" s="65"/>
      <c r="AI429" s="65"/>
      <c r="AJ429" s="65"/>
      <c r="AK429" s="65"/>
      <c r="AL429" s="65"/>
      <c r="AM429" s="65"/>
      <c r="AN429" s="65"/>
      <c r="AO429" s="65"/>
      <c r="AP429" s="65"/>
      <c r="AQ429" s="65"/>
      <c r="AR429" s="65"/>
      <c r="AS429" s="65"/>
      <c r="AT429" s="65"/>
      <c r="AU429" s="65"/>
      <c r="AV429" s="65"/>
      <c r="AW429" s="65"/>
      <c r="AX429" s="65"/>
      <c r="AY429" s="65"/>
      <c r="AZ429" s="65"/>
      <c r="BA429" s="65"/>
    </row>
    <row r="430" spans="1:53">
      <c r="A430" s="65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T430" s="65"/>
      <c r="U430" s="65"/>
      <c r="V430" s="65"/>
      <c r="W430" s="65"/>
      <c r="X430" s="65"/>
      <c r="Y430" s="65"/>
      <c r="Z430" s="65"/>
      <c r="AA430" s="65"/>
      <c r="AB430" s="65"/>
      <c r="AC430" s="65"/>
      <c r="AD430" s="65"/>
      <c r="AE430" s="65"/>
      <c r="AF430" s="65"/>
      <c r="AG430" s="65"/>
      <c r="AH430" s="65"/>
      <c r="AI430" s="65"/>
      <c r="AJ430" s="65"/>
      <c r="AK430" s="65"/>
      <c r="AL430" s="65"/>
      <c r="AM430" s="65"/>
      <c r="AN430" s="65"/>
      <c r="AO430" s="65"/>
      <c r="AP430" s="65"/>
      <c r="AQ430" s="65"/>
      <c r="AR430" s="65"/>
      <c r="AS430" s="65"/>
      <c r="AT430" s="65"/>
      <c r="AU430" s="65"/>
      <c r="AV430" s="65"/>
      <c r="AW430" s="65"/>
      <c r="AX430" s="65"/>
      <c r="AY430" s="65"/>
      <c r="AZ430" s="65"/>
      <c r="BA430" s="65"/>
    </row>
    <row r="431" spans="1:53">
      <c r="A431" s="65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  <c r="Z431" s="65"/>
      <c r="AA431" s="65"/>
      <c r="AB431" s="65"/>
      <c r="AC431" s="65"/>
      <c r="AD431" s="65"/>
      <c r="AE431" s="65"/>
      <c r="AF431" s="65"/>
      <c r="AG431" s="65"/>
      <c r="AH431" s="65"/>
      <c r="AI431" s="65"/>
      <c r="AJ431" s="65"/>
      <c r="AK431" s="65"/>
      <c r="AL431" s="65"/>
      <c r="AM431" s="65"/>
      <c r="AN431" s="65"/>
      <c r="AO431" s="65"/>
      <c r="AP431" s="65"/>
      <c r="AQ431" s="65"/>
      <c r="AR431" s="65"/>
      <c r="AS431" s="65"/>
      <c r="AT431" s="65"/>
      <c r="AU431" s="65"/>
      <c r="AV431" s="65"/>
      <c r="AW431" s="65"/>
      <c r="AX431" s="65"/>
      <c r="AY431" s="65"/>
      <c r="AZ431" s="65"/>
      <c r="BA431" s="65"/>
    </row>
    <row r="432" spans="1:53">
      <c r="A432" s="65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/>
      <c r="Z432" s="65"/>
      <c r="AA432" s="65"/>
      <c r="AB432" s="65"/>
      <c r="AC432" s="65"/>
      <c r="AD432" s="65"/>
      <c r="AE432" s="65"/>
      <c r="AF432" s="65"/>
      <c r="AG432" s="65"/>
      <c r="AH432" s="65"/>
      <c r="AI432" s="65"/>
      <c r="AJ432" s="65"/>
      <c r="AK432" s="65"/>
      <c r="AL432" s="65"/>
      <c r="AM432" s="65"/>
      <c r="AN432" s="65"/>
      <c r="AO432" s="65"/>
      <c r="AP432" s="65"/>
      <c r="AQ432" s="65"/>
      <c r="AR432" s="65"/>
      <c r="AS432" s="65"/>
      <c r="AT432" s="65"/>
      <c r="AU432" s="65"/>
      <c r="AV432" s="65"/>
      <c r="AW432" s="65"/>
      <c r="AX432" s="65"/>
      <c r="AY432" s="65"/>
      <c r="AZ432" s="65"/>
      <c r="BA432" s="65"/>
    </row>
    <row r="433" spans="1:53">
      <c r="A433" s="65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  <c r="AA433" s="65"/>
      <c r="AB433" s="65"/>
      <c r="AC433" s="65"/>
      <c r="AD433" s="65"/>
      <c r="AE433" s="65"/>
      <c r="AF433" s="65"/>
      <c r="AG433" s="65"/>
      <c r="AH433" s="65"/>
      <c r="AI433" s="65"/>
      <c r="AJ433" s="65"/>
      <c r="AK433" s="65"/>
      <c r="AL433" s="65"/>
      <c r="AM433" s="65"/>
      <c r="AN433" s="65"/>
      <c r="AO433" s="65"/>
      <c r="AP433" s="65"/>
      <c r="AQ433" s="65"/>
      <c r="AR433" s="65"/>
      <c r="AS433" s="65"/>
      <c r="AT433" s="65"/>
      <c r="AU433" s="65"/>
      <c r="AV433" s="65"/>
      <c r="AW433" s="65"/>
      <c r="AX433" s="65"/>
      <c r="AY433" s="65"/>
      <c r="AZ433" s="65"/>
      <c r="BA433" s="65"/>
    </row>
    <row r="434" spans="1:53">
      <c r="A434" s="65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65"/>
      <c r="AA434" s="65"/>
      <c r="AB434" s="65"/>
      <c r="AC434" s="65"/>
      <c r="AD434" s="65"/>
      <c r="AE434" s="65"/>
      <c r="AF434" s="65"/>
      <c r="AG434" s="65"/>
      <c r="AH434" s="65"/>
      <c r="AI434" s="65"/>
      <c r="AJ434" s="65"/>
      <c r="AK434" s="65"/>
      <c r="AL434" s="65"/>
      <c r="AM434" s="65"/>
      <c r="AN434" s="65"/>
      <c r="AO434" s="65"/>
      <c r="AP434" s="65"/>
      <c r="AQ434" s="65"/>
      <c r="AR434" s="65"/>
      <c r="AS434" s="65"/>
      <c r="AT434" s="65"/>
      <c r="AU434" s="65"/>
      <c r="AV434" s="65"/>
      <c r="AW434" s="65"/>
      <c r="AX434" s="65"/>
      <c r="AY434" s="65"/>
      <c r="AZ434" s="65"/>
      <c r="BA434" s="65"/>
    </row>
    <row r="435" spans="1:53">
      <c r="A435" s="65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65"/>
      <c r="AA435" s="65"/>
      <c r="AB435" s="65"/>
      <c r="AC435" s="65"/>
      <c r="AD435" s="65"/>
      <c r="AE435" s="65"/>
      <c r="AF435" s="65"/>
      <c r="AG435" s="65"/>
      <c r="AH435" s="65"/>
      <c r="AI435" s="65"/>
      <c r="AJ435" s="65"/>
      <c r="AK435" s="65"/>
      <c r="AL435" s="65"/>
      <c r="AM435" s="65"/>
      <c r="AN435" s="65"/>
      <c r="AO435" s="65"/>
      <c r="AP435" s="65"/>
      <c r="AQ435" s="65"/>
      <c r="AR435" s="65"/>
      <c r="AS435" s="65"/>
      <c r="AT435" s="65"/>
      <c r="AU435" s="65"/>
      <c r="AV435" s="65"/>
      <c r="AW435" s="65"/>
      <c r="AX435" s="65"/>
      <c r="AY435" s="65"/>
      <c r="AZ435" s="65"/>
      <c r="BA435" s="65"/>
    </row>
    <row r="436" spans="1:53">
      <c r="A436" s="65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/>
      <c r="Z436" s="65"/>
      <c r="AA436" s="65"/>
      <c r="AB436" s="65"/>
      <c r="AC436" s="65"/>
      <c r="AD436" s="65"/>
      <c r="AE436" s="65"/>
      <c r="AF436" s="65"/>
      <c r="AG436" s="65"/>
      <c r="AH436" s="65"/>
      <c r="AI436" s="65"/>
      <c r="AJ436" s="65"/>
      <c r="AK436" s="65"/>
      <c r="AL436" s="65"/>
      <c r="AM436" s="65"/>
      <c r="AN436" s="65"/>
      <c r="AO436" s="65"/>
      <c r="AP436" s="65"/>
      <c r="AQ436" s="65"/>
      <c r="AR436" s="65"/>
      <c r="AS436" s="65"/>
      <c r="AT436" s="65"/>
      <c r="AU436" s="65"/>
      <c r="AV436" s="65"/>
      <c r="AW436" s="65"/>
      <c r="AX436" s="65"/>
      <c r="AY436" s="65"/>
      <c r="AZ436" s="65"/>
      <c r="BA436" s="65"/>
    </row>
    <row r="437" spans="1:53">
      <c r="A437" s="65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/>
      <c r="Z437" s="65"/>
      <c r="AA437" s="65"/>
      <c r="AB437" s="65"/>
      <c r="AC437" s="65"/>
      <c r="AD437" s="65"/>
      <c r="AE437" s="65"/>
      <c r="AF437" s="65"/>
      <c r="AG437" s="65"/>
      <c r="AH437" s="65"/>
      <c r="AI437" s="65"/>
      <c r="AJ437" s="65"/>
      <c r="AK437" s="65"/>
      <c r="AL437" s="65"/>
      <c r="AM437" s="65"/>
      <c r="AN437" s="65"/>
      <c r="AO437" s="65"/>
      <c r="AP437" s="65"/>
      <c r="AQ437" s="65"/>
      <c r="AR437" s="65"/>
      <c r="AS437" s="65"/>
      <c r="AT437" s="65"/>
      <c r="AU437" s="65"/>
      <c r="AV437" s="65"/>
      <c r="AW437" s="65"/>
      <c r="AX437" s="65"/>
      <c r="AY437" s="65"/>
      <c r="AZ437" s="65"/>
      <c r="BA437" s="65"/>
    </row>
    <row r="438" spans="1:53">
      <c r="A438" s="65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  <c r="AA438" s="65"/>
      <c r="AB438" s="65"/>
      <c r="AC438" s="65"/>
      <c r="AD438" s="65"/>
      <c r="AE438" s="65"/>
      <c r="AF438" s="65"/>
      <c r="AG438" s="65"/>
      <c r="AH438" s="65"/>
      <c r="AI438" s="65"/>
      <c r="AJ438" s="65"/>
      <c r="AK438" s="65"/>
      <c r="AL438" s="65"/>
      <c r="AM438" s="65"/>
      <c r="AN438" s="65"/>
      <c r="AO438" s="65"/>
      <c r="AP438" s="65"/>
      <c r="AQ438" s="65"/>
      <c r="AR438" s="65"/>
      <c r="AS438" s="65"/>
      <c r="AT438" s="65"/>
      <c r="AU438" s="65"/>
      <c r="AV438" s="65"/>
      <c r="AW438" s="65"/>
      <c r="AX438" s="65"/>
      <c r="AY438" s="65"/>
      <c r="AZ438" s="65"/>
      <c r="BA438" s="65"/>
    </row>
    <row r="439" spans="1:53">
      <c r="A439" s="65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  <c r="AA439" s="65"/>
      <c r="AB439" s="65"/>
      <c r="AC439" s="65"/>
      <c r="AD439" s="65"/>
      <c r="AE439" s="65"/>
      <c r="AF439" s="65"/>
      <c r="AG439" s="65"/>
      <c r="AH439" s="65"/>
      <c r="AI439" s="65"/>
      <c r="AJ439" s="65"/>
      <c r="AK439" s="65"/>
      <c r="AL439" s="65"/>
      <c r="AM439" s="65"/>
      <c r="AN439" s="65"/>
      <c r="AO439" s="65"/>
      <c r="AP439" s="65"/>
      <c r="AQ439" s="65"/>
      <c r="AR439" s="65"/>
      <c r="AS439" s="65"/>
      <c r="AT439" s="65"/>
      <c r="AU439" s="65"/>
      <c r="AV439" s="65"/>
      <c r="AW439" s="65"/>
      <c r="AX439" s="65"/>
      <c r="AY439" s="65"/>
      <c r="AZ439" s="65"/>
      <c r="BA439" s="65"/>
    </row>
    <row r="440" spans="1:53">
      <c r="A440" s="65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T440" s="65"/>
      <c r="U440" s="65"/>
      <c r="V440" s="65"/>
      <c r="W440" s="65"/>
      <c r="X440" s="65"/>
      <c r="Y440" s="65"/>
      <c r="Z440" s="65"/>
      <c r="AA440" s="65"/>
      <c r="AB440" s="65"/>
      <c r="AC440" s="65"/>
      <c r="AD440" s="65"/>
      <c r="AE440" s="65"/>
      <c r="AF440" s="65"/>
      <c r="AG440" s="65"/>
      <c r="AH440" s="65"/>
      <c r="AI440" s="65"/>
      <c r="AJ440" s="65"/>
      <c r="AK440" s="65"/>
      <c r="AL440" s="65"/>
      <c r="AM440" s="65"/>
      <c r="AN440" s="65"/>
      <c r="AO440" s="65"/>
      <c r="AP440" s="65"/>
      <c r="AQ440" s="65"/>
      <c r="AR440" s="65"/>
      <c r="AS440" s="65"/>
      <c r="AT440" s="65"/>
      <c r="AU440" s="65"/>
      <c r="AV440" s="65"/>
      <c r="AW440" s="65"/>
      <c r="AX440" s="65"/>
      <c r="AY440" s="65"/>
      <c r="AZ440" s="65"/>
      <c r="BA440" s="65"/>
    </row>
    <row r="441" spans="1:53">
      <c r="A441" s="65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  <c r="AA441" s="65"/>
      <c r="AB441" s="65"/>
      <c r="AC441" s="65"/>
      <c r="AD441" s="65"/>
      <c r="AE441" s="65"/>
      <c r="AF441" s="65"/>
      <c r="AG441" s="65"/>
      <c r="AH441" s="65"/>
      <c r="AI441" s="65"/>
      <c r="AJ441" s="65"/>
      <c r="AK441" s="65"/>
      <c r="AL441" s="65"/>
      <c r="AM441" s="65"/>
      <c r="AN441" s="65"/>
      <c r="AO441" s="65"/>
      <c r="AP441" s="65"/>
      <c r="AQ441" s="65"/>
      <c r="AR441" s="65"/>
      <c r="AS441" s="65"/>
      <c r="AT441" s="65"/>
      <c r="AU441" s="65"/>
      <c r="AV441" s="65"/>
      <c r="AW441" s="65"/>
      <c r="AX441" s="65"/>
      <c r="AY441" s="65"/>
      <c r="AZ441" s="65"/>
      <c r="BA441" s="65"/>
    </row>
    <row r="442" spans="1:53">
      <c r="A442" s="65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65"/>
      <c r="AA442" s="65"/>
      <c r="AB442" s="65"/>
      <c r="AC442" s="65"/>
      <c r="AD442" s="65"/>
      <c r="AE442" s="65"/>
      <c r="AF442" s="65"/>
      <c r="AG442" s="65"/>
      <c r="AH442" s="65"/>
      <c r="AI442" s="65"/>
      <c r="AJ442" s="65"/>
      <c r="AK442" s="65"/>
      <c r="AL442" s="65"/>
      <c r="AM442" s="65"/>
      <c r="AN442" s="65"/>
      <c r="AO442" s="65"/>
      <c r="AP442" s="65"/>
      <c r="AQ442" s="65"/>
      <c r="AR442" s="65"/>
      <c r="AS442" s="65"/>
      <c r="AT442" s="65"/>
      <c r="AU442" s="65"/>
      <c r="AV442" s="65"/>
      <c r="AW442" s="65"/>
      <c r="AX442" s="65"/>
      <c r="AY442" s="65"/>
      <c r="AZ442" s="65"/>
      <c r="BA442" s="65"/>
    </row>
    <row r="443" spans="1:53">
      <c r="A443" s="65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  <c r="Z443" s="65"/>
      <c r="AA443" s="65"/>
      <c r="AB443" s="65"/>
      <c r="AC443" s="65"/>
      <c r="AD443" s="65"/>
      <c r="AE443" s="65"/>
      <c r="AF443" s="65"/>
      <c r="AG443" s="65"/>
      <c r="AH443" s="65"/>
      <c r="AI443" s="65"/>
      <c r="AJ443" s="65"/>
      <c r="AK443" s="65"/>
      <c r="AL443" s="65"/>
      <c r="AM443" s="65"/>
      <c r="AN443" s="65"/>
      <c r="AO443" s="65"/>
      <c r="AP443" s="65"/>
      <c r="AQ443" s="65"/>
      <c r="AR443" s="65"/>
      <c r="AS443" s="65"/>
      <c r="AT443" s="65"/>
      <c r="AU443" s="65"/>
      <c r="AV443" s="65"/>
      <c r="AW443" s="65"/>
      <c r="AX443" s="65"/>
      <c r="AY443" s="65"/>
      <c r="AZ443" s="65"/>
      <c r="BA443" s="65"/>
    </row>
    <row r="444" spans="1:53">
      <c r="A444" s="65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  <c r="Z444" s="65"/>
      <c r="AA444" s="65"/>
      <c r="AB444" s="65"/>
      <c r="AC444" s="65"/>
      <c r="AD444" s="65"/>
      <c r="AE444" s="65"/>
      <c r="AF444" s="65"/>
      <c r="AG444" s="65"/>
      <c r="AH444" s="65"/>
      <c r="AI444" s="65"/>
      <c r="AJ444" s="65"/>
      <c r="AK444" s="65"/>
      <c r="AL444" s="65"/>
      <c r="AM444" s="65"/>
      <c r="AN444" s="65"/>
      <c r="AO444" s="65"/>
      <c r="AP444" s="65"/>
      <c r="AQ444" s="65"/>
      <c r="AR444" s="65"/>
      <c r="AS444" s="65"/>
      <c r="AT444" s="65"/>
      <c r="AU444" s="65"/>
      <c r="AV444" s="65"/>
      <c r="AW444" s="65"/>
      <c r="AX444" s="65"/>
      <c r="AY444" s="65"/>
      <c r="AZ444" s="65"/>
      <c r="BA444" s="65"/>
    </row>
    <row r="445" spans="1:53">
      <c r="A445" s="65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/>
      <c r="Z445" s="65"/>
      <c r="AA445" s="65"/>
      <c r="AB445" s="65"/>
      <c r="AC445" s="65"/>
      <c r="AD445" s="65"/>
      <c r="AE445" s="65"/>
      <c r="AF445" s="65"/>
      <c r="AG445" s="65"/>
      <c r="AH445" s="65"/>
      <c r="AI445" s="65"/>
      <c r="AJ445" s="65"/>
      <c r="AK445" s="65"/>
      <c r="AL445" s="65"/>
      <c r="AM445" s="65"/>
      <c r="AN445" s="65"/>
      <c r="AO445" s="65"/>
      <c r="AP445" s="65"/>
      <c r="AQ445" s="65"/>
      <c r="AR445" s="65"/>
      <c r="AS445" s="65"/>
      <c r="AT445" s="65"/>
      <c r="AU445" s="65"/>
      <c r="AV445" s="65"/>
      <c r="AW445" s="65"/>
      <c r="AX445" s="65"/>
      <c r="AY445" s="65"/>
      <c r="AZ445" s="65"/>
      <c r="BA445" s="65"/>
    </row>
    <row r="446" spans="1:53">
      <c r="A446" s="65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  <c r="AA446" s="65"/>
      <c r="AB446" s="65"/>
      <c r="AC446" s="65"/>
      <c r="AD446" s="65"/>
      <c r="AE446" s="65"/>
      <c r="AF446" s="65"/>
      <c r="AG446" s="65"/>
      <c r="AH446" s="65"/>
      <c r="AI446" s="65"/>
      <c r="AJ446" s="65"/>
      <c r="AK446" s="65"/>
      <c r="AL446" s="65"/>
      <c r="AM446" s="65"/>
      <c r="AN446" s="65"/>
      <c r="AO446" s="65"/>
      <c r="AP446" s="65"/>
      <c r="AQ446" s="65"/>
      <c r="AR446" s="65"/>
      <c r="AS446" s="65"/>
      <c r="AT446" s="65"/>
      <c r="AU446" s="65"/>
      <c r="AV446" s="65"/>
      <c r="AW446" s="65"/>
      <c r="AX446" s="65"/>
      <c r="AY446" s="65"/>
      <c r="AZ446" s="65"/>
      <c r="BA446" s="65"/>
    </row>
    <row r="447" spans="1:53">
      <c r="A447" s="65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/>
      <c r="Z447" s="65"/>
      <c r="AA447" s="65"/>
      <c r="AB447" s="65"/>
      <c r="AC447" s="65"/>
      <c r="AD447" s="65"/>
      <c r="AE447" s="65"/>
      <c r="AF447" s="65"/>
      <c r="AG447" s="65"/>
      <c r="AH447" s="65"/>
      <c r="AI447" s="65"/>
      <c r="AJ447" s="65"/>
      <c r="AK447" s="65"/>
      <c r="AL447" s="65"/>
      <c r="AM447" s="65"/>
      <c r="AN447" s="65"/>
      <c r="AO447" s="65"/>
      <c r="AP447" s="65"/>
      <c r="AQ447" s="65"/>
      <c r="AR447" s="65"/>
      <c r="AS447" s="65"/>
      <c r="AT447" s="65"/>
      <c r="AU447" s="65"/>
      <c r="AV447" s="65"/>
      <c r="AW447" s="65"/>
      <c r="AX447" s="65"/>
      <c r="AY447" s="65"/>
      <c r="AZ447" s="65"/>
      <c r="BA447" s="65"/>
    </row>
    <row r="448" spans="1:53">
      <c r="A448" s="65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  <c r="AA448" s="65"/>
      <c r="AB448" s="65"/>
      <c r="AC448" s="65"/>
      <c r="AD448" s="65"/>
      <c r="AE448" s="65"/>
      <c r="AF448" s="65"/>
      <c r="AG448" s="65"/>
      <c r="AH448" s="65"/>
      <c r="AI448" s="65"/>
      <c r="AJ448" s="65"/>
      <c r="AK448" s="65"/>
      <c r="AL448" s="65"/>
      <c r="AM448" s="65"/>
      <c r="AN448" s="65"/>
      <c r="AO448" s="65"/>
      <c r="AP448" s="65"/>
      <c r="AQ448" s="65"/>
      <c r="AR448" s="65"/>
      <c r="AS448" s="65"/>
      <c r="AT448" s="65"/>
      <c r="AU448" s="65"/>
      <c r="AV448" s="65"/>
      <c r="AW448" s="65"/>
      <c r="AX448" s="65"/>
      <c r="AY448" s="65"/>
      <c r="AZ448" s="65"/>
      <c r="BA448" s="65"/>
    </row>
    <row r="449" spans="1:53">
      <c r="A449" s="65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  <c r="AA449" s="65"/>
      <c r="AB449" s="65"/>
      <c r="AC449" s="65"/>
      <c r="AD449" s="65"/>
      <c r="AE449" s="65"/>
      <c r="AF449" s="65"/>
      <c r="AG449" s="65"/>
      <c r="AH449" s="65"/>
      <c r="AI449" s="65"/>
      <c r="AJ449" s="65"/>
      <c r="AK449" s="65"/>
      <c r="AL449" s="65"/>
      <c r="AM449" s="65"/>
      <c r="AN449" s="65"/>
      <c r="AO449" s="65"/>
      <c r="AP449" s="65"/>
      <c r="AQ449" s="65"/>
      <c r="AR449" s="65"/>
      <c r="AS449" s="65"/>
      <c r="AT449" s="65"/>
      <c r="AU449" s="65"/>
      <c r="AV449" s="65"/>
      <c r="AW449" s="65"/>
      <c r="AX449" s="65"/>
      <c r="AY449" s="65"/>
      <c r="AZ449" s="65"/>
      <c r="BA449" s="65"/>
    </row>
    <row r="450" spans="1:53">
      <c r="A450" s="65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T450" s="65"/>
      <c r="U450" s="65"/>
      <c r="V450" s="65"/>
      <c r="W450" s="65"/>
      <c r="X450" s="65"/>
      <c r="Y450" s="65"/>
      <c r="Z450" s="65"/>
      <c r="AA450" s="65"/>
      <c r="AB450" s="65"/>
      <c r="AC450" s="65"/>
      <c r="AD450" s="65"/>
      <c r="AE450" s="65"/>
      <c r="AF450" s="65"/>
      <c r="AG450" s="65"/>
      <c r="AH450" s="65"/>
      <c r="AI450" s="65"/>
      <c r="AJ450" s="65"/>
      <c r="AK450" s="65"/>
      <c r="AL450" s="65"/>
      <c r="AM450" s="65"/>
      <c r="AN450" s="65"/>
      <c r="AO450" s="65"/>
      <c r="AP450" s="65"/>
      <c r="AQ450" s="65"/>
      <c r="AR450" s="65"/>
      <c r="AS450" s="65"/>
      <c r="AT450" s="65"/>
      <c r="AU450" s="65"/>
      <c r="AV450" s="65"/>
      <c r="AW450" s="65"/>
      <c r="AX450" s="65"/>
      <c r="AY450" s="65"/>
      <c r="AZ450" s="65"/>
      <c r="BA450" s="65"/>
    </row>
    <row r="451" spans="1:53">
      <c r="A451" s="65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/>
      <c r="Z451" s="65"/>
      <c r="AA451" s="65"/>
      <c r="AB451" s="65"/>
      <c r="AC451" s="65"/>
      <c r="AD451" s="65"/>
      <c r="AE451" s="65"/>
      <c r="AF451" s="65"/>
      <c r="AG451" s="65"/>
      <c r="AH451" s="65"/>
      <c r="AI451" s="65"/>
      <c r="AJ451" s="65"/>
      <c r="AK451" s="65"/>
      <c r="AL451" s="65"/>
      <c r="AM451" s="65"/>
      <c r="AN451" s="65"/>
      <c r="AO451" s="65"/>
      <c r="AP451" s="65"/>
      <c r="AQ451" s="65"/>
      <c r="AR451" s="65"/>
      <c r="AS451" s="65"/>
      <c r="AT451" s="65"/>
      <c r="AU451" s="65"/>
      <c r="AV451" s="65"/>
      <c r="AW451" s="65"/>
      <c r="AX451" s="65"/>
      <c r="AY451" s="65"/>
      <c r="AZ451" s="65"/>
      <c r="BA451" s="65"/>
    </row>
    <row r="452" spans="1:53">
      <c r="A452" s="65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/>
      <c r="Z452" s="65"/>
      <c r="AA452" s="65"/>
      <c r="AB452" s="65"/>
      <c r="AC452" s="65"/>
      <c r="AD452" s="65"/>
      <c r="AE452" s="65"/>
      <c r="AF452" s="65"/>
      <c r="AG452" s="65"/>
      <c r="AH452" s="65"/>
      <c r="AI452" s="65"/>
      <c r="AJ452" s="65"/>
      <c r="AK452" s="65"/>
      <c r="AL452" s="65"/>
      <c r="AM452" s="65"/>
      <c r="AN452" s="65"/>
      <c r="AO452" s="65"/>
      <c r="AP452" s="65"/>
      <c r="AQ452" s="65"/>
      <c r="AR452" s="65"/>
      <c r="AS452" s="65"/>
      <c r="AT452" s="65"/>
      <c r="AU452" s="65"/>
      <c r="AV452" s="65"/>
      <c r="AW452" s="65"/>
      <c r="AX452" s="65"/>
      <c r="AY452" s="65"/>
      <c r="AZ452" s="65"/>
      <c r="BA452" s="65"/>
    </row>
    <row r="453" spans="1:53">
      <c r="A453" s="65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  <c r="AA453" s="65"/>
      <c r="AB453" s="65"/>
      <c r="AC453" s="65"/>
      <c r="AD453" s="65"/>
      <c r="AE453" s="65"/>
      <c r="AF453" s="65"/>
      <c r="AG453" s="65"/>
      <c r="AH453" s="65"/>
      <c r="AI453" s="65"/>
      <c r="AJ453" s="65"/>
      <c r="AK453" s="65"/>
      <c r="AL453" s="65"/>
      <c r="AM453" s="65"/>
      <c r="AN453" s="65"/>
      <c r="AO453" s="65"/>
      <c r="AP453" s="65"/>
      <c r="AQ453" s="65"/>
      <c r="AR453" s="65"/>
      <c r="AS453" s="65"/>
      <c r="AT453" s="65"/>
      <c r="AU453" s="65"/>
      <c r="AV453" s="65"/>
      <c r="AW453" s="65"/>
      <c r="AX453" s="65"/>
      <c r="AY453" s="65"/>
      <c r="AZ453" s="65"/>
      <c r="BA453" s="65"/>
    </row>
    <row r="454" spans="1:53">
      <c r="A454" s="65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/>
      <c r="Z454" s="65"/>
      <c r="AA454" s="65"/>
      <c r="AB454" s="65"/>
      <c r="AC454" s="65"/>
      <c r="AD454" s="65"/>
      <c r="AE454" s="65"/>
      <c r="AF454" s="65"/>
      <c r="AG454" s="65"/>
      <c r="AH454" s="65"/>
      <c r="AI454" s="65"/>
      <c r="AJ454" s="65"/>
      <c r="AK454" s="65"/>
      <c r="AL454" s="65"/>
      <c r="AM454" s="65"/>
      <c r="AN454" s="65"/>
      <c r="AO454" s="65"/>
      <c r="AP454" s="65"/>
      <c r="AQ454" s="65"/>
      <c r="AR454" s="65"/>
      <c r="AS454" s="65"/>
      <c r="AT454" s="65"/>
      <c r="AU454" s="65"/>
      <c r="AV454" s="65"/>
      <c r="AW454" s="65"/>
      <c r="AX454" s="65"/>
      <c r="AY454" s="65"/>
      <c r="AZ454" s="65"/>
      <c r="BA454" s="65"/>
    </row>
    <row r="455" spans="1:53">
      <c r="A455" s="65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T455" s="65"/>
      <c r="U455" s="65"/>
      <c r="V455" s="65"/>
      <c r="W455" s="65"/>
      <c r="X455" s="65"/>
      <c r="Y455" s="65"/>
      <c r="Z455" s="65"/>
      <c r="AA455" s="65"/>
      <c r="AB455" s="65"/>
      <c r="AC455" s="65"/>
      <c r="AD455" s="65"/>
      <c r="AE455" s="65"/>
      <c r="AF455" s="65"/>
      <c r="AG455" s="65"/>
      <c r="AH455" s="65"/>
      <c r="AI455" s="65"/>
      <c r="AJ455" s="65"/>
      <c r="AK455" s="65"/>
      <c r="AL455" s="65"/>
      <c r="AM455" s="65"/>
      <c r="AN455" s="65"/>
      <c r="AO455" s="65"/>
      <c r="AP455" s="65"/>
      <c r="AQ455" s="65"/>
      <c r="AR455" s="65"/>
      <c r="AS455" s="65"/>
      <c r="AT455" s="65"/>
      <c r="AU455" s="65"/>
      <c r="AV455" s="65"/>
      <c r="AW455" s="65"/>
      <c r="AX455" s="65"/>
      <c r="AY455" s="65"/>
      <c r="AZ455" s="65"/>
      <c r="BA455" s="65"/>
    </row>
    <row r="456" spans="1:53">
      <c r="A456" s="65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T456" s="65"/>
      <c r="U456" s="65"/>
      <c r="V456" s="65"/>
      <c r="W456" s="65"/>
      <c r="X456" s="65"/>
      <c r="Y456" s="65"/>
      <c r="Z456" s="65"/>
      <c r="AA456" s="65"/>
      <c r="AB456" s="65"/>
      <c r="AC456" s="65"/>
      <c r="AD456" s="65"/>
      <c r="AE456" s="65"/>
      <c r="AF456" s="65"/>
      <c r="AG456" s="65"/>
      <c r="AH456" s="65"/>
      <c r="AI456" s="65"/>
      <c r="AJ456" s="65"/>
      <c r="AK456" s="65"/>
      <c r="AL456" s="65"/>
      <c r="AM456" s="65"/>
      <c r="AN456" s="65"/>
      <c r="AO456" s="65"/>
      <c r="AP456" s="65"/>
      <c r="AQ456" s="65"/>
      <c r="AR456" s="65"/>
      <c r="AS456" s="65"/>
      <c r="AT456" s="65"/>
      <c r="AU456" s="65"/>
      <c r="AV456" s="65"/>
      <c r="AW456" s="65"/>
      <c r="AX456" s="65"/>
      <c r="AY456" s="65"/>
      <c r="AZ456" s="65"/>
      <c r="BA456" s="65"/>
    </row>
    <row r="457" spans="1:53">
      <c r="A457" s="65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T457" s="65"/>
      <c r="U457" s="65"/>
      <c r="V457" s="65"/>
      <c r="W457" s="65"/>
      <c r="X457" s="65"/>
      <c r="Y457" s="65"/>
      <c r="Z457" s="65"/>
      <c r="AA457" s="65"/>
      <c r="AB457" s="65"/>
      <c r="AC457" s="65"/>
      <c r="AD457" s="65"/>
      <c r="AE457" s="65"/>
      <c r="AF457" s="65"/>
      <c r="AG457" s="65"/>
      <c r="AH457" s="65"/>
      <c r="AI457" s="65"/>
      <c r="AJ457" s="65"/>
      <c r="AK457" s="65"/>
      <c r="AL457" s="65"/>
      <c r="AM457" s="65"/>
      <c r="AN457" s="65"/>
      <c r="AO457" s="65"/>
      <c r="AP457" s="65"/>
      <c r="AQ457" s="65"/>
      <c r="AR457" s="65"/>
      <c r="AS457" s="65"/>
      <c r="AT457" s="65"/>
      <c r="AU457" s="65"/>
      <c r="AV457" s="65"/>
      <c r="AW457" s="65"/>
      <c r="AX457" s="65"/>
      <c r="AY457" s="65"/>
      <c r="AZ457" s="65"/>
      <c r="BA457" s="65"/>
    </row>
    <row r="458" spans="1:53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  <c r="Z458" s="65"/>
      <c r="AA458" s="65"/>
      <c r="AB458" s="65"/>
      <c r="AC458" s="65"/>
      <c r="AD458" s="65"/>
      <c r="AE458" s="65"/>
      <c r="AF458" s="65"/>
      <c r="AG458" s="65"/>
      <c r="AH458" s="65"/>
      <c r="AI458" s="65"/>
      <c r="AJ458" s="65"/>
      <c r="AK458" s="65"/>
      <c r="AL458" s="65"/>
      <c r="AM458" s="65"/>
      <c r="AN458" s="65"/>
      <c r="AO458" s="65"/>
      <c r="AP458" s="65"/>
      <c r="AQ458" s="65"/>
      <c r="AR458" s="65"/>
      <c r="AS458" s="65"/>
      <c r="AT458" s="65"/>
      <c r="AU458" s="65"/>
      <c r="AV458" s="65"/>
      <c r="AW458" s="65"/>
      <c r="AX458" s="65"/>
      <c r="AY458" s="65"/>
      <c r="AZ458" s="65"/>
      <c r="BA458" s="65"/>
    </row>
    <row r="459" spans="1:53">
      <c r="A459" s="65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/>
      <c r="Z459" s="65"/>
      <c r="AA459" s="65"/>
      <c r="AB459" s="65"/>
      <c r="AC459" s="65"/>
      <c r="AD459" s="65"/>
      <c r="AE459" s="65"/>
      <c r="AF459" s="65"/>
      <c r="AG459" s="65"/>
      <c r="AH459" s="65"/>
      <c r="AI459" s="65"/>
      <c r="AJ459" s="65"/>
      <c r="AK459" s="65"/>
      <c r="AL459" s="65"/>
      <c r="AM459" s="65"/>
      <c r="AN459" s="65"/>
      <c r="AO459" s="65"/>
      <c r="AP459" s="65"/>
      <c r="AQ459" s="65"/>
      <c r="AR459" s="65"/>
      <c r="AS459" s="65"/>
      <c r="AT459" s="65"/>
      <c r="AU459" s="65"/>
      <c r="AV459" s="65"/>
      <c r="AW459" s="65"/>
      <c r="AX459" s="65"/>
      <c r="AY459" s="65"/>
      <c r="AZ459" s="65"/>
      <c r="BA459" s="65"/>
    </row>
    <row r="460" spans="1:53">
      <c r="A460" s="65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  <c r="AA460" s="65"/>
      <c r="AB460" s="65"/>
      <c r="AC460" s="65"/>
      <c r="AD460" s="65"/>
      <c r="AE460" s="65"/>
      <c r="AF460" s="65"/>
      <c r="AG460" s="65"/>
      <c r="AH460" s="65"/>
      <c r="AI460" s="65"/>
      <c r="AJ460" s="65"/>
      <c r="AK460" s="65"/>
      <c r="AL460" s="65"/>
      <c r="AM460" s="65"/>
      <c r="AN460" s="65"/>
      <c r="AO460" s="65"/>
      <c r="AP460" s="65"/>
      <c r="AQ460" s="65"/>
      <c r="AR460" s="65"/>
      <c r="AS460" s="65"/>
      <c r="AT460" s="65"/>
      <c r="AU460" s="65"/>
      <c r="AV460" s="65"/>
      <c r="AW460" s="65"/>
      <c r="AX460" s="65"/>
      <c r="AY460" s="65"/>
      <c r="AZ460" s="65"/>
      <c r="BA460" s="65"/>
    </row>
    <row r="461" spans="1:53">
      <c r="A461" s="65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/>
      <c r="T461" s="65"/>
      <c r="U461" s="65"/>
      <c r="V461" s="65"/>
      <c r="W461" s="65"/>
      <c r="X461" s="65"/>
      <c r="Y461" s="65"/>
      <c r="Z461" s="65"/>
      <c r="AA461" s="65"/>
      <c r="AB461" s="65"/>
      <c r="AC461" s="65"/>
      <c r="AD461" s="65"/>
      <c r="AE461" s="65"/>
      <c r="AF461" s="65"/>
      <c r="AG461" s="65"/>
      <c r="AH461" s="65"/>
      <c r="AI461" s="65"/>
      <c r="AJ461" s="65"/>
      <c r="AK461" s="65"/>
      <c r="AL461" s="65"/>
      <c r="AM461" s="65"/>
      <c r="AN461" s="65"/>
      <c r="AO461" s="65"/>
      <c r="AP461" s="65"/>
      <c r="AQ461" s="65"/>
      <c r="AR461" s="65"/>
      <c r="AS461" s="65"/>
      <c r="AT461" s="65"/>
      <c r="AU461" s="65"/>
      <c r="AV461" s="65"/>
      <c r="AW461" s="65"/>
      <c r="AX461" s="65"/>
      <c r="AY461" s="65"/>
      <c r="AZ461" s="65"/>
      <c r="BA461" s="65"/>
    </row>
    <row r="462" spans="1:53">
      <c r="A462" s="65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65"/>
      <c r="AA462" s="65"/>
      <c r="AB462" s="65"/>
      <c r="AC462" s="65"/>
      <c r="AD462" s="65"/>
      <c r="AE462" s="65"/>
      <c r="AF462" s="65"/>
      <c r="AG462" s="65"/>
      <c r="AH462" s="65"/>
      <c r="AI462" s="65"/>
      <c r="AJ462" s="65"/>
      <c r="AK462" s="65"/>
      <c r="AL462" s="65"/>
      <c r="AM462" s="65"/>
      <c r="AN462" s="65"/>
      <c r="AO462" s="65"/>
      <c r="AP462" s="65"/>
      <c r="AQ462" s="65"/>
      <c r="AR462" s="65"/>
      <c r="AS462" s="65"/>
      <c r="AT462" s="65"/>
      <c r="AU462" s="65"/>
      <c r="AV462" s="65"/>
      <c r="AW462" s="65"/>
      <c r="AX462" s="65"/>
      <c r="AY462" s="65"/>
      <c r="AZ462" s="65"/>
      <c r="BA462" s="65"/>
    </row>
    <row r="463" spans="1:53">
      <c r="A463" s="65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65"/>
      <c r="AA463" s="65"/>
      <c r="AB463" s="65"/>
      <c r="AC463" s="65"/>
      <c r="AD463" s="65"/>
      <c r="AE463" s="65"/>
      <c r="AF463" s="65"/>
      <c r="AG463" s="65"/>
      <c r="AH463" s="65"/>
      <c r="AI463" s="65"/>
      <c r="AJ463" s="65"/>
      <c r="AK463" s="65"/>
      <c r="AL463" s="65"/>
      <c r="AM463" s="65"/>
      <c r="AN463" s="65"/>
      <c r="AO463" s="65"/>
      <c r="AP463" s="65"/>
      <c r="AQ463" s="65"/>
      <c r="AR463" s="65"/>
      <c r="AS463" s="65"/>
      <c r="AT463" s="65"/>
      <c r="AU463" s="65"/>
      <c r="AV463" s="65"/>
      <c r="AW463" s="65"/>
      <c r="AX463" s="65"/>
      <c r="AY463" s="65"/>
      <c r="AZ463" s="65"/>
      <c r="BA463" s="65"/>
    </row>
    <row r="464" spans="1:53">
      <c r="A464" s="65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/>
      <c r="T464" s="65"/>
      <c r="U464" s="65"/>
      <c r="V464" s="65"/>
      <c r="W464" s="65"/>
      <c r="X464" s="65"/>
      <c r="Y464" s="65"/>
      <c r="Z464" s="65"/>
      <c r="AA464" s="65"/>
      <c r="AB464" s="65"/>
      <c r="AC464" s="65"/>
      <c r="AD464" s="65"/>
      <c r="AE464" s="65"/>
      <c r="AF464" s="65"/>
      <c r="AG464" s="65"/>
      <c r="AH464" s="65"/>
      <c r="AI464" s="65"/>
      <c r="AJ464" s="65"/>
      <c r="AK464" s="65"/>
      <c r="AL464" s="65"/>
      <c r="AM464" s="65"/>
      <c r="AN464" s="65"/>
      <c r="AO464" s="65"/>
      <c r="AP464" s="65"/>
      <c r="AQ464" s="65"/>
      <c r="AR464" s="65"/>
      <c r="AS464" s="65"/>
      <c r="AT464" s="65"/>
      <c r="AU464" s="65"/>
      <c r="AV464" s="65"/>
      <c r="AW464" s="65"/>
      <c r="AX464" s="65"/>
      <c r="AY464" s="65"/>
      <c r="AZ464" s="65"/>
      <c r="BA464" s="65"/>
    </row>
    <row r="465" spans="1:53">
      <c r="A465" s="65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T465" s="65"/>
      <c r="U465" s="65"/>
      <c r="V465" s="65"/>
      <c r="W465" s="65"/>
      <c r="X465" s="65"/>
      <c r="Y465" s="65"/>
      <c r="Z465" s="65"/>
      <c r="AA465" s="65"/>
      <c r="AB465" s="65"/>
      <c r="AC465" s="65"/>
      <c r="AD465" s="65"/>
      <c r="AE465" s="65"/>
      <c r="AF465" s="65"/>
      <c r="AG465" s="65"/>
      <c r="AH465" s="65"/>
      <c r="AI465" s="65"/>
      <c r="AJ465" s="65"/>
      <c r="AK465" s="65"/>
      <c r="AL465" s="65"/>
      <c r="AM465" s="65"/>
      <c r="AN465" s="65"/>
      <c r="AO465" s="65"/>
      <c r="AP465" s="65"/>
      <c r="AQ465" s="65"/>
      <c r="AR465" s="65"/>
      <c r="AS465" s="65"/>
      <c r="AT465" s="65"/>
      <c r="AU465" s="65"/>
      <c r="AV465" s="65"/>
      <c r="AW465" s="65"/>
      <c r="AX465" s="65"/>
      <c r="AY465" s="65"/>
      <c r="AZ465" s="65"/>
      <c r="BA465" s="65"/>
    </row>
    <row r="466" spans="1:53">
      <c r="A466" s="65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/>
      <c r="Z466" s="65"/>
      <c r="AA466" s="65"/>
      <c r="AB466" s="65"/>
      <c r="AC466" s="65"/>
      <c r="AD466" s="65"/>
      <c r="AE466" s="65"/>
      <c r="AF466" s="65"/>
      <c r="AG466" s="65"/>
      <c r="AH466" s="65"/>
      <c r="AI466" s="65"/>
      <c r="AJ466" s="65"/>
      <c r="AK466" s="65"/>
      <c r="AL466" s="65"/>
      <c r="AM466" s="65"/>
      <c r="AN466" s="65"/>
      <c r="AO466" s="65"/>
      <c r="AP466" s="65"/>
      <c r="AQ466" s="65"/>
      <c r="AR466" s="65"/>
      <c r="AS466" s="65"/>
      <c r="AT466" s="65"/>
      <c r="AU466" s="65"/>
      <c r="AV466" s="65"/>
      <c r="AW466" s="65"/>
      <c r="AX466" s="65"/>
      <c r="AY466" s="65"/>
      <c r="AZ466" s="65"/>
      <c r="BA466" s="65"/>
    </row>
    <row r="467" spans="1:53">
      <c r="A467" s="65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/>
      <c r="Z467" s="65"/>
      <c r="AA467" s="65"/>
      <c r="AB467" s="65"/>
      <c r="AC467" s="65"/>
      <c r="AD467" s="65"/>
      <c r="AE467" s="65"/>
      <c r="AF467" s="65"/>
      <c r="AG467" s="65"/>
      <c r="AH467" s="65"/>
      <c r="AI467" s="65"/>
      <c r="AJ467" s="65"/>
      <c r="AK467" s="65"/>
      <c r="AL467" s="65"/>
      <c r="AM467" s="65"/>
      <c r="AN467" s="65"/>
      <c r="AO467" s="65"/>
      <c r="AP467" s="65"/>
      <c r="AQ467" s="65"/>
      <c r="AR467" s="65"/>
      <c r="AS467" s="65"/>
      <c r="AT467" s="65"/>
      <c r="AU467" s="65"/>
      <c r="AV467" s="65"/>
      <c r="AW467" s="65"/>
      <c r="AX467" s="65"/>
      <c r="AY467" s="65"/>
      <c r="AZ467" s="65"/>
      <c r="BA467" s="65"/>
    </row>
    <row r="468" spans="1:53">
      <c r="A468" s="65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T468" s="65"/>
      <c r="U468" s="65"/>
      <c r="V468" s="65"/>
      <c r="W468" s="65"/>
      <c r="X468" s="65"/>
      <c r="Y468" s="65"/>
      <c r="Z468" s="65"/>
      <c r="AA468" s="65"/>
      <c r="AB468" s="65"/>
      <c r="AC468" s="65"/>
      <c r="AD468" s="65"/>
      <c r="AE468" s="65"/>
      <c r="AF468" s="65"/>
      <c r="AG468" s="65"/>
      <c r="AH468" s="65"/>
      <c r="AI468" s="65"/>
      <c r="AJ468" s="65"/>
      <c r="AK468" s="65"/>
      <c r="AL468" s="65"/>
      <c r="AM468" s="65"/>
      <c r="AN468" s="65"/>
      <c r="AO468" s="65"/>
      <c r="AP468" s="65"/>
      <c r="AQ468" s="65"/>
      <c r="AR468" s="65"/>
      <c r="AS468" s="65"/>
      <c r="AT468" s="65"/>
      <c r="AU468" s="65"/>
      <c r="AV468" s="65"/>
      <c r="AW468" s="65"/>
      <c r="AX468" s="65"/>
      <c r="AY468" s="65"/>
      <c r="AZ468" s="65"/>
      <c r="BA468" s="65"/>
    </row>
    <row r="469" spans="1:53">
      <c r="A469" s="65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  <c r="AA469" s="65"/>
      <c r="AB469" s="65"/>
      <c r="AC469" s="65"/>
      <c r="AD469" s="65"/>
      <c r="AE469" s="65"/>
      <c r="AF469" s="65"/>
      <c r="AG469" s="65"/>
      <c r="AH469" s="65"/>
      <c r="AI469" s="65"/>
      <c r="AJ469" s="65"/>
      <c r="AK469" s="65"/>
      <c r="AL469" s="65"/>
      <c r="AM469" s="65"/>
      <c r="AN469" s="65"/>
      <c r="AO469" s="65"/>
      <c r="AP469" s="65"/>
      <c r="AQ469" s="65"/>
      <c r="AR469" s="65"/>
      <c r="AS469" s="65"/>
      <c r="AT469" s="65"/>
      <c r="AU469" s="65"/>
      <c r="AV469" s="65"/>
      <c r="AW469" s="65"/>
      <c r="AX469" s="65"/>
      <c r="AY469" s="65"/>
      <c r="AZ469" s="65"/>
      <c r="BA469" s="65"/>
    </row>
    <row r="470" spans="1:53">
      <c r="A470" s="65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  <c r="AA470" s="65"/>
      <c r="AB470" s="65"/>
      <c r="AC470" s="65"/>
      <c r="AD470" s="65"/>
      <c r="AE470" s="65"/>
      <c r="AF470" s="65"/>
      <c r="AG470" s="65"/>
      <c r="AH470" s="65"/>
      <c r="AI470" s="65"/>
      <c r="AJ470" s="65"/>
      <c r="AK470" s="65"/>
      <c r="AL470" s="65"/>
      <c r="AM470" s="65"/>
      <c r="AN470" s="65"/>
      <c r="AO470" s="65"/>
      <c r="AP470" s="65"/>
      <c r="AQ470" s="65"/>
      <c r="AR470" s="65"/>
      <c r="AS470" s="65"/>
      <c r="AT470" s="65"/>
      <c r="AU470" s="65"/>
      <c r="AV470" s="65"/>
      <c r="AW470" s="65"/>
      <c r="AX470" s="65"/>
      <c r="AY470" s="65"/>
      <c r="AZ470" s="65"/>
      <c r="BA470" s="65"/>
    </row>
    <row r="471" spans="1:53">
      <c r="A471" s="65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65"/>
      <c r="Z471" s="65"/>
      <c r="AA471" s="65"/>
      <c r="AB471" s="65"/>
      <c r="AC471" s="65"/>
      <c r="AD471" s="65"/>
      <c r="AE471" s="65"/>
      <c r="AF471" s="65"/>
      <c r="AG471" s="65"/>
      <c r="AH471" s="65"/>
      <c r="AI471" s="65"/>
      <c r="AJ471" s="65"/>
      <c r="AK471" s="65"/>
      <c r="AL471" s="65"/>
      <c r="AM471" s="65"/>
      <c r="AN471" s="65"/>
      <c r="AO471" s="65"/>
      <c r="AP471" s="65"/>
      <c r="AQ471" s="65"/>
      <c r="AR471" s="65"/>
      <c r="AS471" s="65"/>
      <c r="AT471" s="65"/>
      <c r="AU471" s="65"/>
      <c r="AV471" s="65"/>
      <c r="AW471" s="65"/>
      <c r="AX471" s="65"/>
      <c r="AY471" s="65"/>
      <c r="AZ471" s="65"/>
      <c r="BA471" s="65"/>
    </row>
    <row r="472" spans="1:53">
      <c r="A472" s="65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/>
      <c r="T472" s="65"/>
      <c r="U472" s="65"/>
      <c r="V472" s="65"/>
      <c r="W472" s="65"/>
      <c r="X472" s="65"/>
      <c r="Y472" s="65"/>
      <c r="Z472" s="65"/>
      <c r="AA472" s="65"/>
      <c r="AB472" s="65"/>
      <c r="AC472" s="65"/>
      <c r="AD472" s="65"/>
      <c r="AE472" s="65"/>
      <c r="AF472" s="65"/>
      <c r="AG472" s="65"/>
      <c r="AH472" s="65"/>
      <c r="AI472" s="65"/>
      <c r="AJ472" s="65"/>
      <c r="AK472" s="65"/>
      <c r="AL472" s="65"/>
      <c r="AM472" s="65"/>
      <c r="AN472" s="65"/>
      <c r="AO472" s="65"/>
      <c r="AP472" s="65"/>
      <c r="AQ472" s="65"/>
      <c r="AR472" s="65"/>
      <c r="AS472" s="65"/>
      <c r="AT472" s="65"/>
      <c r="AU472" s="65"/>
      <c r="AV472" s="65"/>
      <c r="AW472" s="65"/>
      <c r="AX472" s="65"/>
      <c r="AY472" s="65"/>
      <c r="AZ472" s="65"/>
      <c r="BA472" s="65"/>
    </row>
    <row r="473" spans="1:53">
      <c r="A473" s="65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T473" s="65"/>
      <c r="U473" s="65"/>
      <c r="V473" s="65"/>
      <c r="W473" s="65"/>
      <c r="X473" s="65"/>
      <c r="Y473" s="65"/>
      <c r="Z473" s="65"/>
      <c r="AA473" s="65"/>
      <c r="AB473" s="65"/>
      <c r="AC473" s="65"/>
      <c r="AD473" s="65"/>
      <c r="AE473" s="65"/>
      <c r="AF473" s="65"/>
      <c r="AG473" s="65"/>
      <c r="AH473" s="65"/>
      <c r="AI473" s="65"/>
      <c r="AJ473" s="65"/>
      <c r="AK473" s="65"/>
      <c r="AL473" s="65"/>
      <c r="AM473" s="65"/>
      <c r="AN473" s="65"/>
      <c r="AO473" s="65"/>
      <c r="AP473" s="65"/>
      <c r="AQ473" s="65"/>
      <c r="AR473" s="65"/>
      <c r="AS473" s="65"/>
      <c r="AT473" s="65"/>
      <c r="AU473" s="65"/>
      <c r="AV473" s="65"/>
      <c r="AW473" s="65"/>
      <c r="AX473" s="65"/>
      <c r="AY473" s="65"/>
      <c r="AZ473" s="65"/>
      <c r="BA473" s="65"/>
    </row>
    <row r="474" spans="1:53">
      <c r="A474" s="65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/>
      <c r="Z474" s="65"/>
      <c r="AA474" s="65"/>
      <c r="AB474" s="65"/>
      <c r="AC474" s="65"/>
      <c r="AD474" s="65"/>
      <c r="AE474" s="65"/>
      <c r="AF474" s="65"/>
      <c r="AG474" s="65"/>
      <c r="AH474" s="65"/>
      <c r="AI474" s="65"/>
      <c r="AJ474" s="65"/>
      <c r="AK474" s="65"/>
      <c r="AL474" s="65"/>
      <c r="AM474" s="65"/>
      <c r="AN474" s="65"/>
      <c r="AO474" s="65"/>
      <c r="AP474" s="65"/>
      <c r="AQ474" s="65"/>
      <c r="AR474" s="65"/>
      <c r="AS474" s="65"/>
      <c r="AT474" s="65"/>
      <c r="AU474" s="65"/>
      <c r="AV474" s="65"/>
      <c r="AW474" s="65"/>
      <c r="AX474" s="65"/>
      <c r="AY474" s="65"/>
      <c r="AZ474" s="65"/>
      <c r="BA474" s="65"/>
    </row>
    <row r="475" spans="1:53">
      <c r="A475" s="65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/>
      <c r="Z475" s="65"/>
      <c r="AA475" s="65"/>
      <c r="AB475" s="65"/>
      <c r="AC475" s="65"/>
      <c r="AD475" s="65"/>
      <c r="AE475" s="65"/>
      <c r="AF475" s="65"/>
      <c r="AG475" s="65"/>
      <c r="AH475" s="65"/>
      <c r="AI475" s="65"/>
      <c r="AJ475" s="65"/>
      <c r="AK475" s="65"/>
      <c r="AL475" s="65"/>
      <c r="AM475" s="65"/>
      <c r="AN475" s="65"/>
      <c r="AO475" s="65"/>
      <c r="AP475" s="65"/>
      <c r="AQ475" s="65"/>
      <c r="AR475" s="65"/>
      <c r="AS475" s="65"/>
      <c r="AT475" s="65"/>
      <c r="AU475" s="65"/>
      <c r="AV475" s="65"/>
      <c r="AW475" s="65"/>
      <c r="AX475" s="65"/>
      <c r="AY475" s="65"/>
      <c r="AZ475" s="65"/>
      <c r="BA475" s="65"/>
    </row>
    <row r="476" spans="1:53">
      <c r="A476" s="65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T476" s="65"/>
      <c r="U476" s="65"/>
      <c r="V476" s="65"/>
      <c r="W476" s="65"/>
      <c r="X476" s="65"/>
      <c r="Y476" s="65"/>
      <c r="Z476" s="65"/>
      <c r="AA476" s="65"/>
      <c r="AB476" s="65"/>
      <c r="AC476" s="65"/>
      <c r="AD476" s="65"/>
      <c r="AE476" s="65"/>
      <c r="AF476" s="65"/>
      <c r="AG476" s="65"/>
      <c r="AH476" s="65"/>
      <c r="AI476" s="65"/>
      <c r="AJ476" s="65"/>
      <c r="AK476" s="65"/>
      <c r="AL476" s="65"/>
      <c r="AM476" s="65"/>
      <c r="AN476" s="65"/>
      <c r="AO476" s="65"/>
      <c r="AP476" s="65"/>
      <c r="AQ476" s="65"/>
      <c r="AR476" s="65"/>
      <c r="AS476" s="65"/>
      <c r="AT476" s="65"/>
      <c r="AU476" s="65"/>
      <c r="AV476" s="65"/>
      <c r="AW476" s="65"/>
      <c r="AX476" s="65"/>
      <c r="AY476" s="65"/>
      <c r="AZ476" s="65"/>
      <c r="BA476" s="65"/>
    </row>
    <row r="477" spans="1:53">
      <c r="A477" s="65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65"/>
      <c r="AA477" s="65"/>
      <c r="AB477" s="65"/>
      <c r="AC477" s="65"/>
      <c r="AD477" s="65"/>
      <c r="AE477" s="65"/>
      <c r="AF477" s="65"/>
      <c r="AG477" s="65"/>
      <c r="AH477" s="65"/>
      <c r="AI477" s="65"/>
      <c r="AJ477" s="65"/>
      <c r="AK477" s="65"/>
      <c r="AL477" s="65"/>
      <c r="AM477" s="65"/>
      <c r="AN477" s="65"/>
      <c r="AO477" s="65"/>
      <c r="AP477" s="65"/>
      <c r="AQ477" s="65"/>
      <c r="AR477" s="65"/>
      <c r="AS477" s="65"/>
      <c r="AT477" s="65"/>
      <c r="AU477" s="65"/>
      <c r="AV477" s="65"/>
      <c r="AW477" s="65"/>
      <c r="AX477" s="65"/>
      <c r="AY477" s="65"/>
      <c r="AZ477" s="65"/>
      <c r="BA477" s="65"/>
    </row>
    <row r="478" spans="1:53">
      <c r="A478" s="65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  <c r="AA478" s="65"/>
      <c r="AB478" s="65"/>
      <c r="AC478" s="65"/>
      <c r="AD478" s="65"/>
      <c r="AE478" s="65"/>
      <c r="AF478" s="65"/>
      <c r="AG478" s="65"/>
      <c r="AH478" s="65"/>
      <c r="AI478" s="65"/>
      <c r="AJ478" s="65"/>
      <c r="AK478" s="65"/>
      <c r="AL478" s="65"/>
      <c r="AM478" s="65"/>
      <c r="AN478" s="65"/>
      <c r="AO478" s="65"/>
      <c r="AP478" s="65"/>
      <c r="AQ478" s="65"/>
      <c r="AR478" s="65"/>
      <c r="AS478" s="65"/>
      <c r="AT478" s="65"/>
      <c r="AU478" s="65"/>
      <c r="AV478" s="65"/>
      <c r="AW478" s="65"/>
      <c r="AX478" s="65"/>
      <c r="AY478" s="65"/>
      <c r="AZ478" s="65"/>
      <c r="BA478" s="65"/>
    </row>
    <row r="479" spans="1:53">
      <c r="A479" s="65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/>
      <c r="T479" s="65"/>
      <c r="U479" s="65"/>
      <c r="V479" s="65"/>
      <c r="W479" s="65"/>
      <c r="X479" s="65"/>
      <c r="Y479" s="65"/>
      <c r="Z479" s="65"/>
      <c r="AA479" s="65"/>
      <c r="AB479" s="65"/>
      <c r="AC479" s="65"/>
      <c r="AD479" s="65"/>
      <c r="AE479" s="65"/>
      <c r="AF479" s="65"/>
      <c r="AG479" s="65"/>
      <c r="AH479" s="65"/>
      <c r="AI479" s="65"/>
      <c r="AJ479" s="65"/>
      <c r="AK479" s="65"/>
      <c r="AL479" s="65"/>
      <c r="AM479" s="65"/>
      <c r="AN479" s="65"/>
      <c r="AO479" s="65"/>
      <c r="AP479" s="65"/>
      <c r="AQ479" s="65"/>
      <c r="AR479" s="65"/>
      <c r="AS479" s="65"/>
      <c r="AT479" s="65"/>
      <c r="AU479" s="65"/>
      <c r="AV479" s="65"/>
      <c r="AW479" s="65"/>
      <c r="AX479" s="65"/>
      <c r="AY479" s="65"/>
      <c r="AZ479" s="65"/>
      <c r="BA479" s="65"/>
    </row>
    <row r="480" spans="1:53">
      <c r="A480" s="65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/>
      <c r="T480" s="65"/>
      <c r="U480" s="65"/>
      <c r="V480" s="65"/>
      <c r="W480" s="65"/>
      <c r="X480" s="65"/>
      <c r="Y480" s="65"/>
      <c r="Z480" s="65"/>
      <c r="AA480" s="65"/>
      <c r="AB480" s="65"/>
      <c r="AC480" s="65"/>
      <c r="AD480" s="65"/>
      <c r="AE480" s="65"/>
      <c r="AF480" s="65"/>
      <c r="AG480" s="65"/>
      <c r="AH480" s="65"/>
      <c r="AI480" s="65"/>
      <c r="AJ480" s="65"/>
      <c r="AK480" s="65"/>
      <c r="AL480" s="65"/>
      <c r="AM480" s="65"/>
      <c r="AN480" s="65"/>
      <c r="AO480" s="65"/>
      <c r="AP480" s="65"/>
      <c r="AQ480" s="65"/>
      <c r="AR480" s="65"/>
      <c r="AS480" s="65"/>
      <c r="AT480" s="65"/>
      <c r="AU480" s="65"/>
      <c r="AV480" s="65"/>
      <c r="AW480" s="65"/>
      <c r="AX480" s="65"/>
      <c r="AY480" s="65"/>
      <c r="AZ480" s="65"/>
      <c r="BA480" s="65"/>
    </row>
    <row r="481" spans="1:53">
      <c r="A481" s="65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/>
      <c r="Z481" s="65"/>
      <c r="AA481" s="65"/>
      <c r="AB481" s="65"/>
      <c r="AC481" s="65"/>
      <c r="AD481" s="65"/>
      <c r="AE481" s="65"/>
      <c r="AF481" s="65"/>
      <c r="AG481" s="65"/>
      <c r="AH481" s="65"/>
      <c r="AI481" s="65"/>
      <c r="AJ481" s="65"/>
      <c r="AK481" s="65"/>
      <c r="AL481" s="65"/>
      <c r="AM481" s="65"/>
      <c r="AN481" s="65"/>
      <c r="AO481" s="65"/>
      <c r="AP481" s="65"/>
      <c r="AQ481" s="65"/>
      <c r="AR481" s="65"/>
      <c r="AS481" s="65"/>
      <c r="AT481" s="65"/>
      <c r="AU481" s="65"/>
      <c r="AV481" s="65"/>
      <c r="AW481" s="65"/>
      <c r="AX481" s="65"/>
      <c r="AY481" s="65"/>
      <c r="AZ481" s="65"/>
      <c r="BA481" s="65"/>
    </row>
    <row r="482" spans="1:53">
      <c r="A482" s="65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/>
      <c r="Z482" s="65"/>
      <c r="AA482" s="65"/>
      <c r="AB482" s="65"/>
      <c r="AC482" s="65"/>
      <c r="AD482" s="65"/>
      <c r="AE482" s="65"/>
      <c r="AF482" s="65"/>
      <c r="AG482" s="65"/>
      <c r="AH482" s="65"/>
      <c r="AI482" s="65"/>
      <c r="AJ482" s="65"/>
      <c r="AK482" s="65"/>
      <c r="AL482" s="65"/>
      <c r="AM482" s="65"/>
      <c r="AN482" s="65"/>
      <c r="AO482" s="65"/>
      <c r="AP482" s="65"/>
      <c r="AQ482" s="65"/>
      <c r="AR482" s="65"/>
      <c r="AS482" s="65"/>
      <c r="AT482" s="65"/>
      <c r="AU482" s="65"/>
      <c r="AV482" s="65"/>
      <c r="AW482" s="65"/>
      <c r="AX482" s="65"/>
      <c r="AY482" s="65"/>
      <c r="AZ482" s="65"/>
      <c r="BA482" s="65"/>
    </row>
    <row r="483" spans="1:53">
      <c r="A483" s="65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T483" s="65"/>
      <c r="U483" s="65"/>
      <c r="V483" s="65"/>
      <c r="W483" s="65"/>
      <c r="X483" s="65"/>
      <c r="Y483" s="65"/>
      <c r="Z483" s="65"/>
      <c r="AA483" s="65"/>
      <c r="AB483" s="65"/>
      <c r="AC483" s="65"/>
      <c r="AD483" s="65"/>
      <c r="AE483" s="65"/>
      <c r="AF483" s="65"/>
      <c r="AG483" s="65"/>
      <c r="AH483" s="65"/>
      <c r="AI483" s="65"/>
      <c r="AJ483" s="65"/>
      <c r="AK483" s="65"/>
      <c r="AL483" s="65"/>
      <c r="AM483" s="65"/>
      <c r="AN483" s="65"/>
      <c r="AO483" s="65"/>
      <c r="AP483" s="65"/>
      <c r="AQ483" s="65"/>
      <c r="AR483" s="65"/>
      <c r="AS483" s="65"/>
      <c r="AT483" s="65"/>
      <c r="AU483" s="65"/>
      <c r="AV483" s="65"/>
      <c r="AW483" s="65"/>
      <c r="AX483" s="65"/>
      <c r="AY483" s="65"/>
      <c r="AZ483" s="65"/>
      <c r="BA483" s="65"/>
    </row>
    <row r="484" spans="1:53">
      <c r="A484" s="65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65"/>
      <c r="AA484" s="65"/>
      <c r="AB484" s="65"/>
      <c r="AC484" s="65"/>
      <c r="AD484" s="65"/>
      <c r="AE484" s="65"/>
      <c r="AF484" s="65"/>
      <c r="AG484" s="65"/>
      <c r="AH484" s="65"/>
      <c r="AI484" s="65"/>
      <c r="AJ484" s="65"/>
      <c r="AK484" s="65"/>
      <c r="AL484" s="65"/>
      <c r="AM484" s="65"/>
      <c r="AN484" s="65"/>
      <c r="AO484" s="65"/>
      <c r="AP484" s="65"/>
      <c r="AQ484" s="65"/>
      <c r="AR484" s="65"/>
      <c r="AS484" s="65"/>
      <c r="AT484" s="65"/>
      <c r="AU484" s="65"/>
      <c r="AV484" s="65"/>
      <c r="AW484" s="65"/>
      <c r="AX484" s="65"/>
      <c r="AY484" s="65"/>
      <c r="AZ484" s="65"/>
      <c r="BA484" s="65"/>
    </row>
    <row r="485" spans="1:53">
      <c r="A485" s="65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/>
      <c r="Z485" s="65"/>
      <c r="AA485" s="65"/>
      <c r="AB485" s="65"/>
      <c r="AC485" s="65"/>
      <c r="AD485" s="65"/>
      <c r="AE485" s="65"/>
      <c r="AF485" s="65"/>
      <c r="AG485" s="65"/>
      <c r="AH485" s="65"/>
      <c r="AI485" s="65"/>
      <c r="AJ485" s="65"/>
      <c r="AK485" s="65"/>
      <c r="AL485" s="65"/>
      <c r="AM485" s="65"/>
      <c r="AN485" s="65"/>
      <c r="AO485" s="65"/>
      <c r="AP485" s="65"/>
      <c r="AQ485" s="65"/>
      <c r="AR485" s="65"/>
      <c r="AS485" s="65"/>
      <c r="AT485" s="65"/>
      <c r="AU485" s="65"/>
      <c r="AV485" s="65"/>
      <c r="AW485" s="65"/>
      <c r="AX485" s="65"/>
      <c r="AY485" s="65"/>
      <c r="AZ485" s="65"/>
      <c r="BA485" s="65"/>
    </row>
    <row r="486" spans="1:53">
      <c r="A486" s="65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T486" s="65"/>
      <c r="U486" s="65"/>
      <c r="V486" s="65"/>
      <c r="W486" s="65"/>
      <c r="X486" s="65"/>
      <c r="Y486" s="65"/>
      <c r="Z486" s="65"/>
      <c r="AA486" s="65"/>
      <c r="AB486" s="65"/>
      <c r="AC486" s="65"/>
      <c r="AD486" s="65"/>
      <c r="AE486" s="65"/>
      <c r="AF486" s="65"/>
      <c r="AG486" s="65"/>
      <c r="AH486" s="65"/>
      <c r="AI486" s="65"/>
      <c r="AJ486" s="65"/>
      <c r="AK486" s="65"/>
      <c r="AL486" s="65"/>
      <c r="AM486" s="65"/>
      <c r="AN486" s="65"/>
      <c r="AO486" s="65"/>
      <c r="AP486" s="65"/>
      <c r="AQ486" s="65"/>
      <c r="AR486" s="65"/>
      <c r="AS486" s="65"/>
      <c r="AT486" s="65"/>
      <c r="AU486" s="65"/>
      <c r="AV486" s="65"/>
      <c r="AW486" s="65"/>
      <c r="AX486" s="65"/>
      <c r="AY486" s="65"/>
      <c r="AZ486" s="65"/>
      <c r="BA486" s="65"/>
    </row>
    <row r="487" spans="1:53">
      <c r="A487" s="65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T487" s="65"/>
      <c r="U487" s="65"/>
      <c r="V487" s="65"/>
      <c r="W487" s="65"/>
      <c r="X487" s="65"/>
      <c r="Y487" s="65"/>
      <c r="Z487" s="65"/>
      <c r="AA487" s="65"/>
      <c r="AB487" s="65"/>
      <c r="AC487" s="65"/>
      <c r="AD487" s="65"/>
      <c r="AE487" s="65"/>
      <c r="AF487" s="65"/>
      <c r="AG487" s="65"/>
      <c r="AH487" s="65"/>
      <c r="AI487" s="65"/>
      <c r="AJ487" s="65"/>
      <c r="AK487" s="65"/>
      <c r="AL487" s="65"/>
      <c r="AM487" s="65"/>
      <c r="AN487" s="65"/>
      <c r="AO487" s="65"/>
      <c r="AP487" s="65"/>
      <c r="AQ487" s="65"/>
      <c r="AR487" s="65"/>
      <c r="AS487" s="65"/>
      <c r="AT487" s="65"/>
      <c r="AU487" s="65"/>
      <c r="AV487" s="65"/>
      <c r="AW487" s="65"/>
      <c r="AX487" s="65"/>
      <c r="AY487" s="65"/>
      <c r="AZ487" s="65"/>
      <c r="BA487" s="65"/>
    </row>
    <row r="488" spans="1:53">
      <c r="A488" s="65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T488" s="65"/>
      <c r="U488" s="65"/>
      <c r="V488" s="65"/>
      <c r="W488" s="65"/>
      <c r="X488" s="65"/>
      <c r="Y488" s="65"/>
      <c r="Z488" s="65"/>
      <c r="AA488" s="65"/>
      <c r="AB488" s="65"/>
      <c r="AC488" s="65"/>
      <c r="AD488" s="65"/>
      <c r="AE488" s="65"/>
      <c r="AF488" s="65"/>
      <c r="AG488" s="65"/>
      <c r="AH488" s="65"/>
      <c r="AI488" s="65"/>
      <c r="AJ488" s="65"/>
      <c r="AK488" s="65"/>
      <c r="AL488" s="65"/>
      <c r="AM488" s="65"/>
      <c r="AN488" s="65"/>
      <c r="AO488" s="65"/>
      <c r="AP488" s="65"/>
      <c r="AQ488" s="65"/>
      <c r="AR488" s="65"/>
      <c r="AS488" s="65"/>
      <c r="AT488" s="65"/>
      <c r="AU488" s="65"/>
      <c r="AV488" s="65"/>
      <c r="AW488" s="65"/>
      <c r="AX488" s="65"/>
      <c r="AY488" s="65"/>
      <c r="AZ488" s="65"/>
      <c r="BA488" s="65"/>
    </row>
    <row r="489" spans="1:53">
      <c r="A489" s="65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T489" s="65"/>
      <c r="U489" s="65"/>
      <c r="V489" s="65"/>
      <c r="W489" s="65"/>
      <c r="X489" s="65"/>
      <c r="Y489" s="65"/>
      <c r="Z489" s="65"/>
      <c r="AA489" s="65"/>
      <c r="AB489" s="65"/>
      <c r="AC489" s="65"/>
      <c r="AD489" s="65"/>
      <c r="AE489" s="65"/>
      <c r="AF489" s="65"/>
      <c r="AG489" s="65"/>
      <c r="AH489" s="65"/>
      <c r="AI489" s="65"/>
      <c r="AJ489" s="65"/>
      <c r="AK489" s="65"/>
      <c r="AL489" s="65"/>
      <c r="AM489" s="65"/>
      <c r="AN489" s="65"/>
      <c r="AO489" s="65"/>
      <c r="AP489" s="65"/>
      <c r="AQ489" s="65"/>
      <c r="AR489" s="65"/>
      <c r="AS489" s="65"/>
      <c r="AT489" s="65"/>
      <c r="AU489" s="65"/>
      <c r="AV489" s="65"/>
      <c r="AW489" s="65"/>
      <c r="AX489" s="65"/>
      <c r="AY489" s="65"/>
      <c r="AZ489" s="65"/>
      <c r="BA489" s="65"/>
    </row>
    <row r="490" spans="1:53">
      <c r="A490" s="65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  <c r="AA490" s="65"/>
      <c r="AB490" s="65"/>
      <c r="AC490" s="65"/>
      <c r="AD490" s="65"/>
      <c r="AE490" s="65"/>
      <c r="AF490" s="65"/>
      <c r="AG490" s="65"/>
      <c r="AH490" s="65"/>
      <c r="AI490" s="65"/>
      <c r="AJ490" s="65"/>
      <c r="AK490" s="65"/>
      <c r="AL490" s="65"/>
      <c r="AM490" s="65"/>
      <c r="AN490" s="65"/>
      <c r="AO490" s="65"/>
      <c r="AP490" s="65"/>
      <c r="AQ490" s="65"/>
      <c r="AR490" s="65"/>
      <c r="AS490" s="65"/>
      <c r="AT490" s="65"/>
      <c r="AU490" s="65"/>
      <c r="AV490" s="65"/>
      <c r="AW490" s="65"/>
      <c r="AX490" s="65"/>
      <c r="AY490" s="65"/>
      <c r="AZ490" s="65"/>
      <c r="BA490" s="65"/>
    </row>
    <row r="491" spans="1:53">
      <c r="A491" s="65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/>
      <c r="Z491" s="65"/>
      <c r="AA491" s="65"/>
      <c r="AB491" s="65"/>
      <c r="AC491" s="65"/>
      <c r="AD491" s="65"/>
      <c r="AE491" s="65"/>
      <c r="AF491" s="65"/>
      <c r="AG491" s="65"/>
      <c r="AH491" s="65"/>
      <c r="AI491" s="65"/>
      <c r="AJ491" s="65"/>
      <c r="AK491" s="65"/>
      <c r="AL491" s="65"/>
      <c r="AM491" s="65"/>
      <c r="AN491" s="65"/>
      <c r="AO491" s="65"/>
      <c r="AP491" s="65"/>
      <c r="AQ491" s="65"/>
      <c r="AR491" s="65"/>
      <c r="AS491" s="65"/>
      <c r="AT491" s="65"/>
      <c r="AU491" s="65"/>
      <c r="AV491" s="65"/>
      <c r="AW491" s="65"/>
      <c r="AX491" s="65"/>
      <c r="AY491" s="65"/>
      <c r="AZ491" s="65"/>
      <c r="BA491" s="65"/>
    </row>
    <row r="492" spans="1:53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  <c r="AA492" s="65"/>
      <c r="AB492" s="65"/>
      <c r="AC492" s="65"/>
      <c r="AD492" s="65"/>
      <c r="AE492" s="65"/>
      <c r="AF492" s="65"/>
      <c r="AG492" s="65"/>
      <c r="AH492" s="65"/>
      <c r="AI492" s="65"/>
      <c r="AJ492" s="65"/>
      <c r="AK492" s="65"/>
      <c r="AL492" s="65"/>
      <c r="AM492" s="65"/>
      <c r="AN492" s="65"/>
      <c r="AO492" s="65"/>
      <c r="AP492" s="65"/>
      <c r="AQ492" s="65"/>
      <c r="AR492" s="65"/>
      <c r="AS492" s="65"/>
      <c r="AT492" s="65"/>
      <c r="AU492" s="65"/>
      <c r="AV492" s="65"/>
      <c r="AW492" s="65"/>
      <c r="AX492" s="65"/>
      <c r="AY492" s="65"/>
      <c r="AZ492" s="65"/>
      <c r="BA492" s="65"/>
    </row>
    <row r="493" spans="1:53">
      <c r="A493" s="65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  <c r="Z493" s="65"/>
      <c r="AA493" s="65"/>
      <c r="AB493" s="65"/>
      <c r="AC493" s="65"/>
      <c r="AD493" s="65"/>
      <c r="AE493" s="65"/>
      <c r="AF493" s="65"/>
      <c r="AG493" s="65"/>
      <c r="AH493" s="65"/>
      <c r="AI493" s="65"/>
      <c r="AJ493" s="65"/>
      <c r="AK493" s="65"/>
      <c r="AL493" s="65"/>
      <c r="AM493" s="65"/>
      <c r="AN493" s="65"/>
      <c r="AO493" s="65"/>
      <c r="AP493" s="65"/>
      <c r="AQ493" s="65"/>
      <c r="AR493" s="65"/>
      <c r="AS493" s="65"/>
      <c r="AT493" s="65"/>
      <c r="AU493" s="65"/>
      <c r="AV493" s="65"/>
      <c r="AW493" s="65"/>
      <c r="AX493" s="65"/>
      <c r="AY493" s="65"/>
      <c r="AZ493" s="65"/>
      <c r="BA493" s="65"/>
    </row>
    <row r="494" spans="1:53">
      <c r="A494" s="65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T494" s="65"/>
      <c r="U494" s="65"/>
      <c r="V494" s="65"/>
      <c r="W494" s="65"/>
      <c r="X494" s="65"/>
      <c r="Y494" s="65"/>
      <c r="Z494" s="65"/>
      <c r="AA494" s="65"/>
      <c r="AB494" s="65"/>
      <c r="AC494" s="65"/>
      <c r="AD494" s="65"/>
      <c r="AE494" s="65"/>
      <c r="AF494" s="65"/>
      <c r="AG494" s="65"/>
      <c r="AH494" s="65"/>
      <c r="AI494" s="65"/>
      <c r="AJ494" s="65"/>
      <c r="AK494" s="65"/>
      <c r="AL494" s="65"/>
      <c r="AM494" s="65"/>
      <c r="AN494" s="65"/>
      <c r="AO494" s="65"/>
      <c r="AP494" s="65"/>
      <c r="AQ494" s="65"/>
      <c r="AR494" s="65"/>
      <c r="AS494" s="65"/>
      <c r="AT494" s="65"/>
      <c r="AU494" s="65"/>
      <c r="AV494" s="65"/>
      <c r="AW494" s="65"/>
      <c r="AX494" s="65"/>
      <c r="AY494" s="65"/>
      <c r="AZ494" s="65"/>
      <c r="BA494" s="65"/>
    </row>
    <row r="495" spans="1:53">
      <c r="A495" s="65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T495" s="65"/>
      <c r="U495" s="65"/>
      <c r="V495" s="65"/>
      <c r="W495" s="65"/>
      <c r="X495" s="65"/>
      <c r="Y495" s="65"/>
      <c r="Z495" s="65"/>
      <c r="AA495" s="65"/>
      <c r="AB495" s="65"/>
      <c r="AC495" s="65"/>
      <c r="AD495" s="65"/>
      <c r="AE495" s="65"/>
      <c r="AF495" s="65"/>
      <c r="AG495" s="65"/>
      <c r="AH495" s="65"/>
      <c r="AI495" s="65"/>
      <c r="AJ495" s="65"/>
      <c r="AK495" s="65"/>
      <c r="AL495" s="65"/>
      <c r="AM495" s="65"/>
      <c r="AN495" s="65"/>
      <c r="AO495" s="65"/>
      <c r="AP495" s="65"/>
      <c r="AQ495" s="65"/>
      <c r="AR495" s="65"/>
      <c r="AS495" s="65"/>
      <c r="AT495" s="65"/>
      <c r="AU495" s="65"/>
      <c r="AV495" s="65"/>
      <c r="AW495" s="65"/>
      <c r="AX495" s="65"/>
      <c r="AY495" s="65"/>
      <c r="AZ495" s="65"/>
      <c r="BA495" s="65"/>
    </row>
    <row r="496" spans="1:53">
      <c r="A496" s="65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T496" s="65"/>
      <c r="U496" s="65"/>
      <c r="V496" s="65"/>
      <c r="W496" s="65"/>
      <c r="X496" s="65"/>
      <c r="Y496" s="65"/>
      <c r="Z496" s="65"/>
      <c r="AA496" s="65"/>
      <c r="AB496" s="65"/>
      <c r="AC496" s="65"/>
      <c r="AD496" s="65"/>
      <c r="AE496" s="65"/>
      <c r="AF496" s="65"/>
      <c r="AG496" s="65"/>
      <c r="AH496" s="65"/>
      <c r="AI496" s="65"/>
      <c r="AJ496" s="65"/>
      <c r="AK496" s="65"/>
      <c r="AL496" s="65"/>
      <c r="AM496" s="65"/>
      <c r="AN496" s="65"/>
      <c r="AO496" s="65"/>
      <c r="AP496" s="65"/>
      <c r="AQ496" s="65"/>
      <c r="AR496" s="65"/>
      <c r="AS496" s="65"/>
      <c r="AT496" s="65"/>
      <c r="AU496" s="65"/>
      <c r="AV496" s="65"/>
      <c r="AW496" s="65"/>
      <c r="AX496" s="65"/>
      <c r="AY496" s="65"/>
      <c r="AZ496" s="65"/>
      <c r="BA496" s="65"/>
    </row>
    <row r="497" spans="1:53">
      <c r="A497" s="65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5"/>
      <c r="Q497" s="65"/>
      <c r="R497" s="65"/>
      <c r="S497" s="65"/>
      <c r="T497" s="65"/>
      <c r="U497" s="65"/>
      <c r="V497" s="65"/>
      <c r="W497" s="65"/>
      <c r="X497" s="65"/>
      <c r="Y497" s="65"/>
      <c r="Z497" s="65"/>
      <c r="AA497" s="65"/>
      <c r="AB497" s="65"/>
      <c r="AC497" s="65"/>
      <c r="AD497" s="65"/>
      <c r="AE497" s="65"/>
      <c r="AF497" s="65"/>
      <c r="AG497" s="65"/>
      <c r="AH497" s="65"/>
      <c r="AI497" s="65"/>
      <c r="AJ497" s="65"/>
      <c r="AK497" s="65"/>
      <c r="AL497" s="65"/>
      <c r="AM497" s="65"/>
      <c r="AN497" s="65"/>
      <c r="AO497" s="65"/>
      <c r="AP497" s="65"/>
      <c r="AQ497" s="65"/>
      <c r="AR497" s="65"/>
      <c r="AS497" s="65"/>
      <c r="AT497" s="65"/>
      <c r="AU497" s="65"/>
      <c r="AV497" s="65"/>
      <c r="AW497" s="65"/>
      <c r="AX497" s="65"/>
      <c r="AY497" s="65"/>
      <c r="AZ497" s="65"/>
      <c r="BA497" s="65"/>
    </row>
    <row r="498" spans="1:53">
      <c r="A498" s="65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O498" s="65"/>
      <c r="P498" s="65"/>
      <c r="Q498" s="65"/>
      <c r="R498" s="65"/>
      <c r="S498" s="65"/>
      <c r="T498" s="65"/>
      <c r="U498" s="65"/>
      <c r="V498" s="65"/>
      <c r="W498" s="65"/>
      <c r="X498" s="65"/>
      <c r="Y498" s="65"/>
      <c r="Z498" s="65"/>
      <c r="AA498" s="65"/>
      <c r="AB498" s="65"/>
      <c r="AC498" s="65"/>
      <c r="AD498" s="65"/>
      <c r="AE498" s="65"/>
      <c r="AF498" s="65"/>
      <c r="AG498" s="65"/>
      <c r="AH498" s="65"/>
      <c r="AI498" s="65"/>
      <c r="AJ498" s="65"/>
      <c r="AK498" s="65"/>
      <c r="AL498" s="65"/>
      <c r="AM498" s="65"/>
      <c r="AN498" s="65"/>
      <c r="AO498" s="65"/>
      <c r="AP498" s="65"/>
      <c r="AQ498" s="65"/>
      <c r="AR498" s="65"/>
      <c r="AS498" s="65"/>
      <c r="AT498" s="65"/>
      <c r="AU498" s="65"/>
      <c r="AV498" s="65"/>
      <c r="AW498" s="65"/>
      <c r="AX498" s="65"/>
      <c r="AY498" s="65"/>
      <c r="AZ498" s="65"/>
      <c r="BA498" s="65"/>
    </row>
    <row r="499" spans="1:53">
      <c r="A499" s="65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5"/>
      <c r="S499" s="65"/>
      <c r="T499" s="65"/>
      <c r="U499" s="65"/>
      <c r="V499" s="65"/>
      <c r="W499" s="65"/>
      <c r="X499" s="65"/>
      <c r="Y499" s="65"/>
      <c r="Z499" s="65"/>
      <c r="AA499" s="65"/>
      <c r="AB499" s="65"/>
      <c r="AC499" s="65"/>
      <c r="AD499" s="65"/>
      <c r="AE499" s="65"/>
      <c r="AF499" s="65"/>
      <c r="AG499" s="65"/>
      <c r="AH499" s="65"/>
      <c r="AI499" s="65"/>
      <c r="AJ499" s="65"/>
      <c r="AK499" s="65"/>
      <c r="AL499" s="65"/>
      <c r="AM499" s="65"/>
      <c r="AN499" s="65"/>
      <c r="AO499" s="65"/>
      <c r="AP499" s="65"/>
      <c r="AQ499" s="65"/>
      <c r="AR499" s="65"/>
      <c r="AS499" s="65"/>
      <c r="AT499" s="65"/>
      <c r="AU499" s="65"/>
      <c r="AV499" s="65"/>
      <c r="AW499" s="65"/>
      <c r="AX499" s="65"/>
      <c r="AY499" s="65"/>
      <c r="AZ499" s="65"/>
      <c r="BA499" s="65"/>
    </row>
    <row r="500" spans="1:53">
      <c r="A500" s="65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O500" s="65"/>
      <c r="P500" s="65"/>
      <c r="Q500" s="65"/>
      <c r="R500" s="65"/>
      <c r="S500" s="65"/>
      <c r="T500" s="65"/>
      <c r="U500" s="65"/>
      <c r="V500" s="65"/>
      <c r="W500" s="65"/>
      <c r="X500" s="65"/>
      <c r="Y500" s="65"/>
      <c r="Z500" s="65"/>
      <c r="AA500" s="65"/>
      <c r="AB500" s="65"/>
      <c r="AC500" s="65"/>
      <c r="AD500" s="65"/>
      <c r="AE500" s="65"/>
      <c r="AF500" s="65"/>
      <c r="AG500" s="65"/>
      <c r="AH500" s="65"/>
      <c r="AI500" s="65"/>
      <c r="AJ500" s="65"/>
      <c r="AK500" s="65"/>
      <c r="AL500" s="65"/>
      <c r="AM500" s="65"/>
      <c r="AN500" s="65"/>
      <c r="AO500" s="65"/>
      <c r="AP500" s="65"/>
      <c r="AQ500" s="65"/>
      <c r="AR500" s="65"/>
      <c r="AS500" s="65"/>
      <c r="AT500" s="65"/>
      <c r="AU500" s="65"/>
      <c r="AV500" s="65"/>
      <c r="AW500" s="65"/>
      <c r="AX500" s="65"/>
      <c r="AY500" s="65"/>
      <c r="AZ500" s="65"/>
      <c r="BA500" s="65"/>
    </row>
    <row r="501" spans="1:53">
      <c r="A501" s="65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5"/>
      <c r="S501" s="65"/>
      <c r="T501" s="65"/>
      <c r="U501" s="65"/>
      <c r="V501" s="65"/>
      <c r="W501" s="65"/>
      <c r="X501" s="65"/>
      <c r="Y501" s="65"/>
      <c r="Z501" s="65"/>
      <c r="AA501" s="65"/>
      <c r="AB501" s="65"/>
      <c r="AC501" s="65"/>
      <c r="AD501" s="65"/>
      <c r="AE501" s="65"/>
      <c r="AF501" s="65"/>
      <c r="AG501" s="65"/>
      <c r="AH501" s="65"/>
      <c r="AI501" s="65"/>
      <c r="AJ501" s="65"/>
      <c r="AK501" s="65"/>
      <c r="AL501" s="65"/>
      <c r="AM501" s="65"/>
      <c r="AN501" s="65"/>
      <c r="AO501" s="65"/>
      <c r="AP501" s="65"/>
      <c r="AQ501" s="65"/>
      <c r="AR501" s="65"/>
      <c r="AS501" s="65"/>
      <c r="AT501" s="65"/>
      <c r="AU501" s="65"/>
      <c r="AV501" s="65"/>
      <c r="AW501" s="65"/>
      <c r="AX501" s="65"/>
      <c r="AY501" s="65"/>
      <c r="AZ501" s="65"/>
      <c r="BA501" s="65"/>
    </row>
    <row r="502" spans="1:53">
      <c r="A502" s="65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O502" s="65"/>
      <c r="P502" s="65"/>
      <c r="Q502" s="65"/>
      <c r="R502" s="65"/>
      <c r="S502" s="65"/>
      <c r="T502" s="65"/>
      <c r="U502" s="65"/>
      <c r="V502" s="65"/>
      <c r="W502" s="65"/>
      <c r="X502" s="65"/>
      <c r="Y502" s="65"/>
      <c r="Z502" s="65"/>
      <c r="AA502" s="65"/>
      <c r="AB502" s="65"/>
      <c r="AC502" s="65"/>
      <c r="AD502" s="65"/>
      <c r="AE502" s="65"/>
      <c r="AF502" s="65"/>
      <c r="AG502" s="65"/>
      <c r="AH502" s="65"/>
      <c r="AI502" s="65"/>
      <c r="AJ502" s="65"/>
      <c r="AK502" s="65"/>
      <c r="AL502" s="65"/>
      <c r="AM502" s="65"/>
      <c r="AN502" s="65"/>
      <c r="AO502" s="65"/>
      <c r="AP502" s="65"/>
      <c r="AQ502" s="65"/>
      <c r="AR502" s="65"/>
      <c r="AS502" s="65"/>
      <c r="AT502" s="65"/>
      <c r="AU502" s="65"/>
      <c r="AV502" s="65"/>
      <c r="AW502" s="65"/>
      <c r="AX502" s="65"/>
      <c r="AY502" s="65"/>
      <c r="AZ502" s="65"/>
      <c r="BA502" s="65"/>
    </row>
    <row r="503" spans="1:53">
      <c r="A503" s="65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5"/>
      <c r="S503" s="65"/>
      <c r="T503" s="65"/>
      <c r="U503" s="65"/>
      <c r="V503" s="65"/>
      <c r="W503" s="65"/>
      <c r="X503" s="65"/>
      <c r="Y503" s="65"/>
      <c r="Z503" s="65"/>
      <c r="AA503" s="65"/>
      <c r="AB503" s="65"/>
      <c r="AC503" s="65"/>
      <c r="AD503" s="65"/>
      <c r="AE503" s="65"/>
      <c r="AF503" s="65"/>
      <c r="AG503" s="65"/>
      <c r="AH503" s="65"/>
      <c r="AI503" s="65"/>
      <c r="AJ503" s="65"/>
      <c r="AK503" s="65"/>
      <c r="AL503" s="65"/>
      <c r="AM503" s="65"/>
      <c r="AN503" s="65"/>
      <c r="AO503" s="65"/>
      <c r="AP503" s="65"/>
      <c r="AQ503" s="65"/>
      <c r="AR503" s="65"/>
      <c r="AS503" s="65"/>
      <c r="AT503" s="65"/>
      <c r="AU503" s="65"/>
      <c r="AV503" s="65"/>
      <c r="AW503" s="65"/>
      <c r="AX503" s="65"/>
      <c r="AY503" s="65"/>
      <c r="AZ503" s="65"/>
      <c r="BA503" s="65"/>
    </row>
    <row r="504" spans="1:53">
      <c r="A504" s="65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O504" s="65"/>
      <c r="P504" s="65"/>
      <c r="Q504" s="65"/>
      <c r="R504" s="65"/>
      <c r="S504" s="65"/>
      <c r="T504" s="65"/>
      <c r="U504" s="65"/>
      <c r="V504" s="65"/>
      <c r="W504" s="65"/>
      <c r="X504" s="65"/>
      <c r="Y504" s="65"/>
      <c r="Z504" s="65"/>
      <c r="AA504" s="65"/>
      <c r="AB504" s="65"/>
      <c r="AC504" s="65"/>
      <c r="AD504" s="65"/>
      <c r="AE504" s="65"/>
      <c r="AF504" s="65"/>
      <c r="AG504" s="65"/>
      <c r="AH504" s="65"/>
      <c r="AI504" s="65"/>
      <c r="AJ504" s="65"/>
      <c r="AK504" s="65"/>
      <c r="AL504" s="65"/>
      <c r="AM504" s="65"/>
      <c r="AN504" s="65"/>
      <c r="AO504" s="65"/>
      <c r="AP504" s="65"/>
      <c r="AQ504" s="65"/>
      <c r="AR504" s="65"/>
      <c r="AS504" s="65"/>
      <c r="AT504" s="65"/>
      <c r="AU504" s="65"/>
      <c r="AV504" s="65"/>
      <c r="AW504" s="65"/>
      <c r="AX504" s="65"/>
      <c r="AY504" s="65"/>
      <c r="AZ504" s="65"/>
      <c r="BA504" s="65"/>
    </row>
    <row r="505" spans="1:53">
      <c r="A505" s="65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5"/>
      <c r="Q505" s="65"/>
      <c r="R505" s="65"/>
      <c r="S505" s="65"/>
      <c r="T505" s="65"/>
      <c r="U505" s="65"/>
      <c r="V505" s="65"/>
      <c r="W505" s="65"/>
      <c r="X505" s="65"/>
      <c r="Y505" s="65"/>
      <c r="Z505" s="65"/>
      <c r="AA505" s="65"/>
      <c r="AB505" s="65"/>
      <c r="AC505" s="65"/>
      <c r="AD505" s="65"/>
      <c r="AE505" s="65"/>
      <c r="AF505" s="65"/>
      <c r="AG505" s="65"/>
      <c r="AH505" s="65"/>
      <c r="AI505" s="65"/>
      <c r="AJ505" s="65"/>
      <c r="AK505" s="65"/>
      <c r="AL505" s="65"/>
      <c r="AM505" s="65"/>
      <c r="AN505" s="65"/>
      <c r="AO505" s="65"/>
      <c r="AP505" s="65"/>
      <c r="AQ505" s="65"/>
      <c r="AR505" s="65"/>
      <c r="AS505" s="65"/>
      <c r="AT505" s="65"/>
      <c r="AU505" s="65"/>
      <c r="AV505" s="65"/>
      <c r="AW505" s="65"/>
      <c r="AX505" s="65"/>
      <c r="AY505" s="65"/>
      <c r="AZ505" s="65"/>
      <c r="BA505" s="65"/>
    </row>
    <row r="506" spans="1:53">
      <c r="A506" s="65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O506" s="65"/>
      <c r="P506" s="65"/>
      <c r="Q506" s="65"/>
      <c r="R506" s="65"/>
      <c r="S506" s="65"/>
      <c r="T506" s="65"/>
      <c r="U506" s="65"/>
      <c r="V506" s="65"/>
      <c r="W506" s="65"/>
      <c r="X506" s="65"/>
      <c r="Y506" s="65"/>
      <c r="Z506" s="65"/>
      <c r="AA506" s="65"/>
      <c r="AB506" s="65"/>
      <c r="AC506" s="65"/>
      <c r="AD506" s="65"/>
      <c r="AE506" s="65"/>
      <c r="AF506" s="65"/>
      <c r="AG506" s="65"/>
      <c r="AH506" s="65"/>
      <c r="AI506" s="65"/>
      <c r="AJ506" s="65"/>
      <c r="AK506" s="65"/>
      <c r="AL506" s="65"/>
      <c r="AM506" s="65"/>
      <c r="AN506" s="65"/>
      <c r="AO506" s="65"/>
      <c r="AP506" s="65"/>
      <c r="AQ506" s="65"/>
      <c r="AR506" s="65"/>
      <c r="AS506" s="65"/>
      <c r="AT506" s="65"/>
      <c r="AU506" s="65"/>
      <c r="AV506" s="65"/>
      <c r="AW506" s="65"/>
      <c r="AX506" s="65"/>
      <c r="AY506" s="65"/>
      <c r="AZ506" s="65"/>
      <c r="BA506" s="65"/>
    </row>
    <row r="507" spans="1:53">
      <c r="A507" s="65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5"/>
      <c r="Q507" s="65"/>
      <c r="R507" s="65"/>
      <c r="S507" s="65"/>
      <c r="T507" s="65"/>
      <c r="U507" s="65"/>
      <c r="V507" s="65"/>
      <c r="W507" s="65"/>
      <c r="X507" s="65"/>
      <c r="Y507" s="65"/>
      <c r="Z507" s="65"/>
      <c r="AA507" s="65"/>
      <c r="AB507" s="65"/>
      <c r="AC507" s="65"/>
      <c r="AD507" s="65"/>
      <c r="AE507" s="65"/>
      <c r="AF507" s="65"/>
      <c r="AG507" s="65"/>
      <c r="AH507" s="65"/>
      <c r="AI507" s="65"/>
      <c r="AJ507" s="65"/>
      <c r="AK507" s="65"/>
      <c r="AL507" s="65"/>
      <c r="AM507" s="65"/>
      <c r="AN507" s="65"/>
      <c r="AO507" s="65"/>
      <c r="AP507" s="65"/>
      <c r="AQ507" s="65"/>
      <c r="AR507" s="65"/>
      <c r="AS507" s="65"/>
      <c r="AT507" s="65"/>
      <c r="AU507" s="65"/>
      <c r="AV507" s="65"/>
      <c r="AW507" s="65"/>
      <c r="AX507" s="65"/>
      <c r="AY507" s="65"/>
      <c r="AZ507" s="65"/>
      <c r="BA507" s="65"/>
    </row>
    <row r="508" spans="1:53">
      <c r="A508" s="65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T508" s="65"/>
      <c r="U508" s="65"/>
      <c r="V508" s="65"/>
      <c r="W508" s="65"/>
      <c r="X508" s="65"/>
      <c r="Y508" s="65"/>
      <c r="Z508" s="65"/>
      <c r="AA508" s="65"/>
      <c r="AB508" s="65"/>
      <c r="AC508" s="65"/>
      <c r="AD508" s="65"/>
      <c r="AE508" s="65"/>
      <c r="AF508" s="65"/>
      <c r="AG508" s="65"/>
      <c r="AH508" s="65"/>
      <c r="AI508" s="65"/>
      <c r="AJ508" s="65"/>
      <c r="AK508" s="65"/>
      <c r="AL508" s="65"/>
      <c r="AM508" s="65"/>
      <c r="AN508" s="65"/>
      <c r="AO508" s="65"/>
      <c r="AP508" s="65"/>
      <c r="AQ508" s="65"/>
      <c r="AR508" s="65"/>
      <c r="AS508" s="65"/>
      <c r="AT508" s="65"/>
      <c r="AU508" s="65"/>
      <c r="AV508" s="65"/>
      <c r="AW508" s="65"/>
      <c r="AX508" s="65"/>
      <c r="AY508" s="65"/>
      <c r="AZ508" s="65"/>
      <c r="BA508" s="65"/>
    </row>
    <row r="509" spans="1:53">
      <c r="A509" s="65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5"/>
      <c r="Q509" s="65"/>
      <c r="R509" s="65"/>
      <c r="S509" s="65"/>
      <c r="T509" s="65"/>
      <c r="U509" s="65"/>
      <c r="V509" s="65"/>
      <c r="W509" s="65"/>
      <c r="X509" s="65"/>
      <c r="Y509" s="65"/>
      <c r="Z509" s="65"/>
      <c r="AA509" s="65"/>
      <c r="AB509" s="65"/>
      <c r="AC509" s="65"/>
      <c r="AD509" s="65"/>
      <c r="AE509" s="65"/>
      <c r="AF509" s="65"/>
      <c r="AG509" s="65"/>
      <c r="AH509" s="65"/>
      <c r="AI509" s="65"/>
      <c r="AJ509" s="65"/>
      <c r="AK509" s="65"/>
      <c r="AL509" s="65"/>
      <c r="AM509" s="65"/>
      <c r="AN509" s="65"/>
      <c r="AO509" s="65"/>
      <c r="AP509" s="65"/>
      <c r="AQ509" s="65"/>
      <c r="AR509" s="65"/>
      <c r="AS509" s="65"/>
      <c r="AT509" s="65"/>
      <c r="AU509" s="65"/>
      <c r="AV509" s="65"/>
      <c r="AW509" s="65"/>
      <c r="AX509" s="65"/>
      <c r="AY509" s="65"/>
      <c r="AZ509" s="65"/>
      <c r="BA509" s="65"/>
    </row>
    <row r="510" spans="1:53">
      <c r="F510" s="65"/>
      <c r="G510" s="65"/>
      <c r="H510" s="65"/>
      <c r="I510" s="65"/>
      <c r="J510" s="65"/>
      <c r="K510" s="65"/>
      <c r="L510" s="65"/>
      <c r="M510" s="65"/>
      <c r="N510" s="65"/>
      <c r="O510" s="65"/>
      <c r="P510" s="65"/>
      <c r="Q510" s="65"/>
      <c r="R510" s="65"/>
      <c r="S510" s="65"/>
      <c r="T510" s="65"/>
      <c r="U510" s="65"/>
      <c r="V510" s="65"/>
      <c r="W510" s="65"/>
    </row>
  </sheetData>
  <mergeCells count="14">
    <mergeCell ref="A71:D71"/>
    <mergeCell ref="A30:F30"/>
    <mergeCell ref="G6:J6"/>
    <mergeCell ref="A1:C1"/>
    <mergeCell ref="A2:B2"/>
    <mergeCell ref="A3:B3"/>
    <mergeCell ref="A6:A7"/>
    <mergeCell ref="B6:C6"/>
    <mergeCell ref="D6:F6"/>
    <mergeCell ref="A5:J5"/>
    <mergeCell ref="A32:E32"/>
    <mergeCell ref="A33:A34"/>
    <mergeCell ref="B33:E33"/>
    <mergeCell ref="A67:D67"/>
  </mergeCells>
  <pageMargins left="0.25" right="0.25" top="0.75" bottom="0.75" header="0.3" footer="0.3"/>
  <pageSetup paperSize="3"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732FAF92C6BD43913D1B8554C5CA89" ma:contentTypeVersion="18" ma:contentTypeDescription="Create a new document." ma:contentTypeScope="" ma:versionID="765281045f871ba0e4adc21a69a77e40">
  <xsd:schema xmlns:xsd="http://www.w3.org/2001/XMLSchema" xmlns:xs="http://www.w3.org/2001/XMLSchema" xmlns:p="http://schemas.microsoft.com/office/2006/metadata/properties" xmlns:ns1="http://schemas.microsoft.com/sharepoint/v3" xmlns:ns2="f40aa4e5-11f0-47b3-bb66-a9479c39c64d" xmlns:ns3="44259822-5f70-4047-b4aa-84c0187a967b" targetNamespace="http://schemas.microsoft.com/office/2006/metadata/properties" ma:root="true" ma:fieldsID="b4c9b4399ca725b51fe4871b0f1b942c" ns1:_="" ns2:_="" ns3:_="">
    <xsd:import namespace="http://schemas.microsoft.com/sharepoint/v3"/>
    <xsd:import namespace="f40aa4e5-11f0-47b3-bb66-a9479c39c64d"/>
    <xsd:import namespace="44259822-5f70-4047-b4aa-84c0187a96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Processed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0aa4e5-11f0-47b3-bb66-a9479c39c6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rocessed" ma:index="22" nillable="true" ma:displayName="Processed" ma:default="0" ma:internalName="Processed">
      <xsd:simpleType>
        <xsd:restriction base="dms:Boolean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259822-5f70-4047-b4aa-84c0187a9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rocessed xmlns="f40aa4e5-11f0-47b3-bb66-a9479c39c64d">false</Processed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817512-FA70-4D5F-BBB6-4096C0CD3C79}"/>
</file>

<file path=customXml/itemProps2.xml><?xml version="1.0" encoding="utf-8"?>
<ds:datastoreItem xmlns:ds="http://schemas.openxmlformats.org/officeDocument/2006/customXml" ds:itemID="{8C31E25B-4624-40D0-87C9-9E97A794F0E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8f60d0e-772c-46fc-9a8a-069d9cba11f4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82908EE-61E2-4718-B4CD-CD9F2C85B7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Summary</vt:lpstr>
      <vt:lpstr>Summary Table</vt:lpstr>
      <vt:lpstr>NPV</vt:lpstr>
      <vt:lpstr>Costs</vt:lpstr>
      <vt:lpstr>Maintenance</vt:lpstr>
      <vt:lpstr>Safety</vt:lpstr>
      <vt:lpstr>Travel Time</vt:lpstr>
      <vt:lpstr>Environmental Protection</vt:lpstr>
      <vt:lpstr>Costs!Print_Area</vt:lpstr>
      <vt:lpstr>'Environmental Protection'!Print_Area</vt:lpstr>
      <vt:lpstr>Maintenance!Print_Area</vt:lpstr>
      <vt:lpstr>NPV!Print_Area</vt:lpstr>
      <vt:lpstr>Summary!Print_Area</vt:lpstr>
      <vt:lpstr>'Summary Table'!Print_Area</vt:lpstr>
      <vt:lpstr>'Travel Time'!Print_Area</vt:lpstr>
    </vt:vector>
  </TitlesOfParts>
  <Manager/>
  <Company>Kimley-Horn and Associates,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aaron.nathan</dc:creator>
  <cp:keywords/>
  <dc:description/>
  <cp:lastModifiedBy>zcowart.Checker</cp:lastModifiedBy>
  <cp:revision/>
  <dcterms:created xsi:type="dcterms:W3CDTF">2011-10-18T15:31:40Z</dcterms:created>
  <dcterms:modified xsi:type="dcterms:W3CDTF">2022-05-18T21:18:17Z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0x010100F5732FAF92C6BD43913D1B8554C5CA89</vt:lpwstr>
  </property>
  <property fmtid="{D5CDD505-2E9C-101B-9397-08002B2CF9AE}" pid="3" name="Dam_Crash_Cost" linkTarget="Prop_Dam_Crash_Cost">
    <vt:lpwstr>#REF!</vt:lpwstr>
  </property>
</Properties>
</file>