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codeName="ThisWorkbook" defaultThemeVersion="166925"/>
  <mc:AlternateContent xmlns:mc="http://schemas.openxmlformats.org/markup-compatibility/2006">
    <mc:Choice Requires="x15">
      <x15ac:absPath xmlns:x15ac="http://schemas.microsoft.com/office/spreadsheetml/2010/11/ac" url="https://officemgmtentserv.sharepoint.com/sites/OCCPUD/Energy/0 Active Projects Energy/Tariffs/Pending Approval/OG&amp;E WES 2024-10/Workpapers/"/>
    </mc:Choice>
  </mc:AlternateContent>
  <xr:revisionPtr revIDLastSave="1" documentId="13_ncr:1_{C20882BA-68E0-4770-B7B9-818CCF62F8F9}" xr6:coauthVersionLast="47" xr6:coauthVersionMax="47" xr10:uidLastSave="{8ED3B67D-6D61-4D2E-9DE7-F02A0850CFA7}"/>
  <bookViews>
    <workbookView xWindow="28680" yWindow="-120" windowWidth="29040" windowHeight="15840" firstSheet="1" activeTab="1" xr2:uid="{D094078E-45D1-4CEB-A9C5-B3B78E63BB28}"/>
  </bookViews>
  <sheets>
    <sheet name="Inputs" sheetId="1" r:id="rId1"/>
    <sheet name="Aug. 1, 2024 Payment Date" sheetId="9" r:id="rId2"/>
    <sheet name="WES Charge True-up Calculation" sheetId="2" r:id="rId3"/>
    <sheet name="Servicer Certficate" sheetId="16" r:id="rId4"/>
    <sheet name="Waterfall - ALT" sheetId="14" r:id="rId5"/>
    <sheet name="True Up Letter Tables" sheetId="5" r:id="rId6"/>
    <sheet name="Amortization Schedule" sheetId="4" r:id="rId7"/>
    <sheet name="Financing Order Reference" sheetId="1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0" localSheetId="1">#REF!</definedName>
    <definedName name="\0">#REF!</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f" localSheetId="1">#REF!</definedName>
    <definedName name="\f">#REF!</definedName>
    <definedName name="\k" localSheetId="1">#REF!</definedName>
    <definedName name="\k">#REF!</definedName>
    <definedName name="\m" localSheetId="1">#REF!</definedName>
    <definedName name="\m">#REF!</definedName>
    <definedName name="\p" localSheetId="1">#REF!</definedName>
    <definedName name="\p">#REF!</definedName>
    <definedName name="\s" localSheetId="1">#REF!</definedName>
    <definedName name="\s">#REF!</definedName>
    <definedName name="\t" localSheetId="1">#REF!</definedName>
    <definedName name="\t">#REF!</definedName>
    <definedName name="\u" localSheetId="1">#REF!</definedName>
    <definedName name="\u">#REF!</definedName>
    <definedName name="\x" localSheetId="1">#REF!</definedName>
    <definedName name="\x">#REF!</definedName>
    <definedName name="\z" localSheetId="1">#REF!</definedName>
    <definedName name="\z">#REF!</definedName>
    <definedName name="_1__123Graph_ACHART_1" localSheetId="1" hidden="1">[1]Table40!#REF!</definedName>
    <definedName name="_1__123Graph_ACHART_1" hidden="1">[1]Table40!#REF!</definedName>
    <definedName name="_10__123Graph_BCHART_1" localSheetId="1" hidden="1">[2]Table45!#REF!</definedName>
    <definedName name="_10__123Graph_BCHART_1" hidden="1">[2]Table45!#REF!</definedName>
    <definedName name="_10__123Graph_CCHART_1" localSheetId="1" hidden="1">[2]Table45!#REF!</definedName>
    <definedName name="_10__123Graph_CCHART_1" hidden="1">[2]Table45!#REF!</definedName>
    <definedName name="_12__123Graph_XCHART_1" localSheetId="1" hidden="1">[1]Table45!#REF!</definedName>
    <definedName name="_12__123Graph_XCHART_1" hidden="1">[1]Table45!#REF!</definedName>
    <definedName name="_13__123Graph_CCHART_1" localSheetId="1" hidden="1">[2]Table45!#REF!</definedName>
    <definedName name="_13__123Graph_CCHART_1" hidden="1">[2]Table45!#REF!</definedName>
    <definedName name="_14__123Graph_XCHART_1" localSheetId="1" hidden="1">[1]Table45!#REF!</definedName>
    <definedName name="_14__123Graph_XCHART_1" hidden="1">[1]Table45!#REF!</definedName>
    <definedName name="_1995_COSTS" localSheetId="1">#REF!</definedName>
    <definedName name="_1995_COSTS">#REF!</definedName>
    <definedName name="_2__123Graph_ACHART_1" localSheetId="1" hidden="1">[1]Table40!#REF!</definedName>
    <definedName name="_2__123Graph_ACHART_1" hidden="1">[1]Table40!#REF!</definedName>
    <definedName name="_2__123Graph_ACHART_2" localSheetId="1" hidden="1">[2]Table40!#REF!</definedName>
    <definedName name="_2__123Graph_ACHART_2" hidden="1">[2]Table40!#REF!</definedName>
    <definedName name="_3__123Graph_ACHART_3" localSheetId="1" hidden="1">[2]Table40!#REF!</definedName>
    <definedName name="_3__123Graph_ACHART_3" hidden="1">[2]Table40!#REF!</definedName>
    <definedName name="_4__123Graph_ACHART_2" localSheetId="1" hidden="1">[2]Table40!#REF!</definedName>
    <definedName name="_4__123Graph_ACHART_2" hidden="1">[2]Table40!#REF!</definedName>
    <definedName name="_4__123Graph_BCHART_1" localSheetId="1" hidden="1">[2]Table45!#REF!</definedName>
    <definedName name="_4__123Graph_BCHART_1" hidden="1">[2]Table45!#REF!</definedName>
    <definedName name="_5__123Graph_CCHART_1" localSheetId="1" hidden="1">[2]Table45!#REF!</definedName>
    <definedName name="_5__123Graph_CCHART_1" hidden="1">[2]Table45!#REF!</definedName>
    <definedName name="_6__123Graph_ACHART_3" localSheetId="1" hidden="1">[2]Table40!#REF!</definedName>
    <definedName name="_6__123Graph_ACHART_3" hidden="1">[2]Table40!#REF!</definedName>
    <definedName name="_6__123Graph_XCHART_1" localSheetId="1" hidden="1">[1]Table45!#REF!</definedName>
    <definedName name="_6__123Graph_XCHART_1" hidden="1">[1]Table45!#REF!</definedName>
    <definedName name="_7__123Graph_ACHART_3" localSheetId="1" hidden="1">[2]Table40!#REF!</definedName>
    <definedName name="_7__123Graph_ACHART_3" hidden="1">[2]Table40!#REF!</definedName>
    <definedName name="_8__123Graph_BCHART_1" localSheetId="1" hidden="1">[2]Table45!#REF!</definedName>
    <definedName name="_8__123Graph_BCHART_1" hidden="1">[2]Table45!#REF!</definedName>
    <definedName name="_AMO_SingleObject_1570742_ROM_F0.SEC2.Freq_1.SEC1.SEC2.HDR.TXT1" hidden="1">[3]Zip!#REF!</definedName>
    <definedName name="_CRD1" localSheetId="1">#REF!</definedName>
    <definedName name="_CRD1">#REF!</definedName>
    <definedName name="_CRD2" localSheetId="1">#REF!</definedName>
    <definedName name="_CRD2">#REF!</definedName>
    <definedName name="_CRD3" localSheetId="1">#REF!</definedName>
    <definedName name="_CRD3">#REF!</definedName>
    <definedName name="_CRD4" localSheetId="1">#REF!</definedName>
    <definedName name="_CRD4">#REF!</definedName>
    <definedName name="_CRD5" localSheetId="1">#REF!</definedName>
    <definedName name="_CRD5">#REF!</definedName>
    <definedName name="_E1" localSheetId="1">#REF!</definedName>
    <definedName name="_E1">#REF!</definedName>
    <definedName name="_Fill" hidden="1">#REF!</definedName>
    <definedName name="_fill_" hidden="1">#REF!</definedName>
    <definedName name="_Fill__" hidden="1">#REF!</definedName>
    <definedName name="_GRC1" localSheetId="1">#REF!</definedName>
    <definedName name="_GRC1">#REF!</definedName>
    <definedName name="_Key1" localSheetId="1" hidden="1">#REF!</definedName>
    <definedName name="_Key1" localSheetId="7" hidden="1">#REF!</definedName>
    <definedName name="_Key1" hidden="1">#REF!</definedName>
    <definedName name="_Key2" localSheetId="1" hidden="1">#REF!</definedName>
    <definedName name="_Key2" localSheetId="7" hidden="1">#REF!</definedName>
    <definedName name="_Key2" hidden="1">#REF!</definedName>
    <definedName name="_Order1" localSheetId="7" hidden="1">0</definedName>
    <definedName name="_Order1" hidden="1">255</definedName>
    <definedName name="_Order2" localSheetId="7" hidden="1">0</definedName>
    <definedName name="_Order2" hidden="1">255</definedName>
    <definedName name="_Sort" localSheetId="1" hidden="1">#REF!</definedName>
    <definedName name="_Sort" localSheetId="7" hidden="1">#REF!</definedName>
    <definedName name="_Sort" hidden="1">#REF!</definedName>
    <definedName name="ACCOUNTS" localSheetId="1">[4]SummaryPaste!#REF!</definedName>
    <definedName name="ACCOUNTS">[4]SummaryPaste!#REF!</definedName>
    <definedName name="ADJUST6" localSheetId="1">#REF!</definedName>
    <definedName name="ADJUST6">#REF!</definedName>
    <definedName name="ADJUST7" localSheetId="1">#REF!</definedName>
    <definedName name="ADJUST7">#REF!</definedName>
    <definedName name="adjustments" localSheetId="1">#REF!</definedName>
    <definedName name="adjustments">#REF!</definedName>
    <definedName name="AK" localSheetId="1">#REF!</definedName>
    <definedName name="AK">#REF!</definedName>
    <definedName name="AK_FuCoal" localSheetId="1">#REF!</definedName>
    <definedName name="AK_FuCoal">#REF!</definedName>
    <definedName name="AK_FuCoal_IOU" localSheetId="1">#REF!</definedName>
    <definedName name="AK_FuCoal_IOU">#REF!</definedName>
    <definedName name="AK_FuGas" localSheetId="1">#REF!</definedName>
    <definedName name="AK_FuGas">#REF!</definedName>
    <definedName name="AK_FuGas_IOU" localSheetId="1">#REF!</definedName>
    <definedName name="AK_FuGas_IOU">#REF!</definedName>
    <definedName name="AK_FuHyd" localSheetId="1">#REF!</definedName>
    <definedName name="AK_FuHyd">#REF!</definedName>
    <definedName name="AK_FuHyd_IOU" localSheetId="1">#REF!</definedName>
    <definedName name="AK_FuHyd_IOU">#REF!</definedName>
    <definedName name="AK_FuNuc" localSheetId="1">#REF!</definedName>
    <definedName name="AK_FuNuc">#REF!</definedName>
    <definedName name="AK_FuNuc_IOU" localSheetId="1">#REF!</definedName>
    <definedName name="AK_FuNuc_IOU">#REF!</definedName>
    <definedName name="AK_FuOil" localSheetId="1">#REF!</definedName>
    <definedName name="AK_FuOil">#REF!</definedName>
    <definedName name="AK_FuOil_IOU" localSheetId="1">#REF!</definedName>
    <definedName name="AK_FuOil_IOU">#REF!</definedName>
    <definedName name="AK_FuOth" localSheetId="1">#REF!</definedName>
    <definedName name="AK_FuOth">#REF!</definedName>
    <definedName name="AK_FuOth_IOU" localSheetId="1">#REF!</definedName>
    <definedName name="AK_FuOth_IOU">#REF!</definedName>
    <definedName name="AK_IOU" localSheetId="1">#REF!</definedName>
    <definedName name="AK_IOU">#REF!</definedName>
    <definedName name="AKCoop" localSheetId="1">#REF!</definedName>
    <definedName name="AKCoop">#REF!</definedName>
    <definedName name="akfed" localSheetId="1">#REF!</definedName>
    <definedName name="akfed">#REF!</definedName>
    <definedName name="AKHydro" localSheetId="1">#REF!</definedName>
    <definedName name="AKHydro">#REF!</definedName>
    <definedName name="AKHydro_IOU" localSheetId="1">#REF!</definedName>
    <definedName name="AKHydro_IOU">#REF!</definedName>
    <definedName name="AKIntCo" localSheetId="1">#REF!</definedName>
    <definedName name="AKIntCo">#REF!</definedName>
    <definedName name="AKIntCo_IOU" localSheetId="1">#REF!</definedName>
    <definedName name="AKIntCo_IOU">#REF!</definedName>
    <definedName name="AKIOU" localSheetId="1">#REF!</definedName>
    <definedName name="AKIOU">#REF!</definedName>
    <definedName name="AKNucStm" localSheetId="1">#REF!</definedName>
    <definedName name="AKNucStm">#REF!</definedName>
    <definedName name="AKNucStm_IOU" localSheetId="1">#REF!</definedName>
    <definedName name="AKNucStm_IOU">#REF!</definedName>
    <definedName name="AKSol" localSheetId="1">#REF!</definedName>
    <definedName name="AKSol">#REF!</definedName>
    <definedName name="AKSol_IOU" localSheetId="1">#REF!</definedName>
    <definedName name="AKSol_IOU">#REF!</definedName>
    <definedName name="AKStm" localSheetId="1">#REF!</definedName>
    <definedName name="AKStm">#REF!</definedName>
    <definedName name="AKStm_IOU" localSheetId="1">#REF!</definedName>
    <definedName name="AKStm_IOU">#REF!</definedName>
    <definedName name="AKWind" localSheetId="1">#REF!</definedName>
    <definedName name="AKWind">#REF!</definedName>
    <definedName name="AKWind_IOU" localSheetId="1">#REF!</definedName>
    <definedName name="AKWind_IOU">#REF!</definedName>
    <definedName name="AL" localSheetId="1">#REF!</definedName>
    <definedName name="AL">#REF!</definedName>
    <definedName name="AL_FuCoal" localSheetId="1">#REF!</definedName>
    <definedName name="AL_FuCoal">#REF!</definedName>
    <definedName name="AL_FuCoal_IOU" localSheetId="1">#REF!</definedName>
    <definedName name="AL_FuCoal_IOU">#REF!</definedName>
    <definedName name="AL_FuGas" localSheetId="1">#REF!</definedName>
    <definedName name="AL_FuGas">#REF!</definedName>
    <definedName name="AL_FuGas_IOU" localSheetId="1">#REF!</definedName>
    <definedName name="AL_FuGas_IOU">#REF!</definedName>
    <definedName name="AL_FuHyd" localSheetId="1">#REF!</definedName>
    <definedName name="AL_FuHyd">#REF!</definedName>
    <definedName name="AL_FuHyd_IOU" localSheetId="1">#REF!</definedName>
    <definedName name="AL_FuHyd_IOU">#REF!</definedName>
    <definedName name="AL_FuNuc" localSheetId="1">#REF!</definedName>
    <definedName name="AL_FuNuc">#REF!</definedName>
    <definedName name="AL_FuNuc_IOU" localSheetId="1">#REF!</definedName>
    <definedName name="AL_FuNuc_IOU">#REF!</definedName>
    <definedName name="AL_FuOil" localSheetId="1">#REF!</definedName>
    <definedName name="AL_FuOil">#REF!</definedName>
    <definedName name="AL_FuOil_IOU" localSheetId="1">#REF!</definedName>
    <definedName name="AL_FuOil_IOU">#REF!</definedName>
    <definedName name="AL_FuOth" localSheetId="1">#REF!</definedName>
    <definedName name="AL_FuOth">#REF!</definedName>
    <definedName name="AL_FuOth_IOU" localSheetId="1">#REF!</definedName>
    <definedName name="AL_FuOth_IOU">#REF!</definedName>
    <definedName name="AL_IOU" localSheetId="1">#REF!</definedName>
    <definedName name="AL_IOU">#REF!</definedName>
    <definedName name="ALCoop" localSheetId="1">#REF!</definedName>
    <definedName name="ALCoop">#REF!</definedName>
    <definedName name="alfed" localSheetId="1">#REF!</definedName>
    <definedName name="alfed">#REF!</definedName>
    <definedName name="ALHydro" localSheetId="1">#REF!</definedName>
    <definedName name="ALHydro">#REF!</definedName>
    <definedName name="ALHydro_IOU" localSheetId="1">#REF!</definedName>
    <definedName name="ALHydro_IOU">#REF!</definedName>
    <definedName name="ALIntCo" localSheetId="1">#REF!</definedName>
    <definedName name="ALIntCo">#REF!</definedName>
    <definedName name="ALIntCo_IOU" localSheetId="1">#REF!</definedName>
    <definedName name="ALIntCo_IOU">#REF!</definedName>
    <definedName name="ALIOU" localSheetId="1">#REF!</definedName>
    <definedName name="ALIOU">#REF!</definedName>
    <definedName name="ALLOCATORCD">[5]RevAllocator!$D$7:$R$7</definedName>
    <definedName name="AllOtherPublic" localSheetId="1">#REF!</definedName>
    <definedName name="AllOtherPublic">#REF!</definedName>
    <definedName name="AllOthPublic" localSheetId="1">#REF!</definedName>
    <definedName name="AllOthPublic">#REF!</definedName>
    <definedName name="AllOthPublic_Hydro" localSheetId="1">#REF!</definedName>
    <definedName name="AllOthPublic_Hydro">#REF!</definedName>
    <definedName name="AllOthPublic_IC" localSheetId="1">#REF!</definedName>
    <definedName name="AllOthPublic_IC">#REF!</definedName>
    <definedName name="AllOthPublic_NS" localSheetId="1">#REF!</definedName>
    <definedName name="AllOthPublic_NS">#REF!</definedName>
    <definedName name="AllOthPublic_Solar" localSheetId="1">#REF!</definedName>
    <definedName name="AllOthPublic_Solar">#REF!</definedName>
    <definedName name="AllOthPublic_Steam" localSheetId="1">#REF!</definedName>
    <definedName name="AllOthPublic_Steam">#REF!</definedName>
    <definedName name="AllOthPublic_Wind" localSheetId="1">#REF!</definedName>
    <definedName name="AllOthPublic_Wind">#REF!</definedName>
    <definedName name="ALNucStm" localSheetId="1">#REF!</definedName>
    <definedName name="ALNucStm">#REF!</definedName>
    <definedName name="ALNucStm_IOU" localSheetId="1">#REF!</definedName>
    <definedName name="ALNucStm_IOU">#REF!</definedName>
    <definedName name="ALSol" localSheetId="1">#REF!</definedName>
    <definedName name="ALSol">#REF!</definedName>
    <definedName name="ALSol_IOU" localSheetId="1">#REF!</definedName>
    <definedName name="ALSol_IOU">#REF!</definedName>
    <definedName name="ALStm" localSheetId="1">#REF!</definedName>
    <definedName name="ALStm">#REF!</definedName>
    <definedName name="ALStm_IOU" localSheetId="1">#REF!</definedName>
    <definedName name="ALStm_IOU">#REF!</definedName>
    <definedName name="ALWind" localSheetId="1">#REF!</definedName>
    <definedName name="ALWind">#REF!</definedName>
    <definedName name="ALWind_IOU" localSheetId="1">#REF!</definedName>
    <definedName name="ALWind_IOU">#REF!</definedName>
    <definedName name="AR" localSheetId="1">#REF!</definedName>
    <definedName name="AR">#REF!</definedName>
    <definedName name="AR_FuCoal" localSheetId="1">#REF!</definedName>
    <definedName name="AR_FuCoal">#REF!</definedName>
    <definedName name="AR_FuCoal_IOU" localSheetId="1">#REF!</definedName>
    <definedName name="AR_FuCoal_IOU">#REF!</definedName>
    <definedName name="AR_FuGas" localSheetId="1">#REF!</definedName>
    <definedName name="AR_FuGas">#REF!</definedName>
    <definedName name="AR_FuGas_IOU" localSheetId="1">#REF!</definedName>
    <definedName name="AR_FuGas_IOU">#REF!</definedName>
    <definedName name="AR_FuHyd" localSheetId="1">#REF!</definedName>
    <definedName name="AR_FuHyd">#REF!</definedName>
    <definedName name="AR_FuHyd_IOU" localSheetId="1">#REF!</definedName>
    <definedName name="AR_FuHyd_IOU">#REF!</definedName>
    <definedName name="AR_FuNuc" localSheetId="1">#REF!</definedName>
    <definedName name="AR_FuNuc">#REF!</definedName>
    <definedName name="AR_FuNuc_IOU" localSheetId="1">#REF!</definedName>
    <definedName name="AR_FuNuc_IOU">#REF!</definedName>
    <definedName name="AR_FuOil" localSheetId="1">#REF!</definedName>
    <definedName name="AR_FuOil">#REF!</definedName>
    <definedName name="AR_FuOil_IOU" localSheetId="1">#REF!</definedName>
    <definedName name="AR_FuOil_IOU">#REF!</definedName>
    <definedName name="AR_FuOth" localSheetId="1">#REF!</definedName>
    <definedName name="AR_FuOth">#REF!</definedName>
    <definedName name="AR_FuOth_IOU" localSheetId="1">#REF!</definedName>
    <definedName name="AR_FuOth_IOU">#REF!</definedName>
    <definedName name="AR_IOU" localSheetId="1">#REF!</definedName>
    <definedName name="AR_IOU">#REF!</definedName>
    <definedName name="ARCoop" localSheetId="1">#REF!</definedName>
    <definedName name="ARCoop">#REF!</definedName>
    <definedName name="arfed" localSheetId="1">#REF!</definedName>
    <definedName name="arfed">#REF!</definedName>
    <definedName name="ARHydro" localSheetId="1">#REF!</definedName>
    <definedName name="ARHydro">#REF!</definedName>
    <definedName name="ARHydro_IOU" localSheetId="1">#REF!</definedName>
    <definedName name="ARHydro_IOU">#REF!</definedName>
    <definedName name="ARIntCo" localSheetId="1">#REF!</definedName>
    <definedName name="ARIntCo">#REF!</definedName>
    <definedName name="ARIntCo_IOU" localSheetId="1">#REF!</definedName>
    <definedName name="ARIntCo_IOU">#REF!</definedName>
    <definedName name="ARIOU" localSheetId="1">#REF!</definedName>
    <definedName name="ARIOU">#REF!</definedName>
    <definedName name="ARNucStm" localSheetId="1">#REF!</definedName>
    <definedName name="ARNucStm">#REF!</definedName>
    <definedName name="ARNucStm_IOU" localSheetId="1">#REF!</definedName>
    <definedName name="ARNucStm_IOU">#REF!</definedName>
    <definedName name="ARSol" localSheetId="1">#REF!</definedName>
    <definedName name="ARSol">#REF!</definedName>
    <definedName name="ARSol_IOU" localSheetId="1">#REF!</definedName>
    <definedName name="ARSol_IOU">#REF!</definedName>
    <definedName name="ARStm" localSheetId="1">#REF!</definedName>
    <definedName name="ARStm">#REF!</definedName>
    <definedName name="ARStm_IOU" localSheetId="1">#REF!</definedName>
    <definedName name="ARStm_IOU">#REF!</definedName>
    <definedName name="ARWind" localSheetId="1">#REF!</definedName>
    <definedName name="ARWind">#REF!</definedName>
    <definedName name="ARWind_IOU" localSheetId="1">#REF!</definedName>
    <definedName name="ARWind_IOU">#REF!</definedName>
    <definedName name="AZ" localSheetId="1">#REF!</definedName>
    <definedName name="AZ">#REF!</definedName>
    <definedName name="AZ_FuCoal" localSheetId="1">#REF!</definedName>
    <definedName name="AZ_FuCoal">#REF!</definedName>
    <definedName name="AZ_FuCoal_IOU" localSheetId="1">#REF!</definedName>
    <definedName name="AZ_FuCoal_IOU">#REF!</definedName>
    <definedName name="AZ_FuGas" localSheetId="1">#REF!</definedName>
    <definedName name="AZ_FuGas">#REF!</definedName>
    <definedName name="AZ_FuGas_IOU" localSheetId="1">#REF!</definedName>
    <definedName name="AZ_FuGas_IOU">#REF!</definedName>
    <definedName name="AZ_FuHyd" localSheetId="1">#REF!</definedName>
    <definedName name="AZ_FuHyd">#REF!</definedName>
    <definedName name="AZ_FuHyd_IOU" localSheetId="1">#REF!</definedName>
    <definedName name="AZ_FuHyd_IOU">#REF!</definedName>
    <definedName name="AZ_FuNuc" localSheetId="1">#REF!</definedName>
    <definedName name="AZ_FuNuc">#REF!</definedName>
    <definedName name="AZ_FuNuc_IOU" localSheetId="1">#REF!</definedName>
    <definedName name="AZ_FuNuc_IOU">#REF!</definedName>
    <definedName name="AZ_FuOil" localSheetId="1">#REF!</definedName>
    <definedName name="AZ_FuOil">#REF!</definedName>
    <definedName name="AZ_FuOil_IOU" localSheetId="1">#REF!</definedName>
    <definedName name="AZ_FuOil_IOU">#REF!</definedName>
    <definedName name="AZ_FuOth" localSheetId="1">#REF!</definedName>
    <definedName name="AZ_FuOth">#REF!</definedName>
    <definedName name="AZ_FuOth_IOU" localSheetId="1">#REF!</definedName>
    <definedName name="AZ_FuOth_IOU">#REF!</definedName>
    <definedName name="AZ_IOU" localSheetId="1">#REF!</definedName>
    <definedName name="AZ_IOU">#REF!</definedName>
    <definedName name="AZCoop" localSheetId="1">#REF!</definedName>
    <definedName name="AZCoop">#REF!</definedName>
    <definedName name="azfed" localSheetId="1">#REF!</definedName>
    <definedName name="azfed">#REF!</definedName>
    <definedName name="AZHydro" localSheetId="1">#REF!</definedName>
    <definedName name="AZHydro">#REF!</definedName>
    <definedName name="AZHydro_IOU" localSheetId="1">#REF!</definedName>
    <definedName name="AZHydro_IOU">#REF!</definedName>
    <definedName name="AZIntCo" localSheetId="1">#REF!</definedName>
    <definedName name="AZIntCo">#REF!</definedName>
    <definedName name="AZIntCo_IOU" localSheetId="1">#REF!</definedName>
    <definedName name="AZIntCo_IOU">#REF!</definedName>
    <definedName name="AZIOU" localSheetId="1">#REF!</definedName>
    <definedName name="AZIOU">#REF!</definedName>
    <definedName name="AZNucStm" localSheetId="1">#REF!</definedName>
    <definedName name="AZNucStm">#REF!</definedName>
    <definedName name="AZNucStm_IOU" localSheetId="1">#REF!</definedName>
    <definedName name="AZNucStm_IOU">#REF!</definedName>
    <definedName name="AZSol" localSheetId="1">#REF!</definedName>
    <definedName name="AZSol">#REF!</definedName>
    <definedName name="AZSol_IOU" localSheetId="1">#REF!</definedName>
    <definedName name="AZSol_IOU">#REF!</definedName>
    <definedName name="AZStm" localSheetId="1">#REF!</definedName>
    <definedName name="AZStm">#REF!</definedName>
    <definedName name="AZStm_IOU" localSheetId="1">#REF!</definedName>
    <definedName name="AZStm_IOU">#REF!</definedName>
    <definedName name="AZWind" localSheetId="1">#REF!</definedName>
    <definedName name="AZWind">#REF!</definedName>
    <definedName name="AZWind_IOU" localSheetId="1">#REF!</definedName>
    <definedName name="AZWind_IOU">#REF!</definedName>
    <definedName name="base_rate_annual" localSheetId="1">#REF!</definedName>
    <definedName name="base_rate_annual">#REF!</definedName>
    <definedName name="BCOMP3" localSheetId="1">#REF!</definedName>
    <definedName name="BCOMP3">#REF!</definedName>
    <definedName name="CA" localSheetId="1">#REF!</definedName>
    <definedName name="CA">#REF!</definedName>
    <definedName name="CA_FuCoal" localSheetId="1">#REF!</definedName>
    <definedName name="CA_FuCoal">#REF!</definedName>
    <definedName name="CA_FuCoal_IOU" localSheetId="1">#REF!</definedName>
    <definedName name="CA_FuCoal_IOU">#REF!</definedName>
    <definedName name="CA_FuGas" localSheetId="1">#REF!</definedName>
    <definedName name="CA_FuGas">#REF!</definedName>
    <definedName name="CA_FuGas_IOU" localSheetId="1">#REF!</definedName>
    <definedName name="CA_FuGas_IOU">#REF!</definedName>
    <definedName name="CA_FuHyd" localSheetId="1">#REF!</definedName>
    <definedName name="CA_FuHyd">#REF!</definedName>
    <definedName name="CA_FuHyd_IOU" localSheetId="1">#REF!</definedName>
    <definedName name="CA_FuHyd_IOU">#REF!</definedName>
    <definedName name="CA_FuNuc" localSheetId="1">#REF!</definedName>
    <definedName name="CA_FuNuc">#REF!</definedName>
    <definedName name="CA_FuNuc_IOU" localSheetId="1">#REF!</definedName>
    <definedName name="CA_FuNuc_IOU">#REF!</definedName>
    <definedName name="CA_FuOil" localSheetId="1">#REF!</definedName>
    <definedName name="CA_FuOil">#REF!</definedName>
    <definedName name="CA_FuOil_IOU" localSheetId="1">#REF!</definedName>
    <definedName name="CA_FuOil_IOU">#REF!</definedName>
    <definedName name="CA_FuOth" localSheetId="1">#REF!</definedName>
    <definedName name="CA_FuOth">#REF!</definedName>
    <definedName name="CA_FuOth_IOU" localSheetId="1">#REF!</definedName>
    <definedName name="CA_FuOth_IOU">#REF!</definedName>
    <definedName name="CA_IOU" localSheetId="1">#REF!</definedName>
    <definedName name="CA_IOU">#REF!</definedName>
    <definedName name="CACoop" localSheetId="1">#REF!</definedName>
    <definedName name="CACoop">#REF!</definedName>
    <definedName name="cafed" localSheetId="1">#REF!</definedName>
    <definedName name="cafed">#REF!</definedName>
    <definedName name="CAHydro" localSheetId="1">#REF!</definedName>
    <definedName name="CAHydro">#REF!</definedName>
    <definedName name="CAHydro_IOU" localSheetId="1">#REF!</definedName>
    <definedName name="CAHydro_IOU">#REF!</definedName>
    <definedName name="CAIntCo" localSheetId="1">#REF!</definedName>
    <definedName name="CAIntCo">#REF!</definedName>
    <definedName name="CAIntCo_IOU" localSheetId="1">#REF!</definedName>
    <definedName name="CAIntCo_IOU">#REF!</definedName>
    <definedName name="CAIOU" localSheetId="1">#REF!</definedName>
    <definedName name="CAIOU">#REF!</definedName>
    <definedName name="CANucStm" localSheetId="1">#REF!</definedName>
    <definedName name="CANucStm">#REF!</definedName>
    <definedName name="CANucStm_IOU" localSheetId="1">#REF!</definedName>
    <definedName name="CANucStm_IOU">#REF!</definedName>
    <definedName name="CASol" localSheetId="1">#REF!</definedName>
    <definedName name="CASol">#REF!</definedName>
    <definedName name="CASol_IOU" localSheetId="1">#REF!</definedName>
    <definedName name="CASol_IOU">#REF!</definedName>
    <definedName name="CAStm" localSheetId="1">#REF!</definedName>
    <definedName name="CAStm">#REF!</definedName>
    <definedName name="CAStm_IOU" localSheetId="1">#REF!</definedName>
    <definedName name="CAStm_IOU">#REF!</definedName>
    <definedName name="CAWind" localSheetId="1">#REF!</definedName>
    <definedName name="CAWind">#REF!</definedName>
    <definedName name="CAWind_IOU" localSheetId="1">#REF!</definedName>
    <definedName name="CAWind_IOU">#REF!</definedName>
    <definedName name="Census" localSheetId="1">#REF!</definedName>
    <definedName name="Census">#REF!</definedName>
    <definedName name="CO" localSheetId="1">#REF!</definedName>
    <definedName name="CO">#REF!</definedName>
    <definedName name="CO_FuCoal" localSheetId="1">#REF!</definedName>
    <definedName name="CO_FuCoal">#REF!</definedName>
    <definedName name="CO_FuCoal_IOU" localSheetId="1">#REF!</definedName>
    <definedName name="CO_FuCoal_IOU">#REF!</definedName>
    <definedName name="CO_FuGas" localSheetId="1">#REF!</definedName>
    <definedName name="CO_FuGas">#REF!</definedName>
    <definedName name="CO_FuGas_IOU" localSheetId="1">#REF!</definedName>
    <definedName name="CO_FuGas_IOU">#REF!</definedName>
    <definedName name="CO_FuHyd" localSheetId="1">#REF!</definedName>
    <definedName name="CO_FuHyd">#REF!</definedName>
    <definedName name="CO_FuHyd_IOU" localSheetId="1">#REF!</definedName>
    <definedName name="CO_FuHyd_IOU">#REF!</definedName>
    <definedName name="CO_FuNuc" localSheetId="1">#REF!</definedName>
    <definedName name="CO_FuNuc">#REF!</definedName>
    <definedName name="CO_FuNuc_IOU" localSheetId="1">#REF!</definedName>
    <definedName name="CO_FuNuc_IOU">#REF!</definedName>
    <definedName name="CO_FuOil" localSheetId="1">#REF!</definedName>
    <definedName name="CO_FuOil">#REF!</definedName>
    <definedName name="CO_FuOil_IOU" localSheetId="1">#REF!</definedName>
    <definedName name="CO_FuOil_IOU">#REF!</definedName>
    <definedName name="CO_FuOth" localSheetId="1">#REF!</definedName>
    <definedName name="CO_FuOth">#REF!</definedName>
    <definedName name="CO_IOU" localSheetId="1">#REF!</definedName>
    <definedName name="CO_IOU">#REF!</definedName>
    <definedName name="COCoop" localSheetId="1">#REF!</definedName>
    <definedName name="COCoop">#REF!</definedName>
    <definedName name="cofed" localSheetId="1">#REF!</definedName>
    <definedName name="cofed">#REF!</definedName>
    <definedName name="COHydro" localSheetId="1">#REF!</definedName>
    <definedName name="COHydro">#REF!</definedName>
    <definedName name="COHydro_IOU" localSheetId="1">#REF!</definedName>
    <definedName name="COHydro_IOU">#REF!</definedName>
    <definedName name="COIntCo" localSheetId="1">#REF!</definedName>
    <definedName name="COIntCo">#REF!</definedName>
    <definedName name="COIntCo_IOU" localSheetId="1">#REF!</definedName>
    <definedName name="COIntCo_IOU">#REF!</definedName>
    <definedName name="coIOU" localSheetId="1">#REF!</definedName>
    <definedName name="coIOU">#REF!</definedName>
    <definedName name="CONucStm" localSheetId="1">#REF!</definedName>
    <definedName name="CONucStm">#REF!</definedName>
    <definedName name="CONucStm_IOU" localSheetId="1">#REF!</definedName>
    <definedName name="CONucStm_IOU">#REF!</definedName>
    <definedName name="coop" localSheetId="1">#REF!</definedName>
    <definedName name="coop">#REF!</definedName>
    <definedName name="Coop_Hydro" localSheetId="1">#REF!</definedName>
    <definedName name="Coop_Hydro">#REF!</definedName>
    <definedName name="Coop_IC" localSheetId="1">#REF!</definedName>
    <definedName name="Coop_IC">#REF!</definedName>
    <definedName name="Coop_NS" localSheetId="1">#REF!</definedName>
    <definedName name="Coop_NS">#REF!</definedName>
    <definedName name="Coop_Solar" localSheetId="1">#REF!</definedName>
    <definedName name="Coop_Solar">#REF!</definedName>
    <definedName name="Coop_Steam" localSheetId="1">#REF!</definedName>
    <definedName name="Coop_Steam">#REF!</definedName>
    <definedName name="Coop_Wind" localSheetId="1">#REF!</definedName>
    <definedName name="Coop_Wind">#REF!</definedName>
    <definedName name="COSol" localSheetId="1">#REF!</definedName>
    <definedName name="COSol">#REF!</definedName>
    <definedName name="COSol_IOU" localSheetId="1">#REF!</definedName>
    <definedName name="COSol_IOU">#REF!</definedName>
    <definedName name="COStm" localSheetId="1">#REF!</definedName>
    <definedName name="COStm">#REF!</definedName>
    <definedName name="COStm_IOU" localSheetId="1">#REF!</definedName>
    <definedName name="COStm_IOU">#REF!</definedName>
    <definedName name="Coupon" localSheetId="1">#REF!</definedName>
    <definedName name="Coupon" localSheetId="7">#REF!</definedName>
    <definedName name="Coupon" localSheetId="5">#REF!</definedName>
    <definedName name="Coupon">#REF!</definedName>
    <definedName name="COWind" localSheetId="1">#REF!</definedName>
    <definedName name="COWind">#REF!</definedName>
    <definedName name="COWind_IOU" localSheetId="1">#REF!</definedName>
    <definedName name="COWind_IOU">#REF!</definedName>
    <definedName name="CREDITS" localSheetId="1">#REF!</definedName>
    <definedName name="CREDITS">#REF!</definedName>
    <definedName name="_xlnm.Criteria">#REF!</definedName>
    <definedName name="Criteria_MI">#REF!</definedName>
    <definedName name="critIOU" localSheetId="1">#REF!</definedName>
    <definedName name="critIOU">#REF!</definedName>
    <definedName name="critTotElecUtil" localSheetId="1">#REF!</definedName>
    <definedName name="critTotElecUtil">#REF!</definedName>
    <definedName name="CT" localSheetId="1">#REF!</definedName>
    <definedName name="CT">#REF!</definedName>
    <definedName name="CT_FuCoal" localSheetId="1">#REF!</definedName>
    <definedName name="CT_FuCoal">#REF!</definedName>
    <definedName name="CT_FuCoal_IOU" localSheetId="1">#REF!</definedName>
    <definedName name="CT_FuCoal_IOU">#REF!</definedName>
    <definedName name="CT_FuGas" localSheetId="1">#REF!</definedName>
    <definedName name="CT_FuGas">#REF!</definedName>
    <definedName name="CT_FuGas_IOU" localSheetId="1">#REF!</definedName>
    <definedName name="CT_FuGas_IOU">#REF!</definedName>
    <definedName name="CT_FuHyd" localSheetId="1">#REF!</definedName>
    <definedName name="CT_FuHyd">#REF!</definedName>
    <definedName name="CT_FuHyd_IOU" localSheetId="1">#REF!</definedName>
    <definedName name="CT_FuHyd_IOU">#REF!</definedName>
    <definedName name="CT_FuNuc" localSheetId="1">#REF!</definedName>
    <definedName name="CT_FuNuc">#REF!</definedName>
    <definedName name="CT_FuNuc_IOU" localSheetId="1">#REF!</definedName>
    <definedName name="CT_FuNuc_IOU">#REF!</definedName>
    <definedName name="CT_FuOil" localSheetId="1">#REF!</definedName>
    <definedName name="CT_FuOil">#REF!</definedName>
    <definedName name="CT_FuOil_IOU" localSheetId="1">#REF!</definedName>
    <definedName name="CT_FuOil_IOU">#REF!</definedName>
    <definedName name="CT_FuOth" localSheetId="1">#REF!</definedName>
    <definedName name="CT_FuOth">#REF!</definedName>
    <definedName name="CT_FuOth_IOU" localSheetId="1">#REF!</definedName>
    <definedName name="CT_FuOth_IOU">#REF!</definedName>
    <definedName name="CT_IOU" localSheetId="1">#REF!</definedName>
    <definedName name="CT_IOU">#REF!</definedName>
    <definedName name="CTCoop" localSheetId="1">#REF!</definedName>
    <definedName name="CTCoop">#REF!</definedName>
    <definedName name="ctfed" localSheetId="1">#REF!</definedName>
    <definedName name="ctfed">#REF!</definedName>
    <definedName name="CTHydro" localSheetId="1">#REF!</definedName>
    <definedName name="CTHydro">#REF!</definedName>
    <definedName name="CTHydro_IOU" localSheetId="1">#REF!</definedName>
    <definedName name="CTHydro_IOU">#REF!</definedName>
    <definedName name="CTIntCo" localSheetId="1">#REF!</definedName>
    <definedName name="CTIntCo">#REF!</definedName>
    <definedName name="CTIntCo_IOU" localSheetId="1">#REF!</definedName>
    <definedName name="CTIntCo_IOU">#REF!</definedName>
    <definedName name="ctIOU" localSheetId="1">#REF!</definedName>
    <definedName name="ctIOU">#REF!</definedName>
    <definedName name="CTNucStm" localSheetId="1">#REF!</definedName>
    <definedName name="CTNucStm">#REF!</definedName>
    <definedName name="CTNucStm_IOU" localSheetId="1">#REF!</definedName>
    <definedName name="CTNucStm_IOU">#REF!</definedName>
    <definedName name="ctpub" localSheetId="1">#REF!</definedName>
    <definedName name="ctpub">#REF!</definedName>
    <definedName name="CTSol" localSheetId="1">#REF!</definedName>
    <definedName name="CTSol">#REF!</definedName>
    <definedName name="CTSol_IOU" localSheetId="1">#REF!</definedName>
    <definedName name="CTSol_IOU">#REF!</definedName>
    <definedName name="CTStm" localSheetId="1">#REF!</definedName>
    <definedName name="CTStm">#REF!</definedName>
    <definedName name="CTStm_IOU" localSheetId="1">#REF!</definedName>
    <definedName name="CTStm_IOU">#REF!</definedName>
    <definedName name="CTWind" localSheetId="1">#REF!</definedName>
    <definedName name="CTWind">#REF!</definedName>
    <definedName name="CTWind_IOU" localSheetId="1">#REF!</definedName>
    <definedName name="CTWind_IOU">#REF!</definedName>
    <definedName name="_xlnm.Database" localSheetId="1">#REF!</definedName>
    <definedName name="_xlnm.Database" localSheetId="7">#REF!</definedName>
    <definedName name="_xlnm.Database">#REF!</definedName>
    <definedName name="Database_MI">#REF!</definedName>
    <definedName name="Database98" localSheetId="1">#REF!</definedName>
    <definedName name="Database98">#REF!</definedName>
    <definedName name="Database99" localSheetId="1">#REF!</definedName>
    <definedName name="Database99">#REF!</definedName>
    <definedName name="DC" localSheetId="1">#REF!</definedName>
    <definedName name="DC">#REF!</definedName>
    <definedName name="DC_FuCoal" localSheetId="1">#REF!</definedName>
    <definedName name="DC_FuCoal">#REF!</definedName>
    <definedName name="DC_FuCoal_IOU" localSheetId="1">#REF!</definedName>
    <definedName name="DC_FuCoal_IOU">#REF!</definedName>
    <definedName name="DC_FuGas" localSheetId="1">#REF!</definedName>
    <definedName name="DC_FuGas">#REF!</definedName>
    <definedName name="DC_FuGas_IOU" localSheetId="1">#REF!</definedName>
    <definedName name="DC_FuGas_IOU">#REF!</definedName>
    <definedName name="DC_FuHyd" localSheetId="1">#REF!</definedName>
    <definedName name="DC_FuHyd">#REF!</definedName>
    <definedName name="DC_FuHyd_IOU" localSheetId="1">#REF!</definedName>
    <definedName name="DC_FuHyd_IOU">#REF!</definedName>
    <definedName name="DC_FuNuc" localSheetId="1">#REF!</definedName>
    <definedName name="DC_FuNuc">#REF!</definedName>
    <definedName name="DC_FuNuc_IOU" localSheetId="1">#REF!</definedName>
    <definedName name="DC_FuNuc_IOU">#REF!</definedName>
    <definedName name="DC_FuOil" localSheetId="1">#REF!</definedName>
    <definedName name="DC_FuOil">#REF!</definedName>
    <definedName name="DC_FuOil_IOU" localSheetId="1">#REF!</definedName>
    <definedName name="DC_FuOil_IOU">#REF!</definedName>
    <definedName name="DC_FuOth" localSheetId="1">#REF!</definedName>
    <definedName name="DC_FuOth">#REF!</definedName>
    <definedName name="DC_FuOth_IOU" localSheetId="1">#REF!</definedName>
    <definedName name="DC_FuOth_IOU">#REF!</definedName>
    <definedName name="DC_IOU" localSheetId="1">#REF!</definedName>
    <definedName name="DC_IOU">#REF!</definedName>
    <definedName name="DCCoop" localSheetId="1">#REF!</definedName>
    <definedName name="DCCoop">#REF!</definedName>
    <definedName name="dcfed" localSheetId="1">#REF!</definedName>
    <definedName name="dcfed">#REF!</definedName>
    <definedName name="DCHydro" localSheetId="1">#REF!</definedName>
    <definedName name="DCHydro">#REF!</definedName>
    <definedName name="DCHydro_IOU" localSheetId="1">#REF!</definedName>
    <definedName name="DCHydro_IOU">#REF!</definedName>
    <definedName name="DCIntCo" localSheetId="1">#REF!</definedName>
    <definedName name="DCIntCo">#REF!</definedName>
    <definedName name="DCIntCo_IOU" localSheetId="1">#REF!</definedName>
    <definedName name="DCIntCo_IOU">#REF!</definedName>
    <definedName name="dcIOU" localSheetId="1">#REF!</definedName>
    <definedName name="dcIOU">#REF!</definedName>
    <definedName name="DCNucStm" localSheetId="1">#REF!</definedName>
    <definedName name="DCNucStm">#REF!</definedName>
    <definedName name="DCNucStm_IOU" localSheetId="1">#REF!</definedName>
    <definedName name="DCNucStm_IOU">#REF!</definedName>
    <definedName name="dcpub" localSheetId="1">#REF!</definedName>
    <definedName name="dcpub">#REF!</definedName>
    <definedName name="DCSol" localSheetId="1">#REF!</definedName>
    <definedName name="DCSol">#REF!</definedName>
    <definedName name="DCSol_IOU" localSheetId="1">#REF!</definedName>
    <definedName name="DCSol_IOU">#REF!</definedName>
    <definedName name="DCStm" localSheetId="1">#REF!</definedName>
    <definedName name="DCStm">#REF!</definedName>
    <definedName name="DCStm_IOU" localSheetId="1">#REF!</definedName>
    <definedName name="DCStm_IOU">#REF!</definedName>
    <definedName name="DCWind" localSheetId="1">#REF!</definedName>
    <definedName name="DCWind">#REF!</definedName>
    <definedName name="DCWind_IOU" localSheetId="1">#REF!</definedName>
    <definedName name="DCWind_IOU">#REF!</definedName>
    <definedName name="DE" localSheetId="1">#REF!</definedName>
    <definedName name="DE">#REF!</definedName>
    <definedName name="DE_FuCoal" localSheetId="1">#REF!</definedName>
    <definedName name="DE_FuCoal">#REF!</definedName>
    <definedName name="DE_FuCoal_IOU" localSheetId="1">#REF!</definedName>
    <definedName name="DE_FuCoal_IOU">#REF!</definedName>
    <definedName name="DE_FuGas" localSheetId="1">#REF!</definedName>
    <definedName name="DE_FuGas">#REF!</definedName>
    <definedName name="DE_FuGas_IOU" localSheetId="1">#REF!</definedName>
    <definedName name="DE_FuGas_IOU">#REF!</definedName>
    <definedName name="DE_FuHyd" localSheetId="1">#REF!</definedName>
    <definedName name="DE_FuHyd">#REF!</definedName>
    <definedName name="DE_FuHyd_IOU" localSheetId="1">#REF!</definedName>
    <definedName name="DE_FuHyd_IOU">#REF!</definedName>
    <definedName name="DE_FuNuc" localSheetId="1">#REF!</definedName>
    <definedName name="DE_FuNuc">#REF!</definedName>
    <definedName name="DE_FuNuc_IOU" localSheetId="1">#REF!</definedName>
    <definedName name="DE_FuNuc_IOU">#REF!</definedName>
    <definedName name="DE_FuOil" localSheetId="1">#REF!</definedName>
    <definedName name="DE_FuOil">#REF!</definedName>
    <definedName name="DE_FuOil_IOU" localSheetId="1">#REF!</definedName>
    <definedName name="DE_FuOil_IOU">#REF!</definedName>
    <definedName name="DE_FuOth" localSheetId="1">#REF!</definedName>
    <definedName name="DE_FuOth">#REF!</definedName>
    <definedName name="DE_FuOth_IOU" localSheetId="1">#REF!</definedName>
    <definedName name="DE_FuOth_IOU">#REF!</definedName>
    <definedName name="DE_IOU" localSheetId="1">#REF!</definedName>
    <definedName name="DE_IOU">#REF!</definedName>
    <definedName name="DECoop" localSheetId="1">#REF!</definedName>
    <definedName name="DECoop">#REF!</definedName>
    <definedName name="defed" localSheetId="1">#REF!</definedName>
    <definedName name="defed">#REF!</definedName>
    <definedName name="DEHydro" localSheetId="1">#REF!</definedName>
    <definedName name="DEHydro">#REF!</definedName>
    <definedName name="DEHydro_IOU" localSheetId="1">#REF!</definedName>
    <definedName name="DEHydro_IOU">#REF!</definedName>
    <definedName name="DEIntCo" localSheetId="1">#REF!</definedName>
    <definedName name="DEIntCo">#REF!</definedName>
    <definedName name="DEIntCo_IOU" localSheetId="1">#REF!</definedName>
    <definedName name="DEIntCo_IOU">#REF!</definedName>
    <definedName name="deIOU" localSheetId="1">#REF!</definedName>
    <definedName name="deIOU">#REF!</definedName>
    <definedName name="DENucStm" localSheetId="1">#REF!</definedName>
    <definedName name="DENucStm">#REF!</definedName>
    <definedName name="DENucStm_IOU" localSheetId="1">#REF!</definedName>
    <definedName name="DENucStm_IOU">#REF!</definedName>
    <definedName name="depub" localSheetId="1">#REF!</definedName>
    <definedName name="depub">#REF!</definedName>
    <definedName name="DESol" localSheetId="1">#REF!</definedName>
    <definedName name="DESol">#REF!</definedName>
    <definedName name="DESol_IOU" localSheetId="1">#REF!</definedName>
    <definedName name="DESol_IOU">#REF!</definedName>
    <definedName name="DEStm" localSheetId="1">#REF!</definedName>
    <definedName name="DEStm">#REF!</definedName>
    <definedName name="DEStm_IOU" localSheetId="1">#REF!</definedName>
    <definedName name="DEStm_IOU">#REF!</definedName>
    <definedName name="DEWind" localSheetId="1">#REF!</definedName>
    <definedName name="DEWind">#REF!</definedName>
    <definedName name="DEWind_IOU" localSheetId="1">#REF!</definedName>
    <definedName name="DEWind_IOU">#REF!</definedName>
    <definedName name="drIOU" localSheetId="1">#REF!</definedName>
    <definedName name="drIOU">#REF!</definedName>
    <definedName name="dsds" localSheetId="1">#REF!</definedName>
    <definedName name="dsds">#REF!</definedName>
    <definedName name="DWL" localSheetId="1">'[6]Effective-Rates'!#REF!</definedName>
    <definedName name="DWL">'[6]Effective-Rates'!#REF!</definedName>
    <definedName name="ecabf_summer" localSheetId="1">'[6]Effective-Rates'!#REF!</definedName>
    <definedName name="ecabf_summer">'[6]Effective-Rates'!#REF!</definedName>
    <definedName name="ecabf_winter" localSheetId="1">'[6]Effective-Rates'!#REF!</definedName>
    <definedName name="ecabf_winter">'[6]Effective-Rates'!#REF!</definedName>
    <definedName name="elasticity" localSheetId="1">#REF!</definedName>
    <definedName name="elasticity">#REF!</definedName>
    <definedName name="EPMC1" localSheetId="1">#REF!</definedName>
    <definedName name="EPMC1">#REF!</definedName>
    <definedName name="EPMC2" localSheetId="1">#REF!</definedName>
    <definedName name="EPMC2">#REF!</definedName>
    <definedName name="EPMC3" localSheetId="1">#REF!</definedName>
    <definedName name="EPMC3">#REF!</definedName>
    <definedName name="EPMC4" localSheetId="1">#REF!</definedName>
    <definedName name="EPMC4">#REF!</definedName>
    <definedName name="Escalation_2001_2004">'[7]Customer MC'!$C$63</definedName>
    <definedName name="EXHIBIT" localSheetId="1">#REF!</definedName>
    <definedName name="EXHIBIT">#REF!</definedName>
    <definedName name="_xlnm.Extract">#REF!</definedName>
    <definedName name="Extract_MI">#REF!</definedName>
    <definedName name="F_Coal" localSheetId="1">#REF!</definedName>
    <definedName name="F_Coal">#REF!</definedName>
    <definedName name="F_Gas" localSheetId="1">#REF!</definedName>
    <definedName name="F_Gas">#REF!</definedName>
    <definedName name="F_Hydro" localSheetId="1">#REF!</definedName>
    <definedName name="F_Hydro">#REF!</definedName>
    <definedName name="F_Nuclear" localSheetId="1">#REF!</definedName>
    <definedName name="F_Nuclear">#REF!</definedName>
    <definedName name="F_Oil" localSheetId="1">#REF!</definedName>
    <definedName name="F_Oil">#REF!</definedName>
    <definedName name="F_Other" localSheetId="1">#REF!</definedName>
    <definedName name="F_Other">#REF!</definedName>
    <definedName name="F759_Database" localSheetId="1">#REF!</definedName>
    <definedName name="F759_Database">#REF!</definedName>
    <definedName name="f759_Database98" localSheetId="1">#REF!</definedName>
    <definedName name="f759_Database98">#REF!</definedName>
    <definedName name="f759_Database99" localSheetId="1">#REF!</definedName>
    <definedName name="f759_Database99">#REF!</definedName>
    <definedName name="Fed" localSheetId="1">#REF!</definedName>
    <definedName name="Fed">#REF!</definedName>
    <definedName name="Fed_FOther" localSheetId="1">#REF!</definedName>
    <definedName name="Fed_FOther">#REF!</definedName>
    <definedName name="Fed_Hydro" localSheetId="1">#REF!</definedName>
    <definedName name="Fed_Hydro">#REF!</definedName>
    <definedName name="Fed_IC" localSheetId="1">#REF!</definedName>
    <definedName name="Fed_IC">#REF!</definedName>
    <definedName name="Fed_NS" localSheetId="1">#REF!</definedName>
    <definedName name="Fed_NS">#REF!</definedName>
    <definedName name="Fed_Solar" localSheetId="1">#REF!</definedName>
    <definedName name="Fed_Solar">#REF!</definedName>
    <definedName name="Fed_Steam" localSheetId="1">#REF!</definedName>
    <definedName name="Fed_Steam">#REF!</definedName>
    <definedName name="Fed_Wind" localSheetId="1">#REF!</definedName>
    <definedName name="Fed_Wind">#REF!</definedName>
    <definedName name="Final___5_yr_TDBU_Capital_Budget" localSheetId="1">#REF!</definedName>
    <definedName name="Final___5_yr_TDBU_Capital_Budget">#REF!</definedName>
    <definedName name="FL" localSheetId="1">#REF!</definedName>
    <definedName name="FL">#REF!</definedName>
    <definedName name="FL_FuCoal" localSheetId="1">#REF!</definedName>
    <definedName name="FL_FuCoal">#REF!</definedName>
    <definedName name="FL_FuCoal_IOU" localSheetId="1">#REF!</definedName>
    <definedName name="FL_FuCoal_IOU">#REF!</definedName>
    <definedName name="FL_FuGas" localSheetId="1">#REF!</definedName>
    <definedName name="FL_FuGas">#REF!</definedName>
    <definedName name="FL_FuGas_IOU" localSheetId="1">#REF!</definedName>
    <definedName name="FL_FuGas_IOU">#REF!</definedName>
    <definedName name="FL_FuHyd" localSheetId="1">#REF!</definedName>
    <definedName name="FL_FuHyd">#REF!</definedName>
    <definedName name="FL_FuHyd_IOU" localSheetId="1">#REF!</definedName>
    <definedName name="FL_FuHyd_IOU">#REF!</definedName>
    <definedName name="FL_FuNuc" localSheetId="1">#REF!</definedName>
    <definedName name="FL_FuNuc">#REF!</definedName>
    <definedName name="FL_FuNuc_IOU" localSheetId="1">#REF!</definedName>
    <definedName name="FL_FuNuc_IOU">#REF!</definedName>
    <definedName name="FL_FuOil" localSheetId="1">#REF!</definedName>
    <definedName name="FL_FuOil">#REF!</definedName>
    <definedName name="FL_FuOil_IOU" localSheetId="1">#REF!</definedName>
    <definedName name="FL_FuOil_IOU">#REF!</definedName>
    <definedName name="FL_FuOth" localSheetId="1">#REF!</definedName>
    <definedName name="FL_FuOth">#REF!</definedName>
    <definedName name="FL_FuOth_IOU" localSheetId="1">#REF!</definedName>
    <definedName name="FL_FuOth_IOU">#REF!</definedName>
    <definedName name="FL_IOU" localSheetId="1">#REF!</definedName>
    <definedName name="FL_IOU">#REF!</definedName>
    <definedName name="FLCoop" localSheetId="1">#REF!</definedName>
    <definedName name="FLCoop">#REF!</definedName>
    <definedName name="flfed" localSheetId="1">#REF!</definedName>
    <definedName name="flfed">#REF!</definedName>
    <definedName name="FLHydro" localSheetId="1">#REF!</definedName>
    <definedName name="FLHydro">#REF!</definedName>
    <definedName name="FLHydro_IOU" localSheetId="1">#REF!</definedName>
    <definedName name="FLHydro_IOU">#REF!</definedName>
    <definedName name="FLIntCo" localSheetId="1">#REF!</definedName>
    <definedName name="FLIntCo">#REF!</definedName>
    <definedName name="FLIntCo_IOU" localSheetId="1">#REF!</definedName>
    <definedName name="FLIntCo_IOU">#REF!</definedName>
    <definedName name="flIOU" localSheetId="1">#REF!</definedName>
    <definedName name="flIOU">#REF!</definedName>
    <definedName name="FLNucStm" localSheetId="1">#REF!</definedName>
    <definedName name="FLNucStm">#REF!</definedName>
    <definedName name="FLNucStm_IOU" localSheetId="1">#REF!</definedName>
    <definedName name="FLNucStm_IOU">#REF!</definedName>
    <definedName name="FLSol" localSheetId="1">#REF!</definedName>
    <definedName name="FLSol">#REF!</definedName>
    <definedName name="FLSol_IOU" localSheetId="1">#REF!</definedName>
    <definedName name="FLSol_IOU">#REF!</definedName>
    <definedName name="FLStm" localSheetId="1">#REF!</definedName>
    <definedName name="FLStm">#REF!</definedName>
    <definedName name="FLStm_IOU" localSheetId="1">#REF!</definedName>
    <definedName name="FLStm_IOU">#REF!</definedName>
    <definedName name="FLWind" localSheetId="1">#REF!</definedName>
    <definedName name="FLWind">#REF!</definedName>
    <definedName name="FLWind_IOU" localSheetId="1">#REF!</definedName>
    <definedName name="FLWind_IOU">#REF!</definedName>
    <definedName name="FOOTNOTES" localSheetId="1">#REF!</definedName>
    <definedName name="FOOTNOTES">#REF!</definedName>
    <definedName name="GA" localSheetId="1">#REF!</definedName>
    <definedName name="GA">#REF!</definedName>
    <definedName name="GA_FuCoal" localSheetId="1">#REF!</definedName>
    <definedName name="GA_FuCoal">#REF!</definedName>
    <definedName name="GA_FuCoal_IOU" localSheetId="1">#REF!</definedName>
    <definedName name="GA_FuCoal_IOU">#REF!</definedName>
    <definedName name="GA_FuGas" localSheetId="1">#REF!</definedName>
    <definedName name="GA_FuGas">#REF!</definedName>
    <definedName name="GA_FuGas_IOU" localSheetId="1">#REF!</definedName>
    <definedName name="GA_FuGas_IOU">#REF!</definedName>
    <definedName name="GA_FuHyd" localSheetId="1">#REF!</definedName>
    <definedName name="GA_FuHyd">#REF!</definedName>
    <definedName name="GA_FuHyd_IOU" localSheetId="1">#REF!</definedName>
    <definedName name="GA_FuHyd_IOU">#REF!</definedName>
    <definedName name="GA_FuNuc" localSheetId="1">#REF!</definedName>
    <definedName name="GA_FuNuc">#REF!</definedName>
    <definedName name="GA_FuNuc_IOU" localSheetId="1">#REF!</definedName>
    <definedName name="GA_FuNuc_IOU">#REF!</definedName>
    <definedName name="GA_FuOil" localSheetId="1">#REF!</definedName>
    <definedName name="GA_FuOil">#REF!</definedName>
    <definedName name="GA_FuOil_IOU" localSheetId="1">#REF!</definedName>
    <definedName name="GA_FuOil_IOU">#REF!</definedName>
    <definedName name="GA_FuOth" localSheetId="1">#REF!</definedName>
    <definedName name="GA_FuOth">#REF!</definedName>
    <definedName name="GA_FuOth_IOU" localSheetId="1">#REF!</definedName>
    <definedName name="GA_FuOth_IOU">#REF!</definedName>
    <definedName name="GA_IOU" localSheetId="1">#REF!</definedName>
    <definedName name="GA_IOU">#REF!</definedName>
    <definedName name="GACoop" localSheetId="1">#REF!</definedName>
    <definedName name="GACoop">#REF!</definedName>
    <definedName name="gafed" localSheetId="1">#REF!</definedName>
    <definedName name="gafed">#REF!</definedName>
    <definedName name="GAHydro" localSheetId="1">#REF!</definedName>
    <definedName name="GAHydro">#REF!</definedName>
    <definedName name="GAHydro_IOU" localSheetId="1">#REF!</definedName>
    <definedName name="GAHydro_IOU">#REF!</definedName>
    <definedName name="GAIntCo" localSheetId="1">#REF!</definedName>
    <definedName name="GAIntCo">#REF!</definedName>
    <definedName name="GAIntCo_IOU" localSheetId="1">#REF!</definedName>
    <definedName name="GAIntCo_IOU">#REF!</definedName>
    <definedName name="gaIOU" localSheetId="1">#REF!</definedName>
    <definedName name="gaIOU">#REF!</definedName>
    <definedName name="GANucStm" localSheetId="1">#REF!</definedName>
    <definedName name="GANucStm">#REF!</definedName>
    <definedName name="GANucStm_IOU" localSheetId="1">#REF!</definedName>
    <definedName name="GANucStm_IOU">#REF!</definedName>
    <definedName name="GASol" localSheetId="1">#REF!</definedName>
    <definedName name="GASol">#REF!</definedName>
    <definedName name="GASol_IOU" localSheetId="1">#REF!</definedName>
    <definedName name="GASol_IOU">#REF!</definedName>
    <definedName name="GAStm" localSheetId="1">#REF!</definedName>
    <definedName name="GAStm">#REF!</definedName>
    <definedName name="GAStm_IOU" localSheetId="1">#REF!</definedName>
    <definedName name="GAStm_IOU">#REF!</definedName>
    <definedName name="GAWind" localSheetId="1">#REF!</definedName>
    <definedName name="GAWind">#REF!</definedName>
    <definedName name="GAWind_IOU" localSheetId="1">#REF!</definedName>
    <definedName name="GAWind_IOU">#REF!</definedName>
    <definedName name="Gen.plant_loading_factor">[8]Loaders!$B$9</definedName>
    <definedName name="Govt" localSheetId="1">#REF!</definedName>
    <definedName name="Govt">#REF!</definedName>
    <definedName name="govt_coop" localSheetId="1">#REF!</definedName>
    <definedName name="govt_coop">#REF!</definedName>
    <definedName name="Govt_coop_Hydro" localSheetId="1">#REF!</definedName>
    <definedName name="Govt_coop_Hydro">#REF!</definedName>
    <definedName name="Govt_coop_IC" localSheetId="1">#REF!</definedName>
    <definedName name="Govt_coop_IC">#REF!</definedName>
    <definedName name="Govt_coop_NS" localSheetId="1">#REF!</definedName>
    <definedName name="Govt_coop_NS">#REF!</definedName>
    <definedName name="Govt_coop_Solar" localSheetId="1">#REF!</definedName>
    <definedName name="Govt_coop_Solar">#REF!</definedName>
    <definedName name="Govt_coop_Steam" localSheetId="1">#REF!</definedName>
    <definedName name="Govt_coop_Steam">#REF!</definedName>
    <definedName name="Govt_coop_Wind" localSheetId="1">#REF!</definedName>
    <definedName name="Govt_coop_Wind">#REF!</definedName>
    <definedName name="Govt_FOther" localSheetId="1">#REF!</definedName>
    <definedName name="Govt_FOther">#REF!</definedName>
    <definedName name="Govt_Hydro" localSheetId="1">#REF!</definedName>
    <definedName name="Govt_Hydro">#REF!</definedName>
    <definedName name="GRC" localSheetId="1">#REF!</definedName>
    <definedName name="GRC">#REF!</definedName>
    <definedName name="HI" localSheetId="1">#REF!</definedName>
    <definedName name="HI">#REF!</definedName>
    <definedName name="HI_FuCoal" localSheetId="1">#REF!</definedName>
    <definedName name="HI_FuCoal">#REF!</definedName>
    <definedName name="HI_FuCoal_IOU" localSheetId="1">#REF!</definedName>
    <definedName name="HI_FuCoal_IOU">#REF!</definedName>
    <definedName name="HI_FuGas" localSheetId="1">#REF!</definedName>
    <definedName name="HI_FuGas">#REF!</definedName>
    <definedName name="HI_FuGas_IOU" localSheetId="1">#REF!</definedName>
    <definedName name="HI_FuGas_IOU">#REF!</definedName>
    <definedName name="HI_FuHyd" localSheetId="1">#REF!</definedName>
    <definedName name="HI_FuHyd">#REF!</definedName>
    <definedName name="HI_FuHyd_IOU" localSheetId="1">#REF!</definedName>
    <definedName name="HI_FuHyd_IOU">#REF!</definedName>
    <definedName name="HI_FuNuc" localSheetId="1">#REF!</definedName>
    <definedName name="HI_FuNuc">#REF!</definedName>
    <definedName name="HI_FuNuc_IOU" localSheetId="1">#REF!</definedName>
    <definedName name="HI_FuNuc_IOU">#REF!</definedName>
    <definedName name="HI_FuOil" localSheetId="1">#REF!</definedName>
    <definedName name="HI_FuOil">#REF!</definedName>
    <definedName name="HI_FuOil_IOU" localSheetId="1">#REF!</definedName>
    <definedName name="HI_FuOil_IOU">#REF!</definedName>
    <definedName name="HI_FuOth" localSheetId="1">#REF!</definedName>
    <definedName name="HI_FuOth">#REF!</definedName>
    <definedName name="HI_FuOth_IOU" localSheetId="1">#REF!</definedName>
    <definedName name="HI_FuOth_IOU">#REF!</definedName>
    <definedName name="HI_IOU" localSheetId="1">#REF!</definedName>
    <definedName name="HI_IOU">#REF!</definedName>
    <definedName name="HICoop" localSheetId="1">#REF!</definedName>
    <definedName name="HICoop">#REF!</definedName>
    <definedName name="hifed" localSheetId="1">#REF!</definedName>
    <definedName name="hifed">#REF!</definedName>
    <definedName name="HIHydro" localSheetId="1">#REF!</definedName>
    <definedName name="HIHydro">#REF!</definedName>
    <definedName name="HIHydro_IOU" localSheetId="1">#REF!</definedName>
    <definedName name="HIHydro_IOU">#REF!</definedName>
    <definedName name="HIIntCo" localSheetId="1">#REF!</definedName>
    <definedName name="HIIntCo">#REF!</definedName>
    <definedName name="HIIntCo_IOU" localSheetId="1">#REF!</definedName>
    <definedName name="HIIntCo_IOU">#REF!</definedName>
    <definedName name="hiIOU" localSheetId="1">#REF!</definedName>
    <definedName name="hiIOU">#REF!</definedName>
    <definedName name="HINucStm" localSheetId="1">#REF!</definedName>
    <definedName name="HINucStm">#REF!</definedName>
    <definedName name="HINucStm_IOU" localSheetId="1">#REF!</definedName>
    <definedName name="HINucStm_IOU">#REF!</definedName>
    <definedName name="HISol" localSheetId="1">#REF!</definedName>
    <definedName name="HISol">#REF!</definedName>
    <definedName name="HISol_IOU" localSheetId="1">#REF!</definedName>
    <definedName name="HISol_IOU">#REF!</definedName>
    <definedName name="HIStm" localSheetId="1">#REF!</definedName>
    <definedName name="HIStm">#REF!</definedName>
    <definedName name="HIStm_IOU" localSheetId="1">#REF!</definedName>
    <definedName name="HIStm_IOU">#REF!</definedName>
    <definedName name="HIWind" localSheetId="1">#REF!</definedName>
    <definedName name="HIWind">#REF!</definedName>
    <definedName name="HIWind_IOU" localSheetId="1">#REF!</definedName>
    <definedName name="HIWind_IOU">#REF!</definedName>
    <definedName name="Hydro" localSheetId="1">#REF!</definedName>
    <definedName name="Hydro">#REF!</definedName>
    <definedName name="IA" localSheetId="1">#REF!</definedName>
    <definedName name="IA">#REF!</definedName>
    <definedName name="IA_FuCoal" localSheetId="1">#REF!</definedName>
    <definedName name="IA_FuCoal">#REF!</definedName>
    <definedName name="IA_FuCoal_IOU" localSheetId="1">#REF!</definedName>
    <definedName name="IA_FuCoal_IOU">#REF!</definedName>
    <definedName name="IA_FuGas" localSheetId="1">#REF!</definedName>
    <definedName name="IA_FuGas">#REF!</definedName>
    <definedName name="IA_FuGas_IOU" localSheetId="1">#REF!</definedName>
    <definedName name="IA_FuGas_IOU">#REF!</definedName>
    <definedName name="IA_FuHyd" localSheetId="1">#REF!</definedName>
    <definedName name="IA_FuHyd">#REF!</definedName>
    <definedName name="IA_FuHyd_IOU" localSheetId="1">#REF!</definedName>
    <definedName name="IA_FuHyd_IOU">#REF!</definedName>
    <definedName name="IA_FuNuc" localSheetId="1">#REF!</definedName>
    <definedName name="IA_FuNuc">#REF!</definedName>
    <definedName name="IA_FuNuc_IOU" localSheetId="1">#REF!</definedName>
    <definedName name="IA_FuNuc_IOU">#REF!</definedName>
    <definedName name="IA_FuOil" localSheetId="1">#REF!</definedName>
    <definedName name="IA_FuOil">#REF!</definedName>
    <definedName name="IA_FuOil_IOU" localSheetId="1">#REF!</definedName>
    <definedName name="IA_FuOil_IOU">#REF!</definedName>
    <definedName name="IA_FuOth" localSheetId="1">#REF!</definedName>
    <definedName name="IA_FuOth">#REF!</definedName>
    <definedName name="IA_FuOth_IOU" localSheetId="1">#REF!</definedName>
    <definedName name="IA_FuOth_IOU">#REF!</definedName>
    <definedName name="IA_IOU" localSheetId="1">#REF!</definedName>
    <definedName name="IA_IOU">#REF!</definedName>
    <definedName name="IACoop" localSheetId="1">#REF!</definedName>
    <definedName name="IACoop">#REF!</definedName>
    <definedName name="iafed" localSheetId="1">#REF!</definedName>
    <definedName name="iafed">#REF!</definedName>
    <definedName name="IAHydro" localSheetId="1">#REF!</definedName>
    <definedName name="IAHydro">#REF!</definedName>
    <definedName name="IAHydro_IOU" localSheetId="1">#REF!</definedName>
    <definedName name="IAHydro_IOU">#REF!</definedName>
    <definedName name="IAIntCo" localSheetId="1">#REF!</definedName>
    <definedName name="IAIntCo">#REF!</definedName>
    <definedName name="IAIntCo_IOU" localSheetId="1">#REF!</definedName>
    <definedName name="IAIntCo_IOU">#REF!</definedName>
    <definedName name="iaIOU" localSheetId="1">#REF!</definedName>
    <definedName name="iaIOU">#REF!</definedName>
    <definedName name="IANucStm" localSheetId="1">#REF!</definedName>
    <definedName name="IANucStm">#REF!</definedName>
    <definedName name="IANucStm_IOU" localSheetId="1">#REF!</definedName>
    <definedName name="IANucStm_IOU">#REF!</definedName>
    <definedName name="IASol" localSheetId="1">#REF!</definedName>
    <definedName name="IASol">#REF!</definedName>
    <definedName name="IASol_IOU" localSheetId="1">#REF!</definedName>
    <definedName name="IASol_IOU">#REF!</definedName>
    <definedName name="IAStm" localSheetId="1">#REF!</definedName>
    <definedName name="IAStm">#REF!</definedName>
    <definedName name="IAStm_IOU" localSheetId="1">#REF!</definedName>
    <definedName name="IAStm_IOU">#REF!</definedName>
    <definedName name="IAWind" localSheetId="1">#REF!</definedName>
    <definedName name="IAWind">#REF!</definedName>
    <definedName name="IAWind_IOU" localSheetId="1">#REF!</definedName>
    <definedName name="IAWind_IOU">#REF!</definedName>
    <definedName name="ID" localSheetId="1">#REF!</definedName>
    <definedName name="ID">#REF!</definedName>
    <definedName name="ID_FuCoal" localSheetId="1">#REF!</definedName>
    <definedName name="ID_FuCoal">#REF!</definedName>
    <definedName name="ID_FuCoal_IOU" localSheetId="1">#REF!</definedName>
    <definedName name="ID_FuCoal_IOU">#REF!</definedName>
    <definedName name="ID_FuGas" localSheetId="1">#REF!</definedName>
    <definedName name="ID_FuGas">#REF!</definedName>
    <definedName name="ID_FuGas_IOU" localSheetId="1">#REF!</definedName>
    <definedName name="ID_FuGas_IOU">#REF!</definedName>
    <definedName name="ID_FuHyd" localSheetId="1">#REF!</definedName>
    <definedName name="ID_FuHyd">#REF!</definedName>
    <definedName name="ID_FuHyd_IOU" localSheetId="1">#REF!</definedName>
    <definedName name="ID_FuHyd_IOU">#REF!</definedName>
    <definedName name="ID_FuNuc" localSheetId="1">#REF!</definedName>
    <definedName name="ID_FuNuc">#REF!</definedName>
    <definedName name="ID_FuNuc_IOU" localSheetId="1">#REF!</definedName>
    <definedName name="ID_FuNuc_IOU">#REF!</definedName>
    <definedName name="ID_FuOil" localSheetId="1">#REF!</definedName>
    <definedName name="ID_FuOil">#REF!</definedName>
    <definedName name="ID_FuOil_IOU" localSheetId="1">#REF!</definedName>
    <definedName name="ID_FuOil_IOU">#REF!</definedName>
    <definedName name="ID_FuOth" localSheetId="1">#REF!</definedName>
    <definedName name="ID_FuOth">#REF!</definedName>
    <definedName name="ID_FuOth_IOU" localSheetId="1">#REF!</definedName>
    <definedName name="ID_FuOth_IOU">#REF!</definedName>
    <definedName name="ID_IOU" localSheetId="1">#REF!</definedName>
    <definedName name="ID_IOU">#REF!</definedName>
    <definedName name="IDCoop" localSheetId="1">#REF!</definedName>
    <definedName name="IDCoop">#REF!</definedName>
    <definedName name="idfed" localSheetId="1">#REF!</definedName>
    <definedName name="idfed">#REF!</definedName>
    <definedName name="IDHydro" localSheetId="1">#REF!</definedName>
    <definedName name="IDHydro">#REF!</definedName>
    <definedName name="IDHydro_IOU" localSheetId="1">#REF!</definedName>
    <definedName name="IDHydro_IOU">#REF!</definedName>
    <definedName name="IDIntCo" localSheetId="1">#REF!</definedName>
    <definedName name="IDIntCo">#REF!</definedName>
    <definedName name="IDIntCo_IOU" localSheetId="1">#REF!</definedName>
    <definedName name="IDIntCo_IOU">#REF!</definedName>
    <definedName name="idIOU" localSheetId="1">#REF!</definedName>
    <definedName name="idIOU">#REF!</definedName>
    <definedName name="IDNucStm" localSheetId="1">#REF!</definedName>
    <definedName name="IDNucStm">#REF!</definedName>
    <definedName name="IDNucStm_IOU" localSheetId="1">#REF!</definedName>
    <definedName name="IDNucStm_IOU">#REF!</definedName>
    <definedName name="IDSol" localSheetId="1">#REF!</definedName>
    <definedName name="IDSol">#REF!</definedName>
    <definedName name="IDSol_IOU" localSheetId="1">#REF!</definedName>
    <definedName name="IDSol_IOU">#REF!</definedName>
    <definedName name="IDStm" localSheetId="1">#REF!</definedName>
    <definedName name="IDStm">#REF!</definedName>
    <definedName name="IDStm_IOU" localSheetId="1">#REF!</definedName>
    <definedName name="IDStm_IOU">#REF!</definedName>
    <definedName name="IDWind" localSheetId="1">#REF!</definedName>
    <definedName name="IDWind">#REF!</definedName>
    <definedName name="IDWind_IOU" localSheetId="1">#REF!</definedName>
    <definedName name="IDWind_IOU">#REF!</definedName>
    <definedName name="IL" localSheetId="1">#REF!</definedName>
    <definedName name="IL">#REF!</definedName>
    <definedName name="IL_FuCoal" localSheetId="1">#REF!</definedName>
    <definedName name="IL_FuCoal">#REF!</definedName>
    <definedName name="IL_FuCoal_IOU" localSheetId="1">#REF!</definedName>
    <definedName name="IL_FuCoal_IOU">#REF!</definedName>
    <definedName name="IL_FuGas" localSheetId="1">#REF!</definedName>
    <definedName name="IL_FuGas">#REF!</definedName>
    <definedName name="IL_FuGas_IOU" localSheetId="1">#REF!</definedName>
    <definedName name="IL_FuGas_IOU">#REF!</definedName>
    <definedName name="IL_FuHyd" localSheetId="1">#REF!</definedName>
    <definedName name="IL_FuHyd">#REF!</definedName>
    <definedName name="IL_FuHyd_IOU" localSheetId="1">#REF!</definedName>
    <definedName name="IL_FuHyd_IOU">#REF!</definedName>
    <definedName name="IL_FuNuc" localSheetId="1">#REF!</definedName>
    <definedName name="IL_FuNuc">#REF!</definedName>
    <definedName name="IL_FuNuc_IOU" localSheetId="1">#REF!</definedName>
    <definedName name="IL_FuNuc_IOU">#REF!</definedName>
    <definedName name="IL_FuOil" localSheetId="1">#REF!</definedName>
    <definedName name="IL_FuOil">#REF!</definedName>
    <definedName name="IL_FuOil_IOU" localSheetId="1">#REF!</definedName>
    <definedName name="IL_FuOil_IOU">#REF!</definedName>
    <definedName name="IL_FuOth" localSheetId="1">#REF!</definedName>
    <definedName name="IL_FuOth">#REF!</definedName>
    <definedName name="IL_FuOth_IOU" localSheetId="1">#REF!</definedName>
    <definedName name="IL_FuOth_IOU">#REF!</definedName>
    <definedName name="IL_IOU" localSheetId="1">#REF!</definedName>
    <definedName name="IL_IOU">#REF!</definedName>
    <definedName name="ILCoop" localSheetId="1">#REF!</definedName>
    <definedName name="ILCoop">#REF!</definedName>
    <definedName name="ilfed" localSheetId="1">#REF!</definedName>
    <definedName name="ilfed">#REF!</definedName>
    <definedName name="ILHydro" localSheetId="1">#REF!</definedName>
    <definedName name="ILHydro">#REF!</definedName>
    <definedName name="ILHydro_IOU" localSheetId="1">#REF!</definedName>
    <definedName name="ILHydro_IOU">#REF!</definedName>
    <definedName name="ILIntCo" localSheetId="1">#REF!</definedName>
    <definedName name="ILIntCo">#REF!</definedName>
    <definedName name="ILIntCo_IOU" localSheetId="1">#REF!</definedName>
    <definedName name="ILIntCo_IOU">#REF!</definedName>
    <definedName name="ilIOU" localSheetId="1">#REF!</definedName>
    <definedName name="ilIOU">#REF!</definedName>
    <definedName name="ILNucStm" localSheetId="1">#REF!</definedName>
    <definedName name="ILNucStm">#REF!</definedName>
    <definedName name="ILNucStm_IOU" localSheetId="1">#REF!</definedName>
    <definedName name="ILNucStm_IOU">#REF!</definedName>
    <definedName name="ILSol" localSheetId="1">#REF!</definedName>
    <definedName name="ILSol">#REF!</definedName>
    <definedName name="ILSol_IOU" localSheetId="1">#REF!</definedName>
    <definedName name="ILSol_IOU">#REF!</definedName>
    <definedName name="ILStm" localSheetId="1">#REF!</definedName>
    <definedName name="ILStm">#REF!</definedName>
    <definedName name="ILStm_IOU" localSheetId="1">#REF!</definedName>
    <definedName name="ILStm_IOU">#REF!</definedName>
    <definedName name="ILWind" localSheetId="1">#REF!</definedName>
    <definedName name="ILWind">#REF!</definedName>
    <definedName name="ILWind_IOU" localSheetId="1">#REF!</definedName>
    <definedName name="ILWind_IOU">#REF!</definedName>
    <definedName name="IN" localSheetId="1">#REF!</definedName>
    <definedName name="IN">#REF!</definedName>
    <definedName name="IN_FuCoal" localSheetId="1">#REF!</definedName>
    <definedName name="IN_FuCoal">#REF!</definedName>
    <definedName name="IN_FuCoal_IOU" localSheetId="1">#REF!</definedName>
    <definedName name="IN_FuCoal_IOU">#REF!</definedName>
    <definedName name="IN_FuGas" localSheetId="1">#REF!</definedName>
    <definedName name="IN_FuGas">#REF!</definedName>
    <definedName name="IN_FuGas_IOU" localSheetId="1">#REF!</definedName>
    <definedName name="IN_FuGas_IOU">#REF!</definedName>
    <definedName name="IN_FuHyd" localSheetId="1">#REF!</definedName>
    <definedName name="IN_FuHyd">#REF!</definedName>
    <definedName name="IN_FuHyd_IOU" localSheetId="1">#REF!</definedName>
    <definedName name="IN_FuHyd_IOU">#REF!</definedName>
    <definedName name="IN_FuNuc" localSheetId="1">#REF!</definedName>
    <definedName name="IN_FuNuc">#REF!</definedName>
    <definedName name="IN_FuNuc_IOU" localSheetId="1">#REF!</definedName>
    <definedName name="IN_FuNuc_IOU">#REF!</definedName>
    <definedName name="IN_FuOil" localSheetId="1">#REF!</definedName>
    <definedName name="IN_FuOil">#REF!</definedName>
    <definedName name="IN_FuOil_IOU" localSheetId="1">#REF!</definedName>
    <definedName name="IN_FuOil_IOU">#REF!</definedName>
    <definedName name="IN_FuOth" localSheetId="1">#REF!</definedName>
    <definedName name="IN_FuOth">#REF!</definedName>
    <definedName name="IN_FuOth_IOU" localSheetId="1">#REF!</definedName>
    <definedName name="IN_FuOth_IOU">#REF!</definedName>
    <definedName name="IN_IOU" localSheetId="1">#REF!</definedName>
    <definedName name="IN_IOU">#REF!</definedName>
    <definedName name="INCoop" localSheetId="1">#REF!</definedName>
    <definedName name="INCoop">#REF!</definedName>
    <definedName name="Indata">#REF!</definedName>
    <definedName name="infed" localSheetId="1">#REF!</definedName>
    <definedName name="infed">#REF!</definedName>
    <definedName name="INHydro" localSheetId="1">#REF!</definedName>
    <definedName name="INHydro">#REF!</definedName>
    <definedName name="INHydro_IOU" localSheetId="1">#REF!</definedName>
    <definedName name="INHydro_IOU">#REF!</definedName>
    <definedName name="INIntCo" localSheetId="1">#REF!</definedName>
    <definedName name="INIntCo">#REF!</definedName>
    <definedName name="INIntCo_IOU" localSheetId="1">#REF!</definedName>
    <definedName name="INIntCo_IOU">#REF!</definedName>
    <definedName name="inIOU" localSheetId="1">#REF!</definedName>
    <definedName name="inIOU">#REF!</definedName>
    <definedName name="INNucStm" localSheetId="1">#REF!</definedName>
    <definedName name="INNucStm">#REF!</definedName>
    <definedName name="INNucStm_IOU" localSheetId="1">#REF!</definedName>
    <definedName name="INNucStm_IOU">#REF!</definedName>
    <definedName name="inpub" localSheetId="1">#REF!</definedName>
    <definedName name="inpub">#REF!</definedName>
    <definedName name="INSol" localSheetId="1">#REF!</definedName>
    <definedName name="INSol">#REF!</definedName>
    <definedName name="INSol_IOU" localSheetId="1">#REF!</definedName>
    <definedName name="INSol_IOU">#REF!</definedName>
    <definedName name="INStm" localSheetId="1">#REF!</definedName>
    <definedName name="INStm">#REF!</definedName>
    <definedName name="INStm_IOU" localSheetId="1">#REF!</definedName>
    <definedName name="INStm_IOU">#REF!</definedName>
    <definedName name="Intco" localSheetId="1">#REF!</definedName>
    <definedName name="Intco">#REF!</definedName>
    <definedName name="INWind" localSheetId="1">#REF!</definedName>
    <definedName name="INWind">#REF!</definedName>
    <definedName name="INWind_IOU" localSheetId="1">#REF!</definedName>
    <definedName name="INWind_IOU">#REF!</definedName>
    <definedName name="IOU" localSheetId="1">#REF!</definedName>
    <definedName name="IOU">#REF!</definedName>
    <definedName name="IOU_COOP" localSheetId="1">#REF!</definedName>
    <definedName name="IOU_COOP">#REF!</definedName>
    <definedName name="IOU_FCoal" localSheetId="1">#REF!</definedName>
    <definedName name="IOU_FCoal">#REF!</definedName>
    <definedName name="IOU_FGas" localSheetId="1">#REF!</definedName>
    <definedName name="IOU_FGas">#REF!</definedName>
    <definedName name="IOU_FHydro" localSheetId="1">#REF!</definedName>
    <definedName name="IOU_FHydro">#REF!</definedName>
    <definedName name="IOU_FNuclear" localSheetId="1">#REF!</definedName>
    <definedName name="IOU_FNuclear">#REF!</definedName>
    <definedName name="IOU_FOil" localSheetId="1">#REF!</definedName>
    <definedName name="IOU_FOil">#REF!</definedName>
    <definedName name="IOU_FOther" localSheetId="1">#REF!</definedName>
    <definedName name="IOU_FOther">#REF!</definedName>
    <definedName name="IOU_Hydro" localSheetId="1">#REF!</definedName>
    <definedName name="IOU_Hydro">#REF!</definedName>
    <definedName name="IOU_IC" localSheetId="1">#REF!</definedName>
    <definedName name="IOU_IC">#REF!</definedName>
    <definedName name="IOU_NS" localSheetId="1">#REF!</definedName>
    <definedName name="IOU_NS">#REF!</definedName>
    <definedName name="IOU_Solar" localSheetId="1">#REF!</definedName>
    <definedName name="IOU_Solar">#REF!</definedName>
    <definedName name="IOU_Steam" localSheetId="1">#REF!</definedName>
    <definedName name="IOU_Steam">#REF!</definedName>
    <definedName name="IOU_Wind" localSheetId="1">#REF!</definedName>
    <definedName name="IOU_Wind">#REF!</definedName>
    <definedName name="IOUHydro" localSheetId="1">#REF!</definedName>
    <definedName name="IOUHydro">#REF!</definedName>
    <definedName name="IOUIC" localSheetId="1">#REF!</definedName>
    <definedName name="IOUIC">#REF!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44327.6457986111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o.T.land">[9]RCN!$E$23:$CG$23,[9]RCN!$E$15:$CG$15</definedName>
    <definedName name="JETSET" localSheetId="1">#REF!</definedName>
    <definedName name="JETSET">#REF!</definedName>
    <definedName name="KS" localSheetId="1">#REF!</definedName>
    <definedName name="KS">#REF!</definedName>
    <definedName name="KS_FuCoal" localSheetId="1">#REF!</definedName>
    <definedName name="KS_FuCoal">#REF!</definedName>
    <definedName name="KS_FuCoal_IOU" localSheetId="1">#REF!</definedName>
    <definedName name="KS_FuCoal_IOU">#REF!</definedName>
    <definedName name="KS_FuGas" localSheetId="1">#REF!</definedName>
    <definedName name="KS_FuGas">#REF!</definedName>
    <definedName name="KS_FuGas_IOU" localSheetId="1">#REF!</definedName>
    <definedName name="KS_FuGas_IOU">#REF!</definedName>
    <definedName name="KS_FuHyd" localSheetId="1">#REF!</definedName>
    <definedName name="KS_FuHyd">#REF!</definedName>
    <definedName name="KS_FuHyd_IOU" localSheetId="1">#REF!</definedName>
    <definedName name="KS_FuHyd_IOU">#REF!</definedName>
    <definedName name="KS_FuNuc" localSheetId="1">#REF!</definedName>
    <definedName name="KS_FuNuc">#REF!</definedName>
    <definedName name="KS_FuNuc_IOU" localSheetId="1">#REF!</definedName>
    <definedName name="KS_FuNuc_IOU">#REF!</definedName>
    <definedName name="KS_FuOil" localSheetId="1">#REF!</definedName>
    <definedName name="KS_FuOil">#REF!</definedName>
    <definedName name="KS_FuOil_IOU" localSheetId="1">#REF!</definedName>
    <definedName name="KS_FuOil_IOU">#REF!</definedName>
    <definedName name="KS_FuOth" localSheetId="1">#REF!</definedName>
    <definedName name="KS_FuOth">#REF!</definedName>
    <definedName name="KS_FuOth_IOU" localSheetId="1">#REF!</definedName>
    <definedName name="KS_FuOth_IOU">#REF!</definedName>
    <definedName name="KS_IOU" localSheetId="1">#REF!</definedName>
    <definedName name="KS_IOU">#REF!</definedName>
    <definedName name="KSCoop" localSheetId="1">#REF!</definedName>
    <definedName name="KSCoop">#REF!</definedName>
    <definedName name="ksfed" localSheetId="1">#REF!</definedName>
    <definedName name="ksfed">#REF!</definedName>
    <definedName name="KSHydro" localSheetId="1">#REF!</definedName>
    <definedName name="KSHydro">#REF!</definedName>
    <definedName name="KSHydro_IOU" localSheetId="1">#REF!</definedName>
    <definedName name="KSHydro_IOU">#REF!</definedName>
    <definedName name="KSIntCo" localSheetId="1">#REF!</definedName>
    <definedName name="KSIntCo">#REF!</definedName>
    <definedName name="KSIntCo_IOU" localSheetId="1">#REF!</definedName>
    <definedName name="KSIntCo_IOU">#REF!</definedName>
    <definedName name="ksIOU" localSheetId="1">#REF!</definedName>
    <definedName name="ksIOU">#REF!</definedName>
    <definedName name="KSNucStm" localSheetId="1">#REF!</definedName>
    <definedName name="KSNucStm">#REF!</definedName>
    <definedName name="KSNucStm_IOU" localSheetId="1">#REF!</definedName>
    <definedName name="KSNucStm_IOU">#REF!</definedName>
    <definedName name="kspub" localSheetId="1">#REF!</definedName>
    <definedName name="kspub">#REF!</definedName>
    <definedName name="KSSol" localSheetId="1">#REF!</definedName>
    <definedName name="KSSol">#REF!</definedName>
    <definedName name="KSSol_IOU" localSheetId="1">#REF!</definedName>
    <definedName name="KSSol_IOU">#REF!</definedName>
    <definedName name="KSStm" localSheetId="1">#REF!</definedName>
    <definedName name="KSStm">#REF!</definedName>
    <definedName name="KSStm_IOU" localSheetId="1">#REF!</definedName>
    <definedName name="KSStm_IOU">#REF!</definedName>
    <definedName name="KSWind" localSheetId="1">#REF!</definedName>
    <definedName name="KSWind">#REF!</definedName>
    <definedName name="KSWind_IOU" localSheetId="1">#REF!</definedName>
    <definedName name="KSWind_IOU">#REF!</definedName>
    <definedName name="KY" localSheetId="1">#REF!</definedName>
    <definedName name="KY">#REF!</definedName>
    <definedName name="KY_FuCoal" localSheetId="1">#REF!</definedName>
    <definedName name="KY_FuCoal">#REF!</definedName>
    <definedName name="KY_FuCoal_IOU" localSheetId="1">#REF!</definedName>
    <definedName name="KY_FuCoal_IOU">#REF!</definedName>
    <definedName name="KY_FuGas" localSheetId="1">#REF!</definedName>
    <definedName name="KY_FuGas">#REF!</definedName>
    <definedName name="KY_FuGas_IOU" localSheetId="1">#REF!</definedName>
    <definedName name="KY_FuGas_IOU">#REF!</definedName>
    <definedName name="KY_FuHyd" localSheetId="1">#REF!</definedName>
    <definedName name="KY_FuHyd">#REF!</definedName>
    <definedName name="KY_FuHyd_IOU" localSheetId="1">#REF!</definedName>
    <definedName name="KY_FuHyd_IOU">#REF!</definedName>
    <definedName name="KY_FuNuc" localSheetId="1">#REF!</definedName>
    <definedName name="KY_FuNuc">#REF!</definedName>
    <definedName name="KY_FuNuc_IOU" localSheetId="1">#REF!</definedName>
    <definedName name="KY_FuNuc_IOU">#REF!</definedName>
    <definedName name="KY_FuOil" localSheetId="1">#REF!</definedName>
    <definedName name="KY_FuOil">#REF!</definedName>
    <definedName name="KY_FuOil_IOU" localSheetId="1">#REF!</definedName>
    <definedName name="KY_FuOil_IOU">#REF!</definedName>
    <definedName name="KY_FuOth" localSheetId="1">#REF!</definedName>
    <definedName name="KY_FuOth">#REF!</definedName>
    <definedName name="KY_FuOth_IOU" localSheetId="1">#REF!</definedName>
    <definedName name="KY_FuOth_IOU">#REF!</definedName>
    <definedName name="KY_IOU" localSheetId="1">#REF!</definedName>
    <definedName name="KY_IOU">#REF!</definedName>
    <definedName name="KYCoop" localSheetId="1">#REF!</definedName>
    <definedName name="KYCoop">#REF!</definedName>
    <definedName name="kyfed" localSheetId="1">#REF!</definedName>
    <definedName name="kyfed">#REF!</definedName>
    <definedName name="KYHydro" localSheetId="1">#REF!</definedName>
    <definedName name="KYHydro">#REF!</definedName>
    <definedName name="KYHydro_IOU" localSheetId="1">#REF!</definedName>
    <definedName name="KYHydro_IOU">#REF!</definedName>
    <definedName name="KYIntCo" localSheetId="1">#REF!</definedName>
    <definedName name="KYIntCo">#REF!</definedName>
    <definedName name="KYIntCo_IOU" localSheetId="1">#REF!</definedName>
    <definedName name="KYIntCo_IOU">#REF!</definedName>
    <definedName name="kyiou" localSheetId="1">#REF!</definedName>
    <definedName name="kyiou">#REF!</definedName>
    <definedName name="KYNucStm" localSheetId="1">#REF!</definedName>
    <definedName name="KYNucStm">#REF!</definedName>
    <definedName name="KYNucStm_IOU" localSheetId="1">#REF!</definedName>
    <definedName name="KYNucStm_IOU">#REF!</definedName>
    <definedName name="KYSol" localSheetId="1">#REF!</definedName>
    <definedName name="KYSol">#REF!</definedName>
    <definedName name="KYSol_IOU" localSheetId="1">#REF!</definedName>
    <definedName name="KYSol_IOU">#REF!</definedName>
    <definedName name="KYStm" localSheetId="1">#REF!</definedName>
    <definedName name="KYStm">#REF!</definedName>
    <definedName name="KYStm_IOU" localSheetId="1">#REF!</definedName>
    <definedName name="KYStm_IOU">#REF!</definedName>
    <definedName name="KYWind" localSheetId="1">#REF!</definedName>
    <definedName name="KYWind">#REF!</definedName>
    <definedName name="KYWind_IOU" localSheetId="1">#REF!</definedName>
    <definedName name="KYWind_IOU">#REF!</definedName>
    <definedName name="LA" localSheetId="1">#REF!</definedName>
    <definedName name="LA">#REF!</definedName>
    <definedName name="LA_FuCoal" localSheetId="1">#REF!</definedName>
    <definedName name="LA_FuCoal">#REF!</definedName>
    <definedName name="LA_FuCoal_IOU" localSheetId="1">#REF!</definedName>
    <definedName name="LA_FuCoal_IOU">#REF!</definedName>
    <definedName name="LA_FuGas" localSheetId="1">#REF!</definedName>
    <definedName name="LA_FuGas">#REF!</definedName>
    <definedName name="LA_FuGas_IOU" localSheetId="1">#REF!</definedName>
    <definedName name="LA_FuGas_IOU">#REF!</definedName>
    <definedName name="LA_FuHyd" localSheetId="1">#REF!</definedName>
    <definedName name="LA_FuHyd">#REF!</definedName>
    <definedName name="LA_FuHyd_IOU" localSheetId="1">#REF!</definedName>
    <definedName name="LA_FuHyd_IOU">#REF!</definedName>
    <definedName name="LA_FuNuc" localSheetId="1">#REF!</definedName>
    <definedName name="LA_FuNuc">#REF!</definedName>
    <definedName name="LA_FuNuc_IOU" localSheetId="1">#REF!</definedName>
    <definedName name="LA_FuNuc_IOU">#REF!</definedName>
    <definedName name="LA_FuOil" localSheetId="1">#REF!</definedName>
    <definedName name="LA_FuOil">#REF!</definedName>
    <definedName name="LA_FuOil_IOU" localSheetId="1">#REF!</definedName>
    <definedName name="LA_FuOil_IOU">#REF!</definedName>
    <definedName name="LA_FuOth" localSheetId="1">#REF!</definedName>
    <definedName name="LA_FuOth">#REF!</definedName>
    <definedName name="LA_FuOth_IOU" localSheetId="1">#REF!</definedName>
    <definedName name="LA_FuOth_IOU">#REF!</definedName>
    <definedName name="LA_IOU" localSheetId="1">#REF!</definedName>
    <definedName name="LA_IOU">#REF!</definedName>
    <definedName name="laCoop" localSheetId="1">#REF!</definedName>
    <definedName name="laCoop">#REF!</definedName>
    <definedName name="lafed" localSheetId="1">#REF!</definedName>
    <definedName name="lafed">#REF!</definedName>
    <definedName name="LAHydro" localSheetId="1">#REF!</definedName>
    <definedName name="LAHydro">#REF!</definedName>
    <definedName name="LAHydro_IOU" localSheetId="1">#REF!</definedName>
    <definedName name="LAHydro_IOU">#REF!</definedName>
    <definedName name="LAIntCo" localSheetId="1">#REF!</definedName>
    <definedName name="LAIntCo">#REF!</definedName>
    <definedName name="LAIntCo_IOU" localSheetId="1">#REF!</definedName>
    <definedName name="LAIntCo_IOU">#REF!</definedName>
    <definedName name="laIOU" localSheetId="1">#REF!</definedName>
    <definedName name="laIOU">#REF!</definedName>
    <definedName name="LANucStm" localSheetId="1">#REF!</definedName>
    <definedName name="LANucStm">#REF!</definedName>
    <definedName name="LANucStm_IOU" localSheetId="1">#REF!</definedName>
    <definedName name="LANucStm_IOU">#REF!</definedName>
    <definedName name="lapub" localSheetId="1">#REF!</definedName>
    <definedName name="lapub">#REF!</definedName>
    <definedName name="LASol" localSheetId="1">#REF!</definedName>
    <definedName name="LASol">#REF!</definedName>
    <definedName name="LASol_IOU" localSheetId="1">#REF!</definedName>
    <definedName name="LASol_IOU">#REF!</definedName>
    <definedName name="LAStm" localSheetId="1">#REF!</definedName>
    <definedName name="LAStm">#REF!</definedName>
    <definedName name="LAStm_IOU" localSheetId="1">#REF!</definedName>
    <definedName name="LAStm_IOU">#REF!</definedName>
    <definedName name="LAWind" localSheetId="1">#REF!</definedName>
    <definedName name="LAWind">#REF!</definedName>
    <definedName name="LAWind_IOU" localSheetId="1">#REF!</definedName>
    <definedName name="LAWind_IOU">#REF!</definedName>
    <definedName name="low_income_discount_Baseline" localSheetId="1">'[6]Effective-Rates'!#REF!</definedName>
    <definedName name="low_income_discount_Baseline">'[6]Effective-Rates'!#REF!</definedName>
    <definedName name="LS_1_allnight" localSheetId="1">'[6]Effective-Rates'!#REF!</definedName>
    <definedName name="LS_1_allnight">'[6]Effective-Rates'!#REF!</definedName>
    <definedName name="LS_1_midnight" localSheetId="1">'[6]Effective-Rates'!#REF!</definedName>
    <definedName name="LS_1_midnight">'[6]Effective-Rates'!#REF!</definedName>
    <definedName name="LS_2_allnight" localSheetId="1">'[6]Effective-Rates'!#REF!</definedName>
    <definedName name="LS_2_allnight">'[6]Effective-Rates'!#REF!</definedName>
    <definedName name="LS_2_midnight" localSheetId="1">'[6]Effective-Rates'!#REF!</definedName>
    <definedName name="LS_2_midnight">'[6]Effective-Rates'!#REF!</definedName>
    <definedName name="LS_3" localSheetId="1">'[6]Effective-Rates'!#REF!</definedName>
    <definedName name="LS_3">'[6]Effective-Rates'!#REF!</definedName>
    <definedName name="MA" localSheetId="1">#REF!</definedName>
    <definedName name="MA">#REF!</definedName>
    <definedName name="MA_FuCoal" localSheetId="1">#REF!</definedName>
    <definedName name="MA_FuCoal">#REF!</definedName>
    <definedName name="MA_FuCoal_IOU" localSheetId="1">#REF!</definedName>
    <definedName name="MA_FuCoal_IOU">#REF!</definedName>
    <definedName name="MA_FuGas" localSheetId="1">#REF!</definedName>
    <definedName name="MA_FuGas">#REF!</definedName>
    <definedName name="MA_FuGas_IOU" localSheetId="1">#REF!</definedName>
    <definedName name="MA_FuGas_IOU">#REF!</definedName>
    <definedName name="MA_FuHyd" localSheetId="1">#REF!</definedName>
    <definedName name="MA_FuHyd">#REF!</definedName>
    <definedName name="MA_FuHyd_IOU" localSheetId="1">#REF!</definedName>
    <definedName name="MA_FuHyd_IOU">#REF!</definedName>
    <definedName name="MA_FuNuc" localSheetId="1">#REF!</definedName>
    <definedName name="MA_FuNuc">#REF!</definedName>
    <definedName name="MA_FuNuc_IOU" localSheetId="1">#REF!</definedName>
    <definedName name="MA_FuNuc_IOU">#REF!</definedName>
    <definedName name="MA_FuOil" localSheetId="1">#REF!</definedName>
    <definedName name="MA_FuOil">#REF!</definedName>
    <definedName name="MA_FuOil_IOU" localSheetId="1">#REF!</definedName>
    <definedName name="MA_FuOil_IOU">#REF!</definedName>
    <definedName name="MA_FuOth" localSheetId="1">#REF!</definedName>
    <definedName name="MA_FuOth">#REF!</definedName>
    <definedName name="MA_FuOth_IOU" localSheetId="1">#REF!</definedName>
    <definedName name="MA_FuOth_IOU">#REF!</definedName>
    <definedName name="MA_IOU" localSheetId="1">#REF!</definedName>
    <definedName name="MA_IOU">#REF!</definedName>
    <definedName name="maCoop" localSheetId="1">#REF!</definedName>
    <definedName name="maCoop">#REF!</definedName>
    <definedName name="mafed" localSheetId="1">#REF!</definedName>
    <definedName name="mafed">#REF!</definedName>
    <definedName name="MAHydro" localSheetId="1">#REF!</definedName>
    <definedName name="MAHydro">#REF!</definedName>
    <definedName name="MAHydro_IOU" localSheetId="1">#REF!</definedName>
    <definedName name="MAHydro_IOU">#REF!</definedName>
    <definedName name="MAIntCo" localSheetId="1">#REF!</definedName>
    <definedName name="MAIntCo">#REF!</definedName>
    <definedName name="MAIntCo_IOU" localSheetId="1">#REF!</definedName>
    <definedName name="MAIntCo_IOU">#REF!</definedName>
    <definedName name="maIOU" localSheetId="1">#REF!</definedName>
    <definedName name="maIOU">#REF!</definedName>
    <definedName name="MANucStm" localSheetId="1">#REF!</definedName>
    <definedName name="MANucStm">#REF!</definedName>
    <definedName name="MANucStm_IOU" localSheetId="1">#REF!</definedName>
    <definedName name="MANucStm_IOU">#REF!</definedName>
    <definedName name="mapub" localSheetId="1">#REF!</definedName>
    <definedName name="mapub">#REF!</definedName>
    <definedName name="MASol" localSheetId="1">#REF!</definedName>
    <definedName name="MASol">#REF!</definedName>
    <definedName name="MASol_IOU" localSheetId="1">#REF!</definedName>
    <definedName name="MASol_IOU">#REF!</definedName>
    <definedName name="MAStm" localSheetId="1">#REF!</definedName>
    <definedName name="MAStm">#REF!</definedName>
    <definedName name="MAStm_IOU" localSheetId="1">#REF!</definedName>
    <definedName name="MAStm_IOU">#REF!</definedName>
    <definedName name="MAWind" localSheetId="1">#REF!</definedName>
    <definedName name="MAWind">#REF!</definedName>
    <definedName name="MAWind_IOU" localSheetId="1">#REF!</definedName>
    <definedName name="MAWind_IOU">#REF!</definedName>
    <definedName name="MC__T_Land" localSheetId="1">#REF!</definedName>
    <definedName name="MC__T_Land">#REF!</definedName>
    <definedName name="mc_dist_circuits" localSheetId="1">#REF!</definedName>
    <definedName name="mc_dist_circuits">#REF!</definedName>
    <definedName name="mc_dist_land" localSheetId="1">#REF!</definedName>
    <definedName name="mc_dist_land">#REF!</definedName>
    <definedName name="mc_dist_station" localSheetId="1">#REF!</definedName>
    <definedName name="mc_dist_station">#REF!</definedName>
    <definedName name="mc_non_iso_t_circuits" localSheetId="1">#REF!</definedName>
    <definedName name="mc_non_iso_t_circuits">#REF!</definedName>
    <definedName name="MC_non_iso_T_Land" localSheetId="1">#REF!</definedName>
    <definedName name="MC_non_iso_T_Land">#REF!</definedName>
    <definedName name="MC_non_iso_t_station" localSheetId="1">#REF!</definedName>
    <definedName name="MC_non_iso_t_station">#REF!</definedName>
    <definedName name="mc_t_circuits" localSheetId="1">#REF!</definedName>
    <definedName name="mc_t_circuits">#REF!</definedName>
    <definedName name="MC_T_Land" localSheetId="1">#REF!</definedName>
    <definedName name="MC_T_Land">#REF!</definedName>
    <definedName name="MC_t_station" localSheetId="1">#REF!</definedName>
    <definedName name="MC_t_station">#REF!</definedName>
    <definedName name="MCRR_22" localSheetId="1">#REF!</definedName>
    <definedName name="MCRR_22">#REF!</definedName>
    <definedName name="MCRR_TABLE" localSheetId="1">#REF!</definedName>
    <definedName name="MCRR_TABLE">#REF!</definedName>
    <definedName name="MCRR_TABLE_W_RD" localSheetId="1">#REF!</definedName>
    <definedName name="MCRR_TABLE_W_RD">#REF!</definedName>
    <definedName name="MD" localSheetId="1">#REF!</definedName>
    <definedName name="MD">#REF!</definedName>
    <definedName name="MD_FuCoal" localSheetId="1">#REF!</definedName>
    <definedName name="MD_FuCoal">#REF!</definedName>
    <definedName name="MD_FuCoal_IOU" localSheetId="1">#REF!</definedName>
    <definedName name="MD_FuCoal_IOU">#REF!</definedName>
    <definedName name="MD_FuGas" localSheetId="1">#REF!</definedName>
    <definedName name="MD_FuGas">#REF!</definedName>
    <definedName name="MD_FuGas_IOU" localSheetId="1">#REF!</definedName>
    <definedName name="MD_FuGas_IOU">#REF!</definedName>
    <definedName name="MD_FuHyd" localSheetId="1">#REF!</definedName>
    <definedName name="MD_FuHyd">#REF!</definedName>
    <definedName name="MD_FuNuc" localSheetId="1">#REF!</definedName>
    <definedName name="MD_FuNuc">#REF!</definedName>
    <definedName name="MD_FuNuc_IOU" localSheetId="1">#REF!</definedName>
    <definedName name="MD_FuNuc_IOU">#REF!</definedName>
    <definedName name="MD_FuOil" localSheetId="1">#REF!</definedName>
    <definedName name="MD_FuOil">#REF!</definedName>
    <definedName name="MD_FuOil_IOU" localSheetId="1">#REF!</definedName>
    <definedName name="MD_FuOil_IOU">#REF!</definedName>
    <definedName name="MD_FuOth" localSheetId="1">#REF!</definedName>
    <definedName name="MD_FuOth">#REF!</definedName>
    <definedName name="MD_FuOth_IOU" localSheetId="1">#REF!</definedName>
    <definedName name="MD_FuOth_IOU">#REF!</definedName>
    <definedName name="MD_IOU" localSheetId="1">#REF!</definedName>
    <definedName name="MD_IOU">#REF!</definedName>
    <definedName name="mdCoop" localSheetId="1">#REF!</definedName>
    <definedName name="mdCoop">#REF!</definedName>
    <definedName name="MDD_Sector_1" localSheetId="1">#REF!</definedName>
    <definedName name="MDD_Sector_1">#REF!</definedName>
    <definedName name="MDD_Sector_2" localSheetId="1">#REF!</definedName>
    <definedName name="MDD_Sector_2">#REF!</definedName>
    <definedName name="mdfed" localSheetId="1">#REF!</definedName>
    <definedName name="mdfed">#REF!</definedName>
    <definedName name="MDHydro" localSheetId="1">#REF!</definedName>
    <definedName name="MDHydro">#REF!</definedName>
    <definedName name="MDHydro_IOU" localSheetId="1">#REF!</definedName>
    <definedName name="MDHydro_IOU">#REF!</definedName>
    <definedName name="MDIntCo" localSheetId="1">#REF!</definedName>
    <definedName name="MDIntCo">#REF!</definedName>
    <definedName name="MDIntCo_IOU" localSheetId="1">#REF!</definedName>
    <definedName name="MDIntCo_IOU">#REF!</definedName>
    <definedName name="mdIOU" localSheetId="1">#REF!</definedName>
    <definedName name="mdIOU">#REF!</definedName>
    <definedName name="MDNucStm" localSheetId="1">#REF!</definedName>
    <definedName name="MDNucStm">#REF!</definedName>
    <definedName name="MDNucStm_IOU" localSheetId="1">#REF!</definedName>
    <definedName name="MDNucStm_IOU">#REF!</definedName>
    <definedName name="mdpub" localSheetId="1">#REF!</definedName>
    <definedName name="mdpub">#REF!</definedName>
    <definedName name="MDSol" localSheetId="1">#REF!</definedName>
    <definedName name="MDSol">#REF!</definedName>
    <definedName name="MDSol_IOU" localSheetId="1">#REF!</definedName>
    <definedName name="MDSol_IOU">#REF!</definedName>
    <definedName name="MDStm" localSheetId="1">#REF!</definedName>
    <definedName name="MDStm">#REF!</definedName>
    <definedName name="MDStm_IOU" localSheetId="1">#REF!</definedName>
    <definedName name="MDStm_IOU">#REF!</definedName>
    <definedName name="MDWind" localSheetId="1">#REF!</definedName>
    <definedName name="MDWind">#REF!</definedName>
    <definedName name="MDWind_IOU" localSheetId="1">#REF!</definedName>
    <definedName name="MDWind_IOU">#REF!</definedName>
    <definedName name="ME" localSheetId="1">#REF!</definedName>
    <definedName name="ME">#REF!</definedName>
    <definedName name="ME_FuCoal" localSheetId="1">#REF!</definedName>
    <definedName name="ME_FuCoal">#REF!</definedName>
    <definedName name="ME_FuCoal_IOU" localSheetId="1">#REF!</definedName>
    <definedName name="ME_FuCoal_IOU">#REF!</definedName>
    <definedName name="ME_FuGas" localSheetId="1">#REF!</definedName>
    <definedName name="ME_FuGas">#REF!</definedName>
    <definedName name="ME_FuGas_IOU" localSheetId="1">#REF!</definedName>
    <definedName name="ME_FuGas_IOU">#REF!</definedName>
    <definedName name="ME_FuHyd" localSheetId="1">#REF!</definedName>
    <definedName name="ME_FuHyd">#REF!</definedName>
    <definedName name="ME_FuHyd_IOU" localSheetId="1">#REF!</definedName>
    <definedName name="ME_FuHyd_IOU">#REF!</definedName>
    <definedName name="ME_FuNuc" localSheetId="1">#REF!</definedName>
    <definedName name="ME_FuNuc">#REF!</definedName>
    <definedName name="ME_FuNuc_IOU" localSheetId="1">#REF!</definedName>
    <definedName name="ME_FuNuc_IOU">#REF!</definedName>
    <definedName name="ME_FuOil" localSheetId="1">#REF!</definedName>
    <definedName name="ME_FuOil">#REF!</definedName>
    <definedName name="ME_FuOil_IOU" localSheetId="1">#REF!</definedName>
    <definedName name="ME_FuOil_IOU">#REF!</definedName>
    <definedName name="ME_FuOth" localSheetId="1">#REF!</definedName>
    <definedName name="ME_FuOth">#REF!</definedName>
    <definedName name="ME_FuOth_IOU" localSheetId="1">#REF!</definedName>
    <definedName name="ME_FuOth_IOU">#REF!</definedName>
    <definedName name="ME_IOU" localSheetId="1">#REF!</definedName>
    <definedName name="ME_IOU">#REF!</definedName>
    <definedName name="meCoop" localSheetId="1">#REF!</definedName>
    <definedName name="meCoop">#REF!</definedName>
    <definedName name="mefed" localSheetId="1">#REF!</definedName>
    <definedName name="mefed">#REF!</definedName>
    <definedName name="MEHydro" localSheetId="1">#REF!</definedName>
    <definedName name="MEHydro">#REF!</definedName>
    <definedName name="MEHydro_IOU" localSheetId="1">#REF!</definedName>
    <definedName name="MEHydro_IOU">#REF!</definedName>
    <definedName name="MEIntCo" localSheetId="1">#REF!</definedName>
    <definedName name="MEIntCo">#REF!</definedName>
    <definedName name="MEIntCo_IOU" localSheetId="1">#REF!</definedName>
    <definedName name="MEIntCo_IOU">#REF!</definedName>
    <definedName name="meIOU" localSheetId="1">#REF!</definedName>
    <definedName name="meIOU">#REF!</definedName>
    <definedName name="MENucStm" localSheetId="1">#REF!</definedName>
    <definedName name="MENucStm">#REF!</definedName>
    <definedName name="MENucStm_IOU" localSheetId="1">#REF!</definedName>
    <definedName name="MENucStm_IOU">#REF!</definedName>
    <definedName name="mepub" localSheetId="1">#REF!</definedName>
    <definedName name="mepub">#REF!</definedName>
    <definedName name="MESol" localSheetId="1">#REF!</definedName>
    <definedName name="MESol">#REF!</definedName>
    <definedName name="MESol_IOU" localSheetId="1">#REF!</definedName>
    <definedName name="MESol_IOU">#REF!</definedName>
    <definedName name="MEStm" localSheetId="1">#REF!</definedName>
    <definedName name="MEStm">#REF!</definedName>
    <definedName name="MEStm_IOU" localSheetId="1">#REF!</definedName>
    <definedName name="MEStm_IOU">#REF!</definedName>
    <definedName name="MEWind" localSheetId="1">#REF!</definedName>
    <definedName name="MEWind">#REF!</definedName>
    <definedName name="MEWind_IOU" localSheetId="1">#REF!</definedName>
    <definedName name="MEWind_IOU">#REF!</definedName>
    <definedName name="MI" localSheetId="1">#REF!</definedName>
    <definedName name="MI">#REF!</definedName>
    <definedName name="MI_FuCoal" localSheetId="1">#REF!</definedName>
    <definedName name="MI_FuCoal">#REF!</definedName>
    <definedName name="MI_FuCoal_IOU" localSheetId="1">#REF!</definedName>
    <definedName name="MI_FuCoal_IOU">#REF!</definedName>
    <definedName name="MI_FuGas" localSheetId="1">#REF!</definedName>
    <definedName name="MI_FuGas">#REF!</definedName>
    <definedName name="MI_FuGas_IOU" localSheetId="1">#REF!</definedName>
    <definedName name="MI_FuGas_IOU">#REF!</definedName>
    <definedName name="MI_FuHyd" localSheetId="1">#REF!</definedName>
    <definedName name="MI_FuHyd">#REF!</definedName>
    <definedName name="MI_FuHyd_IOU" localSheetId="1">#REF!</definedName>
    <definedName name="MI_FuHyd_IOU">#REF!</definedName>
    <definedName name="MI_FuNuc" localSheetId="1">#REF!</definedName>
    <definedName name="MI_FuNuc">#REF!</definedName>
    <definedName name="MI_FuNuc_IOU" localSheetId="1">#REF!</definedName>
    <definedName name="MI_FuNuc_IOU">#REF!</definedName>
    <definedName name="MI_FuOil" localSheetId="1">#REF!</definedName>
    <definedName name="MI_FuOil">#REF!</definedName>
    <definedName name="MI_FuOil_IOU" localSheetId="1">#REF!</definedName>
    <definedName name="MI_FuOil_IOU">#REF!</definedName>
    <definedName name="MI_FuOth" localSheetId="1">#REF!</definedName>
    <definedName name="MI_FuOth">#REF!</definedName>
    <definedName name="MI_FuOth_IOU" localSheetId="1">#REF!</definedName>
    <definedName name="MI_FuOth_IOU">#REF!</definedName>
    <definedName name="MI_IOU" localSheetId="1">#REF!</definedName>
    <definedName name="MI_IOU">#REF!</definedName>
    <definedName name="miCoop" localSheetId="1">#REF!</definedName>
    <definedName name="miCoop">#REF!</definedName>
    <definedName name="mifed" localSheetId="1">#REF!</definedName>
    <definedName name="mifed">#REF!</definedName>
    <definedName name="MIHydro" localSheetId="1">#REF!</definedName>
    <definedName name="MIHydro">#REF!</definedName>
    <definedName name="MIHydro_IOU" localSheetId="1">#REF!</definedName>
    <definedName name="MIHydro_IOU">#REF!</definedName>
    <definedName name="MIIntCo" localSheetId="1">#REF!</definedName>
    <definedName name="MIIntCo">#REF!</definedName>
    <definedName name="MIIntCo_IOU" localSheetId="1">#REF!</definedName>
    <definedName name="MIIntCo_IOU">#REF!</definedName>
    <definedName name="miIOU" localSheetId="1">#REF!</definedName>
    <definedName name="miIOU">#REF!</definedName>
    <definedName name="MINucStm" localSheetId="1">#REF!</definedName>
    <definedName name="MINucStm">#REF!</definedName>
    <definedName name="MINucStm_IOU" localSheetId="1">#REF!</definedName>
    <definedName name="MINucStm_IOU">#REF!</definedName>
    <definedName name="mipub" localSheetId="1">#REF!</definedName>
    <definedName name="mipub">#REF!</definedName>
    <definedName name="MISol" localSheetId="1">#REF!</definedName>
    <definedName name="MISol">#REF!</definedName>
    <definedName name="MISol_IOU" localSheetId="1">#REF!</definedName>
    <definedName name="MISol_IOU">#REF!</definedName>
    <definedName name="MIStm" localSheetId="1">#REF!</definedName>
    <definedName name="MIStm">#REF!</definedName>
    <definedName name="MIStm_IOU" localSheetId="1">#REF!</definedName>
    <definedName name="MIStm_IOU">#REF!</definedName>
    <definedName name="MIWind" localSheetId="1">#REF!</definedName>
    <definedName name="MIWind">#REF!</definedName>
    <definedName name="MIWind_IOU" localSheetId="1">#REF!</definedName>
    <definedName name="MIWind_IOU">#REF!</definedName>
    <definedName name="MN" localSheetId="1">#REF!</definedName>
    <definedName name="MN">#REF!</definedName>
    <definedName name="MN_FuCoal" localSheetId="1">#REF!</definedName>
    <definedName name="MN_FuCoal">#REF!</definedName>
    <definedName name="MN_FuCoal_IOU" localSheetId="1">#REF!</definedName>
    <definedName name="MN_FuCoal_IOU">#REF!</definedName>
    <definedName name="MN_FuGas" localSheetId="1">#REF!</definedName>
    <definedName name="MN_FuGas">#REF!</definedName>
    <definedName name="MN_FuGas_IOU" localSheetId="1">#REF!</definedName>
    <definedName name="MN_FuGas_IOU">#REF!</definedName>
    <definedName name="MN_FuHyd" localSheetId="1">#REF!</definedName>
    <definedName name="MN_FuHyd">#REF!</definedName>
    <definedName name="MN_FuHyd_IOU" localSheetId="1">#REF!</definedName>
    <definedName name="MN_FuHyd_IOU">#REF!</definedName>
    <definedName name="MN_FuNuc" localSheetId="1">#REF!</definedName>
    <definedName name="MN_FuNuc">#REF!</definedName>
    <definedName name="MN_FuNuc_IOU" localSheetId="1">#REF!</definedName>
    <definedName name="MN_FuNuc_IOU">#REF!</definedName>
    <definedName name="MN_FuOil" localSheetId="1">#REF!</definedName>
    <definedName name="MN_FuOil">#REF!</definedName>
    <definedName name="MN_FuOil_IOU" localSheetId="1">#REF!</definedName>
    <definedName name="MN_FuOil_IOU">#REF!</definedName>
    <definedName name="MN_FuOth" localSheetId="1">#REF!</definedName>
    <definedName name="MN_FuOth">#REF!</definedName>
    <definedName name="MN_FuOth_IOU" localSheetId="1">#REF!</definedName>
    <definedName name="MN_FuOth_IOU">#REF!</definedName>
    <definedName name="MN_IOU" localSheetId="1">#REF!</definedName>
    <definedName name="MN_IOU">#REF!</definedName>
    <definedName name="mnCoop" localSheetId="1">#REF!</definedName>
    <definedName name="mnCoop">#REF!</definedName>
    <definedName name="mnfed" localSheetId="1">#REF!</definedName>
    <definedName name="mnfed">#REF!</definedName>
    <definedName name="MNHydro" localSheetId="1">#REF!</definedName>
    <definedName name="MNHydro">#REF!</definedName>
    <definedName name="MNHydro_IOU" localSheetId="1">#REF!</definedName>
    <definedName name="MNHydro_IOU">#REF!</definedName>
    <definedName name="MNIntCo" localSheetId="1">#REF!</definedName>
    <definedName name="MNIntCo">#REF!</definedName>
    <definedName name="MNIntCo_IOU" localSheetId="1">#REF!</definedName>
    <definedName name="MNIntCo_IOU">#REF!</definedName>
    <definedName name="mnIOU" localSheetId="1">#REF!</definedName>
    <definedName name="mnIOU">#REF!</definedName>
    <definedName name="MNNucStm" localSheetId="1">#REF!</definedName>
    <definedName name="MNNucStm">#REF!</definedName>
    <definedName name="MNNucStm_IOU" localSheetId="1">#REF!</definedName>
    <definedName name="MNNucStm_IOU">#REF!</definedName>
    <definedName name="MNSol" localSheetId="1">#REF!</definedName>
    <definedName name="MNSol">#REF!</definedName>
    <definedName name="MNSol_IOU" localSheetId="1">#REF!</definedName>
    <definedName name="MNSol_IOU">#REF!</definedName>
    <definedName name="MNStm" localSheetId="1">#REF!</definedName>
    <definedName name="MNStm">#REF!</definedName>
    <definedName name="MNStm_IOU" localSheetId="1">#REF!</definedName>
    <definedName name="MNStm_IOU">#REF!</definedName>
    <definedName name="MNWind" localSheetId="1">#REF!</definedName>
    <definedName name="MNWind">#REF!</definedName>
    <definedName name="MNWind_IOU" localSheetId="1">#REF!</definedName>
    <definedName name="MNWind_IOU">#REF!</definedName>
    <definedName name="MO" localSheetId="1">#REF!</definedName>
    <definedName name="MO">#REF!</definedName>
    <definedName name="MO_FuCoal" localSheetId="1">#REF!</definedName>
    <definedName name="MO_FuCoal">#REF!</definedName>
    <definedName name="MO_FuCoal_IOU" localSheetId="1">#REF!</definedName>
    <definedName name="MO_FuCoal_IOU">#REF!</definedName>
    <definedName name="MO_FuGas" localSheetId="1">#REF!</definedName>
    <definedName name="MO_FuGas">#REF!</definedName>
    <definedName name="MO_FuGas_IOU" localSheetId="1">#REF!</definedName>
    <definedName name="MO_FuGas_IOU">#REF!</definedName>
    <definedName name="MO_FuHyd" localSheetId="1">#REF!</definedName>
    <definedName name="MO_FuHyd">#REF!</definedName>
    <definedName name="MO_FuHyd_IOU" localSheetId="1">#REF!</definedName>
    <definedName name="MO_FuHyd_IOU">#REF!</definedName>
    <definedName name="MO_FuNuc" localSheetId="1">#REF!</definedName>
    <definedName name="MO_FuNuc">#REF!</definedName>
    <definedName name="MO_FuNuc_IOU" localSheetId="1">#REF!</definedName>
    <definedName name="MO_FuNuc_IOU">#REF!</definedName>
    <definedName name="MO_FuOil" localSheetId="1">#REF!</definedName>
    <definedName name="MO_FuOil">#REF!</definedName>
    <definedName name="MO_FuOil_IOU" localSheetId="1">#REF!</definedName>
    <definedName name="MO_FuOil_IOU">#REF!</definedName>
    <definedName name="MO_FuOth" localSheetId="1">#REF!</definedName>
    <definedName name="MO_FuOth">#REF!</definedName>
    <definedName name="MO_FuOth_IOU" localSheetId="1">#REF!</definedName>
    <definedName name="MO_FuOth_IOU">#REF!</definedName>
    <definedName name="MO_IOU" localSheetId="1">#REF!</definedName>
    <definedName name="MO_IOU">#REF!</definedName>
    <definedName name="moCoop" localSheetId="1">#REF!</definedName>
    <definedName name="moCoop">#REF!</definedName>
    <definedName name="mofed" localSheetId="1">#REF!</definedName>
    <definedName name="mofed">#REF!</definedName>
    <definedName name="MOHydro" localSheetId="1">#REF!</definedName>
    <definedName name="MOHydro">#REF!</definedName>
    <definedName name="MOHydro_IOU" localSheetId="1">#REF!</definedName>
    <definedName name="MOHydro_IOU">#REF!</definedName>
    <definedName name="MOIntCo" localSheetId="1">#REF!</definedName>
    <definedName name="MOIntCo">#REF!</definedName>
    <definedName name="MOIntCo_IOU" localSheetId="1">#REF!</definedName>
    <definedName name="MOIntCo_IOU">#REF!</definedName>
    <definedName name="moIOU" localSheetId="1">#REF!</definedName>
    <definedName name="moIOU">#REF!</definedName>
    <definedName name="MONucStm" localSheetId="1">#REF!</definedName>
    <definedName name="MONucStm">#REF!</definedName>
    <definedName name="MONucStm_IOU" localSheetId="1">#REF!</definedName>
    <definedName name="MONucStm_IOU">#REF!</definedName>
    <definedName name="MOSol" localSheetId="1">#REF!</definedName>
    <definedName name="MOSol">#REF!</definedName>
    <definedName name="MOSol_IOU" localSheetId="1">#REF!</definedName>
    <definedName name="MOSol_IOU">#REF!</definedName>
    <definedName name="MOStm" localSheetId="1">#REF!</definedName>
    <definedName name="MOStm">#REF!</definedName>
    <definedName name="MOStm_IOU" localSheetId="1">#REF!</definedName>
    <definedName name="MOStm_IOU">#REF!</definedName>
    <definedName name="MOWind" localSheetId="1">#REF!</definedName>
    <definedName name="MOWind">#REF!</definedName>
    <definedName name="MOWind_IOU" localSheetId="1">#REF!</definedName>
    <definedName name="MOWind_IOU">#REF!</definedName>
    <definedName name="MS" localSheetId="1">#REF!</definedName>
    <definedName name="MS">#REF!</definedName>
    <definedName name="MS_FuCoal" localSheetId="1">#REF!</definedName>
    <definedName name="MS_FuCoal">#REF!</definedName>
    <definedName name="MS_FuCoal_IOU" localSheetId="1">#REF!</definedName>
    <definedName name="MS_FuCoal_IOU">#REF!</definedName>
    <definedName name="MS_FuGas" localSheetId="1">#REF!</definedName>
    <definedName name="MS_FuGas">#REF!</definedName>
    <definedName name="MS_FuGas_IOU" localSheetId="1">#REF!</definedName>
    <definedName name="MS_FuGas_IOU">#REF!</definedName>
    <definedName name="MS_FuHyd" localSheetId="1">#REF!</definedName>
    <definedName name="MS_FuHyd">#REF!</definedName>
    <definedName name="MS_FuHyd_IOU" localSheetId="1">#REF!</definedName>
    <definedName name="MS_FuHyd_IOU">#REF!</definedName>
    <definedName name="MS_FuNuc" localSheetId="1">#REF!</definedName>
    <definedName name="MS_FuNuc">#REF!</definedName>
    <definedName name="MS_FuNuc_IOU" localSheetId="1">#REF!</definedName>
    <definedName name="MS_FuNuc_IOU">#REF!</definedName>
    <definedName name="MS_FuOil" localSheetId="1">#REF!</definedName>
    <definedName name="MS_FuOil">#REF!</definedName>
    <definedName name="MS_FuOil_IOU" localSheetId="1">#REF!</definedName>
    <definedName name="MS_FuOil_IOU">#REF!</definedName>
    <definedName name="MS_FuOth" localSheetId="1">#REF!</definedName>
    <definedName name="MS_FuOth">#REF!</definedName>
    <definedName name="MS_FuOth_IOU" localSheetId="1">#REF!</definedName>
    <definedName name="MS_FuOth_IOU">#REF!</definedName>
    <definedName name="MS_IOU" localSheetId="1">#REF!</definedName>
    <definedName name="MS_IOU">#REF!</definedName>
    <definedName name="msCoop" localSheetId="1">#REF!</definedName>
    <definedName name="msCoop">#REF!</definedName>
    <definedName name="msfed" localSheetId="1">#REF!</definedName>
    <definedName name="msfed">#REF!</definedName>
    <definedName name="MSHydro" localSheetId="1">#REF!</definedName>
    <definedName name="MSHydro">#REF!</definedName>
    <definedName name="MSHydro_IOU" localSheetId="1">#REF!</definedName>
    <definedName name="MSHydro_IOU">#REF!</definedName>
    <definedName name="MSIntCo" localSheetId="1">#REF!</definedName>
    <definedName name="MSIntCo">#REF!</definedName>
    <definedName name="MSIntCo_IOU" localSheetId="1">#REF!</definedName>
    <definedName name="MSIntCo_IOU">#REF!</definedName>
    <definedName name="MSIOU" localSheetId="1">#REF!</definedName>
    <definedName name="MSIOU">#REF!</definedName>
    <definedName name="MSNucStm" localSheetId="1">#REF!</definedName>
    <definedName name="MSNucStm">#REF!</definedName>
    <definedName name="MSNucStm_IOU" localSheetId="1">#REF!</definedName>
    <definedName name="MSNucStm_IOU">#REF!</definedName>
    <definedName name="MSSol" localSheetId="1">#REF!</definedName>
    <definedName name="MSSol">#REF!</definedName>
    <definedName name="MSSol_IOU" localSheetId="1">#REF!</definedName>
    <definedName name="MSSol_IOU">#REF!</definedName>
    <definedName name="MSStm" localSheetId="1">#REF!</definedName>
    <definedName name="MSStm">#REF!</definedName>
    <definedName name="MSStm_IOU" localSheetId="1">#REF!</definedName>
    <definedName name="MSStm_IOU">#REF!</definedName>
    <definedName name="MSWind" localSheetId="1">#REF!</definedName>
    <definedName name="MSWind">#REF!</definedName>
    <definedName name="MSWind_IOU" localSheetId="1">#REF!</definedName>
    <definedName name="MSWind_IOU">#REF!</definedName>
    <definedName name="MT" localSheetId="1">#REF!</definedName>
    <definedName name="MT">#REF!</definedName>
    <definedName name="MT_FuCoal" localSheetId="1">#REF!</definedName>
    <definedName name="MT_FuCoal">#REF!</definedName>
    <definedName name="MT_FuCoal_IOU" localSheetId="1">#REF!</definedName>
    <definedName name="MT_FuCoal_IOU">#REF!</definedName>
    <definedName name="MT_FuGas" localSheetId="1">#REF!</definedName>
    <definedName name="MT_FuGas">#REF!</definedName>
    <definedName name="MT_FuGas_IOU" localSheetId="1">#REF!</definedName>
    <definedName name="MT_FuGas_IOU">#REF!</definedName>
    <definedName name="MT_FuHyd" localSheetId="1">#REF!</definedName>
    <definedName name="MT_FuHyd">#REF!</definedName>
    <definedName name="MT_FuHyd_IOU" localSheetId="1">#REF!</definedName>
    <definedName name="MT_FuHyd_IOU">#REF!</definedName>
    <definedName name="MT_FuNuc" localSheetId="1">#REF!</definedName>
    <definedName name="MT_FuNuc">#REF!</definedName>
    <definedName name="MT_FuNuc_IOU" localSheetId="1">#REF!</definedName>
    <definedName name="MT_FuNuc_IOU">#REF!</definedName>
    <definedName name="MT_FuOil" localSheetId="1">#REF!</definedName>
    <definedName name="MT_FuOil">#REF!</definedName>
    <definedName name="MT_FuOil_IOU" localSheetId="1">#REF!</definedName>
    <definedName name="MT_FuOil_IOU">#REF!</definedName>
    <definedName name="MT_FuOth" localSheetId="1">#REF!</definedName>
    <definedName name="MT_FuOth">#REF!</definedName>
    <definedName name="MT_FuOth_IOU" localSheetId="1">#REF!</definedName>
    <definedName name="MT_FuOth_IOU">#REF!</definedName>
    <definedName name="MT_IOU" localSheetId="1">#REF!</definedName>
    <definedName name="MT_IOU">#REF!</definedName>
    <definedName name="mtCoop" localSheetId="1">#REF!</definedName>
    <definedName name="mtCoop">#REF!</definedName>
    <definedName name="MTHydro" localSheetId="1">#REF!</definedName>
    <definedName name="MTHydro">#REF!</definedName>
    <definedName name="MTHydro_IOU" localSheetId="1">#REF!</definedName>
    <definedName name="MTHydro_IOU">#REF!</definedName>
    <definedName name="MTIntCo" localSheetId="1">#REF!</definedName>
    <definedName name="MTIntCo">#REF!</definedName>
    <definedName name="MTIntCo_IOU" localSheetId="1">#REF!</definedName>
    <definedName name="MTIntCo_IOU">#REF!</definedName>
    <definedName name="MTIOU" localSheetId="1">#REF!</definedName>
    <definedName name="MTIOU">#REF!</definedName>
    <definedName name="MTNucStm" localSheetId="1">#REF!</definedName>
    <definedName name="MTNucStm">#REF!</definedName>
    <definedName name="MTNucStm_IOU" localSheetId="1">#REF!</definedName>
    <definedName name="MTNucStm_IOU">#REF!</definedName>
    <definedName name="MTSol" localSheetId="1">#REF!</definedName>
    <definedName name="MTSol">#REF!</definedName>
    <definedName name="MTSol_IOU" localSheetId="1">#REF!</definedName>
    <definedName name="MTSol_IOU">#REF!</definedName>
    <definedName name="MTStm" localSheetId="1">#REF!</definedName>
    <definedName name="MTStm">#REF!</definedName>
    <definedName name="MTStm_IOU" localSheetId="1">#REF!</definedName>
    <definedName name="MTStm_IOU">#REF!</definedName>
    <definedName name="MTWind" localSheetId="1">#REF!</definedName>
    <definedName name="MTWind">#REF!</definedName>
    <definedName name="MTWind_IOU" localSheetId="1">#REF!</definedName>
    <definedName name="MTWind_IOU">#REF!</definedName>
    <definedName name="Name" localSheetId="1">'[10]Proposed-RTP-Scalers'!#REF!</definedName>
    <definedName name="Name">'[10]Proposed-RTP-Scalers'!#REF!</definedName>
    <definedName name="Name1" localSheetId="1">'[10]Proposed-RTP-Scalers'!#REF!</definedName>
    <definedName name="Name1">'[10]Proposed-RTP-Scalers'!#REF!</definedName>
    <definedName name="NC" localSheetId="1">#REF!</definedName>
    <definedName name="NC">#REF!</definedName>
    <definedName name="NC_FuCoal" localSheetId="1">#REF!</definedName>
    <definedName name="NC_FuCoal">#REF!</definedName>
    <definedName name="NC_FuCoal_IOU" localSheetId="1">#REF!</definedName>
    <definedName name="NC_FuCoal_IOU">#REF!</definedName>
    <definedName name="NC_FuGas" localSheetId="1">#REF!</definedName>
    <definedName name="NC_FuGas">#REF!</definedName>
    <definedName name="NC_FuGas_IOU" localSheetId="1">#REF!</definedName>
    <definedName name="NC_FuGas_IOU">#REF!</definedName>
    <definedName name="NC_FuHyd" localSheetId="1">#REF!</definedName>
    <definedName name="NC_FuHyd">#REF!</definedName>
    <definedName name="NC_FuHyd_IOU" localSheetId="1">#REF!</definedName>
    <definedName name="NC_FuHyd_IOU">#REF!</definedName>
    <definedName name="NC_FuNuc" localSheetId="1">#REF!</definedName>
    <definedName name="NC_FuNuc">#REF!</definedName>
    <definedName name="NC_FuNuc_IOU" localSheetId="1">#REF!</definedName>
    <definedName name="NC_FuNuc_IOU">#REF!</definedName>
    <definedName name="NC_FuOil" localSheetId="1">#REF!</definedName>
    <definedName name="NC_FuOil">#REF!</definedName>
    <definedName name="NC_FuOil_IOU" localSheetId="1">#REF!</definedName>
    <definedName name="NC_FuOil_IOU">#REF!</definedName>
    <definedName name="NC_FuOth" localSheetId="1">#REF!</definedName>
    <definedName name="NC_FuOth">#REF!</definedName>
    <definedName name="NC_FuOth_IOU" localSheetId="1">#REF!</definedName>
    <definedName name="NC_FuOth_IOU">#REF!</definedName>
    <definedName name="NC_IOU" localSheetId="1">#REF!</definedName>
    <definedName name="NC_IOU">#REF!</definedName>
    <definedName name="ncCoop" localSheetId="1">#REF!</definedName>
    <definedName name="ncCoop">#REF!</definedName>
    <definedName name="NCHydro" localSheetId="1">#REF!</definedName>
    <definedName name="NCHydro">#REF!</definedName>
    <definedName name="NCHydro_IOU" localSheetId="1">#REF!</definedName>
    <definedName name="NCHydro_IOU">#REF!</definedName>
    <definedName name="NCIntCo" localSheetId="1">#REF!</definedName>
    <definedName name="NCIntCo">#REF!</definedName>
    <definedName name="NCIntCo_IOU" localSheetId="1">#REF!</definedName>
    <definedName name="NCIntCo_IOU">#REF!</definedName>
    <definedName name="NCIOU" localSheetId="1">#REF!</definedName>
    <definedName name="NCIOU">#REF!</definedName>
    <definedName name="NCNucStm" localSheetId="1">#REF!</definedName>
    <definedName name="NCNucStm">#REF!</definedName>
    <definedName name="NCNucStm_IOU" localSheetId="1">#REF!</definedName>
    <definedName name="NCNucStm_IOU">#REF!</definedName>
    <definedName name="NCSol" localSheetId="1">#REF!</definedName>
    <definedName name="NCSol">#REF!</definedName>
    <definedName name="NCSol_IOU" localSheetId="1">#REF!</definedName>
    <definedName name="NCSol_IOU">#REF!</definedName>
    <definedName name="NCStm" localSheetId="1">#REF!</definedName>
    <definedName name="NCStm">#REF!</definedName>
    <definedName name="NCStm_IOU" localSheetId="1">#REF!</definedName>
    <definedName name="NCStm_IOU">#REF!</definedName>
    <definedName name="NCWind" localSheetId="1">#REF!</definedName>
    <definedName name="NCWind">#REF!</definedName>
    <definedName name="NCWind_IOU" localSheetId="1">#REF!</definedName>
    <definedName name="NCWind_IOU">#REF!</definedName>
    <definedName name="ND" localSheetId="1">#REF!</definedName>
    <definedName name="ND">#REF!</definedName>
    <definedName name="ND_FuCoal" localSheetId="1">#REF!</definedName>
    <definedName name="ND_FuCoal">#REF!</definedName>
    <definedName name="ND_FuCoal_IOU" localSheetId="1">#REF!</definedName>
    <definedName name="ND_FuCoal_IOU">#REF!</definedName>
    <definedName name="ND_FuGas" localSheetId="1">#REF!</definedName>
    <definedName name="ND_FuGas">#REF!</definedName>
    <definedName name="ND_FuGas_IOU" localSheetId="1">#REF!</definedName>
    <definedName name="ND_FuGas_IOU">#REF!</definedName>
    <definedName name="ND_FuHyd" localSheetId="1">#REF!</definedName>
    <definedName name="ND_FuHyd">#REF!</definedName>
    <definedName name="ND_FuHyd_IOU" localSheetId="1">#REF!</definedName>
    <definedName name="ND_FuHyd_IOU">#REF!</definedName>
    <definedName name="ND_FuNuc" localSheetId="1">#REF!</definedName>
    <definedName name="ND_FuNuc">#REF!</definedName>
    <definedName name="ND_FuNuc_IOU" localSheetId="1">#REF!</definedName>
    <definedName name="ND_FuNuc_IOU">#REF!</definedName>
    <definedName name="ND_FuOil" localSheetId="1">#REF!</definedName>
    <definedName name="ND_FuOil">#REF!</definedName>
    <definedName name="ND_FuOil_IOU" localSheetId="1">#REF!</definedName>
    <definedName name="ND_FuOil_IOU">#REF!</definedName>
    <definedName name="ND_FuOth" localSheetId="1">#REF!</definedName>
    <definedName name="ND_FuOth">#REF!</definedName>
    <definedName name="ND_FuOth_IOU" localSheetId="1">#REF!</definedName>
    <definedName name="ND_FuOth_IOU">#REF!</definedName>
    <definedName name="ND_IOU" localSheetId="1">#REF!</definedName>
    <definedName name="ND_IOU">#REF!</definedName>
    <definedName name="ndCoop" localSheetId="1">#REF!</definedName>
    <definedName name="ndCoop">#REF!</definedName>
    <definedName name="NDHydro" localSheetId="1">#REF!</definedName>
    <definedName name="NDHydro">#REF!</definedName>
    <definedName name="NDHydro_IOU" localSheetId="1">#REF!</definedName>
    <definedName name="NDHydro_IOU">#REF!</definedName>
    <definedName name="NDIntCo" localSheetId="1">#REF!</definedName>
    <definedName name="NDIntCo">#REF!</definedName>
    <definedName name="NDIntCo_IOU" localSheetId="1">#REF!</definedName>
    <definedName name="NDIntCo_IOU">#REF!</definedName>
    <definedName name="NDIOU" localSheetId="1">#REF!</definedName>
    <definedName name="NDIOU">#REF!</definedName>
    <definedName name="NDNucStm" localSheetId="1">#REF!</definedName>
    <definedName name="NDNucStm">#REF!</definedName>
    <definedName name="NDNucStm_IOU" localSheetId="1">#REF!</definedName>
    <definedName name="NDNucStm_IOU">#REF!</definedName>
    <definedName name="NDSol" localSheetId="1">#REF!</definedName>
    <definedName name="NDSol">#REF!</definedName>
    <definedName name="NDSol_IOU" localSheetId="1">#REF!</definedName>
    <definedName name="NDSol_IOU">#REF!</definedName>
    <definedName name="NDStm" localSheetId="1">#REF!</definedName>
    <definedName name="NDStm">#REF!</definedName>
    <definedName name="NDStm_IOU" localSheetId="1">#REF!</definedName>
    <definedName name="NDStm_IOU">#REF!</definedName>
    <definedName name="NDWind" localSheetId="1">#REF!</definedName>
    <definedName name="NDWind">#REF!</definedName>
    <definedName name="NDWind_IOU" localSheetId="1">#REF!</definedName>
    <definedName name="NDWind_IOU">#REF!</definedName>
    <definedName name="NE" localSheetId="1">#REF!</definedName>
    <definedName name="NE">#REF!</definedName>
    <definedName name="NE_FuCoal" localSheetId="1">#REF!</definedName>
    <definedName name="NE_FuCoal">#REF!</definedName>
    <definedName name="NE_FuCoal_IOU" localSheetId="1">#REF!</definedName>
    <definedName name="NE_FuCoal_IOU">#REF!</definedName>
    <definedName name="NE_FuGas" localSheetId="1">#REF!</definedName>
    <definedName name="NE_FuGas">#REF!</definedName>
    <definedName name="NE_FuGas_IOU" localSheetId="1">#REF!</definedName>
    <definedName name="NE_FuGas_IOU">#REF!</definedName>
    <definedName name="NE_FuHyd" localSheetId="1">#REF!</definedName>
    <definedName name="NE_FuHyd">#REF!</definedName>
    <definedName name="NE_FuHyd_IOU" localSheetId="1">#REF!</definedName>
    <definedName name="NE_FuHyd_IOU">#REF!</definedName>
    <definedName name="NE_FuNuc" localSheetId="1">#REF!</definedName>
    <definedName name="NE_FuNuc">#REF!</definedName>
    <definedName name="NE_FuNuc_IOU" localSheetId="1">#REF!</definedName>
    <definedName name="NE_FuNuc_IOU">#REF!</definedName>
    <definedName name="NE_FuOil" localSheetId="1">#REF!</definedName>
    <definedName name="NE_FuOil">#REF!</definedName>
    <definedName name="NE_FuOil_IOU" localSheetId="1">#REF!</definedName>
    <definedName name="NE_FuOil_IOU">#REF!</definedName>
    <definedName name="NE_FuOth" localSheetId="1">#REF!</definedName>
    <definedName name="NE_FuOth">#REF!</definedName>
    <definedName name="NE_FuOth_IOU" localSheetId="1">#REF!</definedName>
    <definedName name="NE_FuOth_IOU">#REF!</definedName>
    <definedName name="NE_IOU" localSheetId="1">#REF!</definedName>
    <definedName name="NE_IOU">#REF!</definedName>
    <definedName name="neCoop" localSheetId="1">#REF!</definedName>
    <definedName name="neCoop">#REF!</definedName>
    <definedName name="NEHydro" localSheetId="1">#REF!</definedName>
    <definedName name="NEHydro">#REF!</definedName>
    <definedName name="NEHydro_IOU" localSheetId="1">#REF!</definedName>
    <definedName name="NEHydro_IOU">#REF!</definedName>
    <definedName name="NEIntCo" localSheetId="1">#REF!</definedName>
    <definedName name="NEIntCo">#REF!</definedName>
    <definedName name="NEIntCo_IOU" localSheetId="1">#REF!</definedName>
    <definedName name="NEIntCo_IOU">#REF!</definedName>
    <definedName name="NEIOU" localSheetId="1">#REF!</definedName>
    <definedName name="NEIOU">#REF!</definedName>
    <definedName name="NENucStm" localSheetId="1">#REF!</definedName>
    <definedName name="NENucStm">#REF!</definedName>
    <definedName name="NENucStm_IOU" localSheetId="1">#REF!</definedName>
    <definedName name="NENucStm_IOU">#REF!</definedName>
    <definedName name="NESol" localSheetId="1">#REF!</definedName>
    <definedName name="NESol">#REF!</definedName>
    <definedName name="NESol_IOU" localSheetId="1">#REF!</definedName>
    <definedName name="NESol_IOU">#REF!</definedName>
    <definedName name="NEStm" localSheetId="1">#REF!</definedName>
    <definedName name="NEStm">#REF!</definedName>
    <definedName name="NEStm_IOU" localSheetId="1">#REF!</definedName>
    <definedName name="NEStm_IOU">#REF!</definedName>
    <definedName name="NEWind" localSheetId="1">#REF!</definedName>
    <definedName name="NEWind">#REF!</definedName>
    <definedName name="NEWind_IOU" localSheetId="1">#REF!</definedName>
    <definedName name="NEWind_IOU">#REF!</definedName>
    <definedName name="NH" localSheetId="1">#REF!</definedName>
    <definedName name="NH">#REF!</definedName>
    <definedName name="NH_FuCoal" localSheetId="1">#REF!</definedName>
    <definedName name="NH_FuCoal">#REF!</definedName>
    <definedName name="NH_FuCoal_IOU" localSheetId="1">#REF!</definedName>
    <definedName name="NH_FuCoal_IOU">#REF!</definedName>
    <definedName name="NH_FuGas" localSheetId="1">#REF!</definedName>
    <definedName name="NH_FuGas">#REF!</definedName>
    <definedName name="NH_FuGas_IOU" localSheetId="1">#REF!</definedName>
    <definedName name="NH_FuGas_IOU">#REF!</definedName>
    <definedName name="NH_FuHyd" localSheetId="1">#REF!</definedName>
    <definedName name="NH_FuHyd">#REF!</definedName>
    <definedName name="NH_FuHyd_IOU" localSheetId="1">#REF!</definedName>
    <definedName name="NH_FuHyd_IOU">#REF!</definedName>
    <definedName name="NH_FuNuc" localSheetId="1">#REF!</definedName>
    <definedName name="NH_FuNuc">#REF!</definedName>
    <definedName name="NH_FuNuc_IOU" localSheetId="1">#REF!</definedName>
    <definedName name="NH_FuNuc_IOU">#REF!</definedName>
    <definedName name="NH_FuOil" localSheetId="1">#REF!</definedName>
    <definedName name="NH_FuOil">#REF!</definedName>
    <definedName name="NH_FuOil_IOU" localSheetId="1">#REF!</definedName>
    <definedName name="NH_FuOil_IOU">#REF!</definedName>
    <definedName name="NH_FuOth" localSheetId="1">#REF!</definedName>
    <definedName name="NH_FuOth">#REF!</definedName>
    <definedName name="NH_FuOth_IOU" localSheetId="1">#REF!</definedName>
    <definedName name="NH_FuOth_IOU">#REF!</definedName>
    <definedName name="NH_IOU" localSheetId="1">#REF!</definedName>
    <definedName name="NH_IOU">#REF!</definedName>
    <definedName name="nhCoop" localSheetId="1">#REF!</definedName>
    <definedName name="nhCoop">#REF!</definedName>
    <definedName name="NHHydro" localSheetId="1">#REF!</definedName>
    <definedName name="NHHydro">#REF!</definedName>
    <definedName name="NHHydro_IOU" localSheetId="1">#REF!</definedName>
    <definedName name="NHHydro_IOU">#REF!</definedName>
    <definedName name="NHIntCo" localSheetId="1">#REF!</definedName>
    <definedName name="NHIntCo">#REF!</definedName>
    <definedName name="NHIntCo_IOU" localSheetId="1">#REF!</definedName>
    <definedName name="NHIntCo_IOU">#REF!</definedName>
    <definedName name="NHIOU" localSheetId="1">#REF!</definedName>
    <definedName name="NHIOU">#REF!</definedName>
    <definedName name="NHNucStm" localSheetId="1">#REF!</definedName>
    <definedName name="NHNucStm">#REF!</definedName>
    <definedName name="NHNucStm_IOU" localSheetId="1">#REF!</definedName>
    <definedName name="NHNucStm_IOU">#REF!</definedName>
    <definedName name="NHSol" localSheetId="1">#REF!</definedName>
    <definedName name="NHSol">#REF!</definedName>
    <definedName name="NHSol_IOU" localSheetId="1">#REF!</definedName>
    <definedName name="NHSol_IOU">#REF!</definedName>
    <definedName name="NHStm" localSheetId="1">#REF!</definedName>
    <definedName name="NHStm">#REF!</definedName>
    <definedName name="NHStm_IOU" localSheetId="1">#REF!</definedName>
    <definedName name="NHStm_IOU">#REF!</definedName>
    <definedName name="NHWind" localSheetId="1">#REF!</definedName>
    <definedName name="NHWind">#REF!</definedName>
    <definedName name="NHWind_IOU" localSheetId="1">#REF!</definedName>
    <definedName name="NHWind_IOU">#REF!</definedName>
    <definedName name="NJ" localSheetId="1">#REF!</definedName>
    <definedName name="NJ">#REF!</definedName>
    <definedName name="NJ_FuCoal" localSheetId="1">#REF!</definedName>
    <definedName name="NJ_FuCoal">#REF!</definedName>
    <definedName name="NJ_FuCoal_IOU" localSheetId="1">#REF!</definedName>
    <definedName name="NJ_FuCoal_IOU">#REF!</definedName>
    <definedName name="NJ_FuGas" localSheetId="1">#REF!</definedName>
    <definedName name="NJ_FuGas">#REF!</definedName>
    <definedName name="NJ_FuGas_IOU" localSheetId="1">#REF!</definedName>
    <definedName name="NJ_FuGas_IOU">#REF!</definedName>
    <definedName name="NJ_FuHyd" localSheetId="1">#REF!</definedName>
    <definedName name="NJ_FuHyd">#REF!</definedName>
    <definedName name="NJ_FuHyd_IOU" localSheetId="1">#REF!</definedName>
    <definedName name="NJ_FuHyd_IOU">#REF!</definedName>
    <definedName name="NJ_FuNuc" localSheetId="1">#REF!</definedName>
    <definedName name="NJ_FuNuc">#REF!</definedName>
    <definedName name="NJ_FuNuc_IOU" localSheetId="1">#REF!</definedName>
    <definedName name="NJ_FuNuc_IOU">#REF!</definedName>
    <definedName name="NJ_FuOil" localSheetId="1">#REF!</definedName>
    <definedName name="NJ_FuOil">#REF!</definedName>
    <definedName name="NJ_FuOil_IOU" localSheetId="1">#REF!</definedName>
    <definedName name="NJ_FuOil_IOU">#REF!</definedName>
    <definedName name="NJ_FuOth" localSheetId="1">#REF!</definedName>
    <definedName name="NJ_FuOth">#REF!</definedName>
    <definedName name="NJ_FuOth_IOU" localSheetId="1">#REF!</definedName>
    <definedName name="NJ_FuOth_IOU">#REF!</definedName>
    <definedName name="NJ_IOU" localSheetId="1">#REF!</definedName>
    <definedName name="NJ_IOU">#REF!</definedName>
    <definedName name="njCoop" localSheetId="1">#REF!</definedName>
    <definedName name="njCoop">#REF!</definedName>
    <definedName name="njfed" localSheetId="1">#REF!</definedName>
    <definedName name="njfed">#REF!</definedName>
    <definedName name="NJHydro" localSheetId="1">#REF!</definedName>
    <definedName name="NJHydro">#REF!</definedName>
    <definedName name="NJHydro_IOU" localSheetId="1">#REF!</definedName>
    <definedName name="NJHydro_IOU">#REF!</definedName>
    <definedName name="NJIntCo" localSheetId="1">#REF!</definedName>
    <definedName name="NJIntCo">#REF!</definedName>
    <definedName name="NJIntCo_IOU" localSheetId="1">#REF!</definedName>
    <definedName name="NJIntCo_IOU">#REF!</definedName>
    <definedName name="NJIOU" localSheetId="1">#REF!</definedName>
    <definedName name="NJIOU">#REF!</definedName>
    <definedName name="NJNucStm" localSheetId="1">#REF!</definedName>
    <definedName name="NJNucStm">#REF!</definedName>
    <definedName name="NJNucStm_IOU" localSheetId="1">#REF!</definedName>
    <definedName name="NJNucStm_IOU">#REF!</definedName>
    <definedName name="njpub" localSheetId="1">#REF!</definedName>
    <definedName name="njpub">#REF!</definedName>
    <definedName name="NJSol" localSheetId="1">#REF!</definedName>
    <definedName name="NJSol">#REF!</definedName>
    <definedName name="NJSol_IOU" localSheetId="1">#REF!</definedName>
    <definedName name="NJSol_IOU">#REF!</definedName>
    <definedName name="NJStm" localSheetId="1">#REF!</definedName>
    <definedName name="NJStm">#REF!</definedName>
    <definedName name="NJStm_IOU" localSheetId="1">#REF!</definedName>
    <definedName name="NJStm_IOU">#REF!</definedName>
    <definedName name="NJWind" localSheetId="1">#REF!</definedName>
    <definedName name="NJWind">#REF!</definedName>
    <definedName name="NJWind_IOU" localSheetId="1">#REF!</definedName>
    <definedName name="NJWind_IOU">#REF!</definedName>
    <definedName name="NM" localSheetId="1">#REF!</definedName>
    <definedName name="NM">#REF!</definedName>
    <definedName name="NM_FuCoal" localSheetId="1">#REF!</definedName>
    <definedName name="NM_FuCoal">#REF!</definedName>
    <definedName name="NM_FuCoal_IOU" localSheetId="1">#REF!</definedName>
    <definedName name="NM_FuCoal_IOU">#REF!</definedName>
    <definedName name="NM_FuGas" localSheetId="1">#REF!</definedName>
    <definedName name="NM_FuGas">#REF!</definedName>
    <definedName name="NM_FuGas_IOU" localSheetId="1">#REF!</definedName>
    <definedName name="NM_FuGas_IOU">#REF!</definedName>
    <definedName name="NM_FuHyd" localSheetId="1">#REF!</definedName>
    <definedName name="NM_FuHyd">#REF!</definedName>
    <definedName name="NM_FuHyd_IOU" localSheetId="1">#REF!</definedName>
    <definedName name="NM_FuHyd_IOU">#REF!</definedName>
    <definedName name="NM_FuNuc" localSheetId="1">#REF!</definedName>
    <definedName name="NM_FuNuc">#REF!</definedName>
    <definedName name="NM_FuNuc_IOU" localSheetId="1">#REF!</definedName>
    <definedName name="NM_FuNuc_IOU">#REF!</definedName>
    <definedName name="NM_FuOil" localSheetId="1">#REF!</definedName>
    <definedName name="NM_FuOil">#REF!</definedName>
    <definedName name="NM_FuOil_IOU" localSheetId="1">#REF!</definedName>
    <definedName name="NM_FuOil_IOU">#REF!</definedName>
    <definedName name="NM_FuOth" localSheetId="1">#REF!</definedName>
    <definedName name="NM_FuOth">#REF!</definedName>
    <definedName name="NM_FuOth_IOU" localSheetId="1">#REF!</definedName>
    <definedName name="NM_FuOth_IOU">#REF!</definedName>
    <definedName name="NM_IOU" localSheetId="1">#REF!</definedName>
    <definedName name="NM_IOU">#REF!</definedName>
    <definedName name="nmCoop" localSheetId="1">#REF!</definedName>
    <definedName name="nmCoop">#REF!</definedName>
    <definedName name="NMHydro" localSheetId="1">#REF!</definedName>
    <definedName name="NMHydro">#REF!</definedName>
    <definedName name="NMHydro_IOU" localSheetId="1">#REF!</definedName>
    <definedName name="NMHydro_IOU">#REF!</definedName>
    <definedName name="NMIntCo" localSheetId="1">#REF!</definedName>
    <definedName name="NMIntCo">#REF!</definedName>
    <definedName name="NMIntCo_IOU" localSheetId="1">#REF!</definedName>
    <definedName name="NMIntCo_IOU">#REF!</definedName>
    <definedName name="NMIOU" localSheetId="1">#REF!</definedName>
    <definedName name="NMIOU">#REF!</definedName>
    <definedName name="NMNucStm" localSheetId="1">#REF!</definedName>
    <definedName name="NMNucStm">#REF!</definedName>
    <definedName name="NMNucStm_IOU" localSheetId="1">#REF!</definedName>
    <definedName name="NMNucStm_IOU">#REF!</definedName>
    <definedName name="NMSol" localSheetId="1">#REF!</definedName>
    <definedName name="NMSol">#REF!</definedName>
    <definedName name="NMSol_IOU" localSheetId="1">#REF!</definedName>
    <definedName name="NMSol_IOU">#REF!</definedName>
    <definedName name="NMStm" localSheetId="1">#REF!</definedName>
    <definedName name="NMStm">#REF!</definedName>
    <definedName name="NMStm_IOU" localSheetId="1">#REF!</definedName>
    <definedName name="NMStm_IOU">#REF!</definedName>
    <definedName name="NMWind" localSheetId="1">#REF!</definedName>
    <definedName name="NMWind">#REF!</definedName>
    <definedName name="NMWind_IOU" localSheetId="1">#REF!</definedName>
    <definedName name="NMWind_IOU">#REF!</definedName>
    <definedName name="non.iso.T.land">[9]RCN!$E$53:$CG$53,[9]RCN!$E$61:$CG$61</definedName>
    <definedName name="Nuc" localSheetId="1">#REF!</definedName>
    <definedName name="Nuc">#REF!</definedName>
    <definedName name="NV" localSheetId="1">#REF!</definedName>
    <definedName name="NV">#REF!</definedName>
    <definedName name="NV_FuCoal" localSheetId="1">#REF!</definedName>
    <definedName name="NV_FuCoal">#REF!</definedName>
    <definedName name="NV_FuCoal_IOU" localSheetId="1">#REF!</definedName>
    <definedName name="NV_FuCoal_IOU">#REF!</definedName>
    <definedName name="NV_FuGas" localSheetId="1">#REF!</definedName>
    <definedName name="NV_FuGas">#REF!</definedName>
    <definedName name="NV_FuGas_IOU" localSheetId="1">#REF!</definedName>
    <definedName name="NV_FuGas_IOU">#REF!</definedName>
    <definedName name="NV_FuHyd" localSheetId="1">#REF!</definedName>
    <definedName name="NV_FuHyd">#REF!</definedName>
    <definedName name="NV_FuHyd_IOU" localSheetId="1">#REF!</definedName>
    <definedName name="NV_FuHyd_IOU">#REF!</definedName>
    <definedName name="NV_FuNuc" localSheetId="1">#REF!</definedName>
    <definedName name="NV_FuNuc">#REF!</definedName>
    <definedName name="NV_FuNuc_IOU" localSheetId="1">#REF!</definedName>
    <definedName name="NV_FuNuc_IOU">#REF!</definedName>
    <definedName name="NV_FuOil" localSheetId="1">#REF!</definedName>
    <definedName name="NV_FuOil">#REF!</definedName>
    <definedName name="NV_FuOil_IOU" localSheetId="1">#REF!</definedName>
    <definedName name="NV_FuOil_IOU">#REF!</definedName>
    <definedName name="NV_FuOth" localSheetId="1">#REF!</definedName>
    <definedName name="NV_FuOth">#REF!</definedName>
    <definedName name="NV_FuOth_IOU" localSheetId="1">#REF!</definedName>
    <definedName name="NV_FuOth_IOU">#REF!</definedName>
    <definedName name="NV_IOU" localSheetId="1">#REF!</definedName>
    <definedName name="NV_IOU">#REF!</definedName>
    <definedName name="nvCoop" localSheetId="1">#REF!</definedName>
    <definedName name="nvCoop">#REF!</definedName>
    <definedName name="NVHydro" localSheetId="1">#REF!</definedName>
    <definedName name="NVHydro">#REF!</definedName>
    <definedName name="NVHydro_IOU" localSheetId="1">#REF!</definedName>
    <definedName name="NVHydro_IOU">#REF!</definedName>
    <definedName name="NVIntCo" localSheetId="1">#REF!</definedName>
    <definedName name="NVIntCo">#REF!</definedName>
    <definedName name="NVIntCo_IOU" localSheetId="1">#REF!</definedName>
    <definedName name="NVIntCo_IOU">#REF!</definedName>
    <definedName name="NVIOU" localSheetId="1">#REF!</definedName>
    <definedName name="NVIOU">#REF!</definedName>
    <definedName name="NVNucStm" localSheetId="1">#REF!</definedName>
    <definedName name="NVNucStm">#REF!</definedName>
    <definedName name="NVNucStm_IOU" localSheetId="1">#REF!</definedName>
    <definedName name="NVNucStm_IOU">#REF!</definedName>
    <definedName name="NVSol" localSheetId="1">#REF!</definedName>
    <definedName name="NVSol">#REF!</definedName>
    <definedName name="NVSol_IOU" localSheetId="1">#REF!</definedName>
    <definedName name="NVSol_IOU">#REF!</definedName>
    <definedName name="NVStm" localSheetId="1">#REF!</definedName>
    <definedName name="NVStm">#REF!</definedName>
    <definedName name="NVStm_IOU" localSheetId="1">#REF!</definedName>
    <definedName name="NVStm_IOU">#REF!</definedName>
    <definedName name="NVWind" localSheetId="1">#REF!</definedName>
    <definedName name="NVWind">#REF!</definedName>
    <definedName name="NVWind_IOU" localSheetId="1">#REF!</definedName>
    <definedName name="NVWind_IOU">#REF!</definedName>
    <definedName name="NY" localSheetId="1">#REF!</definedName>
    <definedName name="NY">#REF!</definedName>
    <definedName name="NY_FuCoal" localSheetId="1">#REF!</definedName>
    <definedName name="NY_FuCoal">#REF!</definedName>
    <definedName name="NY_FuCoal_IOU" localSheetId="1">#REF!</definedName>
    <definedName name="NY_FuCoal_IOU">#REF!</definedName>
    <definedName name="NY_FuGas" localSheetId="1">#REF!</definedName>
    <definedName name="NY_FuGas">#REF!</definedName>
    <definedName name="NY_FuGas_IOU" localSheetId="1">#REF!</definedName>
    <definedName name="NY_FuGas_IOU">#REF!</definedName>
    <definedName name="NY_FuHyd" localSheetId="1">#REF!</definedName>
    <definedName name="NY_FuHyd">#REF!</definedName>
    <definedName name="NY_FuHyd_IOU" localSheetId="1">#REF!</definedName>
    <definedName name="NY_FuHyd_IOU">#REF!</definedName>
    <definedName name="NY_FuNuc" localSheetId="1">#REF!</definedName>
    <definedName name="NY_FuNuc">#REF!</definedName>
    <definedName name="NY_FuNuc_IOU" localSheetId="1">#REF!</definedName>
    <definedName name="NY_FuNuc_IOU">#REF!</definedName>
    <definedName name="NY_FuOil" localSheetId="1">#REF!</definedName>
    <definedName name="NY_FuOil">#REF!</definedName>
    <definedName name="NY_FuOil_IOU" localSheetId="1">#REF!</definedName>
    <definedName name="NY_FuOil_IOU">#REF!</definedName>
    <definedName name="NY_FuOth" localSheetId="1">#REF!</definedName>
    <definedName name="NY_FuOth">#REF!</definedName>
    <definedName name="NY_FuOth_IOU" localSheetId="1">#REF!</definedName>
    <definedName name="NY_FuOth_IOU">#REF!</definedName>
    <definedName name="NY_IOU" localSheetId="1">#REF!</definedName>
    <definedName name="NY_IOU">#REF!</definedName>
    <definedName name="nyCoop" localSheetId="1">#REF!</definedName>
    <definedName name="nyCoop">#REF!</definedName>
    <definedName name="nyfed" localSheetId="1">#REF!</definedName>
    <definedName name="nyfed">#REF!</definedName>
    <definedName name="NYHydro" localSheetId="1">#REF!</definedName>
    <definedName name="NYHydro">#REF!</definedName>
    <definedName name="NYHydro_IOU" localSheetId="1">#REF!</definedName>
    <definedName name="NYHydro_IOU">#REF!</definedName>
    <definedName name="NYIntCo" localSheetId="1">#REF!</definedName>
    <definedName name="NYIntCo">#REF!</definedName>
    <definedName name="NYIntCo_IOU" localSheetId="1">#REF!</definedName>
    <definedName name="NYIntCo_IOU">#REF!</definedName>
    <definedName name="NYIOU" localSheetId="1">#REF!</definedName>
    <definedName name="NYIOU">#REF!</definedName>
    <definedName name="NYNucStm" localSheetId="1">#REF!</definedName>
    <definedName name="NYNucStm">#REF!</definedName>
    <definedName name="NYNucStm_IOU" localSheetId="1">#REF!</definedName>
    <definedName name="NYNucStm_IOU">#REF!</definedName>
    <definedName name="nypub" localSheetId="1">#REF!</definedName>
    <definedName name="nypub">#REF!</definedName>
    <definedName name="NYSol" localSheetId="1">#REF!</definedName>
    <definedName name="NYSol">#REF!</definedName>
    <definedName name="NYSol_IOU" localSheetId="1">#REF!</definedName>
    <definedName name="NYSol_IOU">#REF!</definedName>
    <definedName name="NYStm" localSheetId="1">#REF!</definedName>
    <definedName name="NYStm">#REF!</definedName>
    <definedName name="NYStm_IOU" localSheetId="1">#REF!</definedName>
    <definedName name="NYStm_IOU">#REF!</definedName>
    <definedName name="NYWind" localSheetId="1">#REF!</definedName>
    <definedName name="NYWind">#REF!</definedName>
    <definedName name="NYWind_IOU" localSheetId="1">#REF!</definedName>
    <definedName name="NYWind_IOU">#REF!</definedName>
    <definedName name="OH" localSheetId="1">#REF!</definedName>
    <definedName name="OH">#REF!</definedName>
    <definedName name="OH_FuCoal" localSheetId="1">#REF!</definedName>
    <definedName name="OH_FuCoal">#REF!</definedName>
    <definedName name="OH_FuCoal_IOU" localSheetId="1">#REF!</definedName>
    <definedName name="OH_FuCoal_IOU">#REF!</definedName>
    <definedName name="OH_FuGas" localSheetId="1">#REF!</definedName>
    <definedName name="OH_FuGas">#REF!</definedName>
    <definedName name="OH_FuGas_IOU" localSheetId="1">#REF!</definedName>
    <definedName name="OH_FuGas_IOU">#REF!</definedName>
    <definedName name="OH_FuHyd" localSheetId="1">#REF!</definedName>
    <definedName name="OH_FuHyd">#REF!</definedName>
    <definedName name="OH_FuHyd_IOU" localSheetId="1">#REF!</definedName>
    <definedName name="OH_FuHyd_IOU">#REF!</definedName>
    <definedName name="OH_FuNuc" localSheetId="1">#REF!</definedName>
    <definedName name="OH_FuNuc">#REF!</definedName>
    <definedName name="OH_FuNuc_IOU" localSheetId="1">#REF!</definedName>
    <definedName name="OH_FuNuc_IOU">#REF!</definedName>
    <definedName name="OH_FuOil" localSheetId="1">#REF!</definedName>
    <definedName name="OH_FuOil">#REF!</definedName>
    <definedName name="OH_FuOil_IOU" localSheetId="1">#REF!</definedName>
    <definedName name="OH_FuOil_IOU">#REF!</definedName>
    <definedName name="OH_FuOth" localSheetId="1">#REF!</definedName>
    <definedName name="OH_FuOth">#REF!</definedName>
    <definedName name="OH_FuOth_IOU" localSheetId="1">#REF!</definedName>
    <definedName name="OH_FuOth_IOU">#REF!</definedName>
    <definedName name="OH_IOU" localSheetId="1">#REF!</definedName>
    <definedName name="OH_IOU">#REF!</definedName>
    <definedName name="ohCoop" localSheetId="1">#REF!</definedName>
    <definedName name="ohCoop">#REF!</definedName>
    <definedName name="ohfed" localSheetId="1">#REF!</definedName>
    <definedName name="ohfed">#REF!</definedName>
    <definedName name="OHHydro" localSheetId="1">#REF!</definedName>
    <definedName name="OHHydro">#REF!</definedName>
    <definedName name="OHHydro_IOU" localSheetId="1">#REF!</definedName>
    <definedName name="OHHydro_IOU">#REF!</definedName>
    <definedName name="OHIntCo" localSheetId="1">#REF!</definedName>
    <definedName name="OHIntCo">#REF!</definedName>
    <definedName name="OHIntCo_IOU" localSheetId="1">#REF!</definedName>
    <definedName name="OHIntCo_IOU">#REF!</definedName>
    <definedName name="OHIOU" localSheetId="1">#REF!</definedName>
    <definedName name="OHIOU">#REF!</definedName>
    <definedName name="OHNucStm" localSheetId="1">#REF!</definedName>
    <definedName name="OHNucStm">#REF!</definedName>
    <definedName name="OHNucStm_IOU" localSheetId="1">#REF!</definedName>
    <definedName name="OHNucStm_IOU">#REF!</definedName>
    <definedName name="ohpub" localSheetId="1">#REF!</definedName>
    <definedName name="ohpub">#REF!</definedName>
    <definedName name="OHSol" localSheetId="1">#REF!</definedName>
    <definedName name="OHSol">#REF!</definedName>
    <definedName name="OHSol_IOU" localSheetId="1">#REF!</definedName>
    <definedName name="OHSol_IOU">#REF!</definedName>
    <definedName name="OHStm" localSheetId="1">#REF!</definedName>
    <definedName name="OHStm">#REF!</definedName>
    <definedName name="OHStm_IOU" localSheetId="1">#REF!</definedName>
    <definedName name="OHStm_IOU">#REF!</definedName>
    <definedName name="OHWind" localSheetId="1">#REF!</definedName>
    <definedName name="OHWind">#REF!</definedName>
    <definedName name="OHWind_IOU" localSheetId="1">#REF!</definedName>
    <definedName name="OHWind_IOU">#REF!</definedName>
    <definedName name="OK" localSheetId="1">#REF!</definedName>
    <definedName name="OK">#REF!</definedName>
    <definedName name="OK_FuCoal" localSheetId="1">#REF!</definedName>
    <definedName name="OK_FuCoal">#REF!</definedName>
    <definedName name="OK_FuCoal_IOU" localSheetId="1">#REF!</definedName>
    <definedName name="OK_FuCoal_IOU">#REF!</definedName>
    <definedName name="OK_FuGas" localSheetId="1">#REF!</definedName>
    <definedName name="OK_FuGas">#REF!</definedName>
    <definedName name="OK_FuGas_IOU" localSheetId="1">#REF!</definedName>
    <definedName name="OK_FuGas_IOU">#REF!</definedName>
    <definedName name="OK_FuHyd" localSheetId="1">#REF!</definedName>
    <definedName name="OK_FuHyd">#REF!</definedName>
    <definedName name="OK_FuHyd_IOU" localSheetId="1">#REF!</definedName>
    <definedName name="OK_FuHyd_IOU">#REF!</definedName>
    <definedName name="OK_FuNuc" localSheetId="1">#REF!</definedName>
    <definedName name="OK_FuNuc">#REF!</definedName>
    <definedName name="OK_FuNuc_IOU" localSheetId="1">#REF!</definedName>
    <definedName name="OK_FuNuc_IOU">#REF!</definedName>
    <definedName name="OK_FuOil" localSheetId="1">#REF!</definedName>
    <definedName name="OK_FuOil">#REF!</definedName>
    <definedName name="OK_FuOil_IOU" localSheetId="1">#REF!</definedName>
    <definedName name="OK_FuOil_IOU">#REF!</definedName>
    <definedName name="OK_FuOth" localSheetId="1">#REF!</definedName>
    <definedName name="OK_FuOth">#REF!</definedName>
    <definedName name="OK_FuOth_IOU" localSheetId="1">#REF!</definedName>
    <definedName name="OK_FuOth_IOU">#REF!</definedName>
    <definedName name="OK_IOU" localSheetId="1">#REF!</definedName>
    <definedName name="OK_IOU">#REF!</definedName>
    <definedName name="okCoop" localSheetId="1">#REF!</definedName>
    <definedName name="okCoop">#REF!</definedName>
    <definedName name="OKHydro" localSheetId="1">#REF!</definedName>
    <definedName name="OKHydro">#REF!</definedName>
    <definedName name="OKHydro_IOU" localSheetId="1">#REF!</definedName>
    <definedName name="OKHydro_IOU">#REF!</definedName>
    <definedName name="OKIntCo" localSheetId="1">#REF!</definedName>
    <definedName name="OKIntCo">#REF!</definedName>
    <definedName name="OKIntCo_IOU" localSheetId="1">#REF!</definedName>
    <definedName name="OKIntCo_IOU">#REF!</definedName>
    <definedName name="OKIOU" localSheetId="1">#REF!</definedName>
    <definedName name="OKIOU">#REF!</definedName>
    <definedName name="OKNucStm" localSheetId="1">#REF!</definedName>
    <definedName name="OKNucStm">#REF!</definedName>
    <definedName name="OKNucStm_IOU" localSheetId="1">#REF!</definedName>
    <definedName name="OKNucStm_IOU">#REF!</definedName>
    <definedName name="OKSol" localSheetId="1">#REF!</definedName>
    <definedName name="OKSol">#REF!</definedName>
    <definedName name="OKSol_IOU" localSheetId="1">#REF!</definedName>
    <definedName name="OKSol_IOU">#REF!</definedName>
    <definedName name="OKStm" localSheetId="1">#REF!</definedName>
    <definedName name="OKStm">#REF!</definedName>
    <definedName name="OKStm_IOU" localSheetId="1">#REF!</definedName>
    <definedName name="OKStm_IOU">#REF!</definedName>
    <definedName name="OKWind" localSheetId="1">#REF!</definedName>
    <definedName name="OKWind">#REF!</definedName>
    <definedName name="OKWind_IOU" localSheetId="1">#REF!</definedName>
    <definedName name="OKWind_IOU">#REF!</definedName>
    <definedName name="OL_1_Allnight" localSheetId="1">'[6]Effective-Rates'!#REF!</definedName>
    <definedName name="OL_1_Allnight">'[6]Effective-Rates'!#REF!</definedName>
    <definedName name="OL_1_Midnight" localSheetId="1">'[6]Effective-Rates'!#REF!</definedName>
    <definedName name="OL_1_Midnight">'[6]Effective-Rates'!#REF!</definedName>
    <definedName name="OR" localSheetId="1">#REF!</definedName>
    <definedName name="OR">#REF!</definedName>
    <definedName name="OR_FuCoal" localSheetId="1">#REF!</definedName>
    <definedName name="OR_FuCoal">#REF!</definedName>
    <definedName name="OR_FuCoal_IOU" localSheetId="1">#REF!</definedName>
    <definedName name="OR_FuCoal_IOU">#REF!</definedName>
    <definedName name="OR_FuGas" localSheetId="1">#REF!</definedName>
    <definedName name="OR_FuGas">#REF!</definedName>
    <definedName name="OR_FuGas_IOU" localSheetId="1">#REF!</definedName>
    <definedName name="OR_FuGas_IOU">#REF!</definedName>
    <definedName name="OR_FuHyd" localSheetId="1">#REF!</definedName>
    <definedName name="OR_FuHyd">#REF!</definedName>
    <definedName name="OR_FuHyd_IOU" localSheetId="1">#REF!</definedName>
    <definedName name="OR_FuHyd_IOU">#REF!</definedName>
    <definedName name="OR_FuNuc" localSheetId="1">#REF!</definedName>
    <definedName name="OR_FuNuc">#REF!</definedName>
    <definedName name="OR_FuNuc_IOU" localSheetId="1">#REF!</definedName>
    <definedName name="OR_FuNuc_IOU">#REF!</definedName>
    <definedName name="OR_FuOil" localSheetId="1">#REF!</definedName>
    <definedName name="OR_FuOil">#REF!</definedName>
    <definedName name="OR_FuOil_IOU" localSheetId="1">#REF!</definedName>
    <definedName name="OR_FuOil_IOU">#REF!</definedName>
    <definedName name="OR_FuOth" localSheetId="1">#REF!</definedName>
    <definedName name="OR_FuOth">#REF!</definedName>
    <definedName name="OR_FuOth_IOU" localSheetId="1">#REF!</definedName>
    <definedName name="OR_FuOth_IOU">#REF!</definedName>
    <definedName name="OR_IOU" localSheetId="1">#REF!</definedName>
    <definedName name="OR_IOU">#REF!</definedName>
    <definedName name="orCoop" localSheetId="1">#REF!</definedName>
    <definedName name="orCoop">#REF!</definedName>
    <definedName name="ORHydro" localSheetId="1">#REF!</definedName>
    <definedName name="ORHydro">#REF!</definedName>
    <definedName name="ORHydro_IOU" localSheetId="1">#REF!</definedName>
    <definedName name="ORHydro_IOU">#REF!</definedName>
    <definedName name="ORIntCo" localSheetId="1">#REF!</definedName>
    <definedName name="ORIntCo">#REF!</definedName>
    <definedName name="ORIntCo_IOU" localSheetId="1">#REF!</definedName>
    <definedName name="ORIntCo_IOU">#REF!</definedName>
    <definedName name="ORIOU" localSheetId="1">#REF!</definedName>
    <definedName name="ORIOU">#REF!</definedName>
    <definedName name="ORNucStm" localSheetId="1">#REF!</definedName>
    <definedName name="ORNucStm">#REF!</definedName>
    <definedName name="ORNucStm_IOU" localSheetId="1">#REF!</definedName>
    <definedName name="ORNucStm_IOU">#REF!</definedName>
    <definedName name="ORSol" localSheetId="1">#REF!</definedName>
    <definedName name="ORSol">#REF!</definedName>
    <definedName name="ORSol_IOU" localSheetId="1">#REF!</definedName>
    <definedName name="ORSol_IOU">#REF!</definedName>
    <definedName name="ORStm" localSheetId="1">#REF!</definedName>
    <definedName name="ORStm">#REF!</definedName>
    <definedName name="ORStm_IOU" localSheetId="1">#REF!</definedName>
    <definedName name="ORStm_IOU">#REF!</definedName>
    <definedName name="ORWind" localSheetId="1">#REF!</definedName>
    <definedName name="ORWind">#REF!</definedName>
    <definedName name="ORWind_IOU" localSheetId="1">#REF!</definedName>
    <definedName name="ORWind_IOU">#REF!</definedName>
    <definedName name="Other_offsets" localSheetId="1">#REF!</definedName>
    <definedName name="Other_offsets">#REF!</definedName>
    <definedName name="ownership" localSheetId="1">#REF!</definedName>
    <definedName name="ownership">#REF!</definedName>
    <definedName name="ownership98" localSheetId="1">#REF!</definedName>
    <definedName name="ownership98">#REF!</definedName>
    <definedName name="ownership99" localSheetId="1">#REF!</definedName>
    <definedName name="ownership99">#REF!</definedName>
    <definedName name="PA" localSheetId="1">#REF!</definedName>
    <definedName name="PA">#REF!</definedName>
    <definedName name="PA_FuCoal" localSheetId="1">#REF!</definedName>
    <definedName name="PA_FuCoal">#REF!</definedName>
    <definedName name="PA_FuCoal_IOU" localSheetId="1">#REF!</definedName>
    <definedName name="PA_FuCoal_IOU">#REF!</definedName>
    <definedName name="PA_FuGas" localSheetId="1">#REF!</definedName>
    <definedName name="PA_FuGas">#REF!</definedName>
    <definedName name="PA_FuGas_IOU" localSheetId="1">#REF!</definedName>
    <definedName name="PA_FuGas_IOU">#REF!</definedName>
    <definedName name="PA_FuHyd" localSheetId="1">#REF!</definedName>
    <definedName name="PA_FuHyd">#REF!</definedName>
    <definedName name="PA_FuHyd_IOU" localSheetId="1">#REF!</definedName>
    <definedName name="PA_FuHyd_IOU">#REF!</definedName>
    <definedName name="PA_FuNuc" localSheetId="1">#REF!</definedName>
    <definedName name="PA_FuNuc">#REF!</definedName>
    <definedName name="PA_FuNuc_IOU" localSheetId="1">#REF!</definedName>
    <definedName name="PA_FuNuc_IOU">#REF!</definedName>
    <definedName name="PA_FuOil" localSheetId="1">#REF!</definedName>
    <definedName name="PA_FuOil">#REF!</definedName>
    <definedName name="PA_FuOil_IOU" localSheetId="1">#REF!</definedName>
    <definedName name="PA_FuOil_IOU">#REF!</definedName>
    <definedName name="PA_FuOth" localSheetId="1">#REF!</definedName>
    <definedName name="PA_FuOth">#REF!</definedName>
    <definedName name="PA_FuOth_IOU" localSheetId="1">#REF!</definedName>
    <definedName name="PA_FuOth_IOU">#REF!</definedName>
    <definedName name="PA_IOU" localSheetId="1">#REF!</definedName>
    <definedName name="PA_IOU">#REF!</definedName>
    <definedName name="paCoop" localSheetId="1">#REF!</definedName>
    <definedName name="paCoop">#REF!</definedName>
    <definedName name="pafed" localSheetId="1">#REF!</definedName>
    <definedName name="pafed">#REF!</definedName>
    <definedName name="PAGE1.1_MCRR_21" localSheetId="1">#REF!</definedName>
    <definedName name="PAGE1.1_MCRR_21">#REF!</definedName>
    <definedName name="PAGE1_MCRR_16" localSheetId="1">#REF!</definedName>
    <definedName name="PAGE1_MCRR_16">#REF!</definedName>
    <definedName name="PAGE1_MCRR_21" localSheetId="1">#REF!</definedName>
    <definedName name="PAGE1_MCRR_21">#REF!</definedName>
    <definedName name="PAGE1_MCRR_30" localSheetId="1">#REF!</definedName>
    <definedName name="PAGE1_MCRR_30">#REF!</definedName>
    <definedName name="PAGE2.1_MCRR_21" localSheetId="1">#REF!</definedName>
    <definedName name="PAGE2.1_MCRR_21">#REF!</definedName>
    <definedName name="PAGE2_MCRR_16" localSheetId="1">#REF!</definedName>
    <definedName name="PAGE2_MCRR_16">#REF!</definedName>
    <definedName name="PAGE2_MCRR_21" localSheetId="1">#REF!</definedName>
    <definedName name="PAGE2_MCRR_21">#REF!</definedName>
    <definedName name="PAGE2_MCRR_30" localSheetId="1">#REF!</definedName>
    <definedName name="PAGE2_MCRR_30">#REF!</definedName>
    <definedName name="PAGE3.1_MCRR_21" localSheetId="1">#REF!</definedName>
    <definedName name="PAGE3.1_MCRR_21">#REF!</definedName>
    <definedName name="PAGE3_MCRR_16" localSheetId="1">#REF!</definedName>
    <definedName name="PAGE3_MCRR_16">#REF!</definedName>
    <definedName name="PAGE3_MCRR_21" localSheetId="1">#REF!</definedName>
    <definedName name="PAGE3_MCRR_21">#REF!</definedName>
    <definedName name="PAGE3_MCRR_30" localSheetId="1">#REF!</definedName>
    <definedName name="PAGE3_MCRR_30">#REF!</definedName>
    <definedName name="PAGE4_MCRR_16" localSheetId="1">#REF!</definedName>
    <definedName name="PAGE4_MCRR_16">#REF!</definedName>
    <definedName name="PAGE4_MCRR_21" localSheetId="1">#REF!</definedName>
    <definedName name="PAGE4_MCRR_21">#REF!</definedName>
    <definedName name="PAGE4_MCRR_30" localSheetId="1">#REF!</definedName>
    <definedName name="PAGE4_MCRR_30">#REF!</definedName>
    <definedName name="PAGE5_MCRR_16" localSheetId="1">#REF!</definedName>
    <definedName name="PAGE5_MCRR_16">#REF!</definedName>
    <definedName name="PAGE6.1_MCRR_16" localSheetId="1">#REF!</definedName>
    <definedName name="PAGE6.1_MCRR_16">#REF!</definedName>
    <definedName name="PAGE6_MCRR_16" localSheetId="1">#REF!</definedName>
    <definedName name="PAGE6_MCRR_16">#REF!</definedName>
    <definedName name="PAGE7.1_MCRR_16">#N/A</definedName>
    <definedName name="PAGE7_MCRR_16" localSheetId="1">#REF!</definedName>
    <definedName name="PAGE7_MCRR_16">#REF!</definedName>
    <definedName name="PAGE8_MCRR_16">#N/A</definedName>
    <definedName name="PAHydro" localSheetId="1">#REF!</definedName>
    <definedName name="PAHydro">#REF!</definedName>
    <definedName name="PAHydro_IOU" localSheetId="1">#REF!</definedName>
    <definedName name="PAHydro_IOU">#REF!</definedName>
    <definedName name="PAIntCo" localSheetId="1">#REF!</definedName>
    <definedName name="PAIntCo">#REF!</definedName>
    <definedName name="PAIntCo_IOU" localSheetId="1">#REF!</definedName>
    <definedName name="PAIntCo_IOU">#REF!</definedName>
    <definedName name="PAIOU" localSheetId="1">#REF!</definedName>
    <definedName name="PAIOU">#REF!</definedName>
    <definedName name="PANucStm" localSheetId="1">#REF!</definedName>
    <definedName name="PANucStm">#REF!</definedName>
    <definedName name="PANucStm_IOU" localSheetId="1">#REF!</definedName>
    <definedName name="PANucStm_IOU">#REF!</definedName>
    <definedName name="papub" localSheetId="1">#REF!</definedName>
    <definedName name="papub">#REF!</definedName>
    <definedName name="PASol" localSheetId="1">#REF!</definedName>
    <definedName name="PASol">#REF!</definedName>
    <definedName name="PASol_IOU" localSheetId="1">#REF!</definedName>
    <definedName name="PASol_IOU">#REF!</definedName>
    <definedName name="PAStm" localSheetId="1">#REF!</definedName>
    <definedName name="PAStm">#REF!</definedName>
    <definedName name="PAStm_IOU" localSheetId="1">#REF!</definedName>
    <definedName name="PAStm_IOU">#REF!</definedName>
    <definedName name="PAWind" localSheetId="1">#REF!</definedName>
    <definedName name="PAWind">#REF!</definedName>
    <definedName name="PAWind_IOU" localSheetId="1">#REF!</definedName>
    <definedName name="PAWind_IOU">#REF!</definedName>
    <definedName name="PctOwnership" localSheetId="1">#REF!</definedName>
    <definedName name="PctOwnership">#REF!</definedName>
    <definedName name="PMCodes" localSheetId="1">#REF!</definedName>
    <definedName name="PMCodes">#REF!</definedName>
    <definedName name="pmt" localSheetId="1">#REF!</definedName>
    <definedName name="pmt" localSheetId="7">#REF!</definedName>
    <definedName name="pmt" localSheetId="5">#REF!</definedName>
    <definedName name="pmt">#REF!</definedName>
    <definedName name="_xlnm.Print_Area" localSheetId="1">'Aug. 1, 2024 Payment Date'!$B$1:$I$94</definedName>
    <definedName name="_xlnm.Print_Area" localSheetId="5">'True Up Letter Tables'!$B$2:$H$67</definedName>
    <definedName name="_xlnm.Print_Area" localSheetId="2">'WES Charge True-up Calculation'!$A$1:$L$48</definedName>
    <definedName name="_xlnm.Print_Area">#REF!</definedName>
    <definedName name="PRINT_AREA_MI" localSheetId="1">#REF!</definedName>
    <definedName name="PRINT_AREA_MI">#REF!</definedName>
    <definedName name="RCN_sector_1" localSheetId="1">#REF!</definedName>
    <definedName name="RCN_sector_1">#REF!</definedName>
    <definedName name="RCN_sector_2" localSheetId="1">#REF!</definedName>
    <definedName name="RCN_sector_2">#REF!</definedName>
    <definedName name="RELAMP" localSheetId="1">#REF!</definedName>
    <definedName name="RELAMP">#REF!</definedName>
    <definedName name="REVREQCD" localSheetId="5">[5]RevReqCodes!$C$1:$C$65536</definedName>
    <definedName name="REVREQCD">[5]RevReqCodes!$C:$C</definedName>
    <definedName name="REVREQDESC">[5]RevReqCodes!$B$2:$B$367</definedName>
    <definedName name="RI" localSheetId="1">#REF!</definedName>
    <definedName name="RI">#REF!</definedName>
    <definedName name="RI_FuCoal" localSheetId="1">#REF!</definedName>
    <definedName name="RI_FuCoal">#REF!</definedName>
    <definedName name="RI_FuCoal_IOU" localSheetId="1">#REF!</definedName>
    <definedName name="RI_FuCoal_IOU">#REF!</definedName>
    <definedName name="RI_FuGas" localSheetId="1">#REF!</definedName>
    <definedName name="RI_FuGas">#REF!</definedName>
    <definedName name="RI_FuGas_IOU" localSheetId="1">#REF!</definedName>
    <definedName name="RI_FuGas_IOU">#REF!</definedName>
    <definedName name="RI_FuHyd" localSheetId="1">#REF!</definedName>
    <definedName name="RI_FuHyd">#REF!</definedName>
    <definedName name="RI_FuHyd_IOU" localSheetId="1">#REF!</definedName>
    <definedName name="RI_FuHyd_IOU">#REF!</definedName>
    <definedName name="RI_FuNuc" localSheetId="1">#REF!</definedName>
    <definedName name="RI_FuNuc">#REF!</definedName>
    <definedName name="RI_FuNuc_IOU" localSheetId="1">#REF!</definedName>
    <definedName name="RI_FuNuc_IOU">#REF!</definedName>
    <definedName name="RI_FuOil" localSheetId="1">#REF!</definedName>
    <definedName name="RI_FuOil">#REF!</definedName>
    <definedName name="RI_FuOil_IOU" localSheetId="1">#REF!</definedName>
    <definedName name="RI_FuOil_IOU">#REF!</definedName>
    <definedName name="RI_FuOth" localSheetId="1">#REF!</definedName>
    <definedName name="RI_FuOth">#REF!</definedName>
    <definedName name="RI_FuOth_IOU" localSheetId="1">#REF!</definedName>
    <definedName name="RI_FuOth_IOU">#REF!</definedName>
    <definedName name="RI_IOU" localSheetId="1">#REF!</definedName>
    <definedName name="RI_IOU">#REF!</definedName>
    <definedName name="riCoop" localSheetId="1">#REF!</definedName>
    <definedName name="riCoop">#REF!</definedName>
    <definedName name="RIHydro" localSheetId="1">#REF!</definedName>
    <definedName name="RIHydro">#REF!</definedName>
    <definedName name="RIHydro_IOU" localSheetId="1">#REF!</definedName>
    <definedName name="RIHydro_IOU">#REF!</definedName>
    <definedName name="RIIntCo" localSheetId="1">#REF!</definedName>
    <definedName name="RIIntCo">#REF!</definedName>
    <definedName name="RIIntCo_IOU" localSheetId="1">#REF!</definedName>
    <definedName name="RIIntCo_IOU">#REF!</definedName>
    <definedName name="RIIOU" localSheetId="1">#REF!</definedName>
    <definedName name="RIIOU">#REF!</definedName>
    <definedName name="RINucStm" localSheetId="1">#REF!</definedName>
    <definedName name="RINucStm">#REF!</definedName>
    <definedName name="RINucStm_IOU" localSheetId="1">#REF!</definedName>
    <definedName name="RINucStm_IOU">#REF!</definedName>
    <definedName name="RISol" localSheetId="1">#REF!</definedName>
    <definedName name="RISol">#REF!</definedName>
    <definedName name="RISol_IOU" localSheetId="1">#REF!</definedName>
    <definedName name="RISol_IOU">#REF!</definedName>
    <definedName name="RIStm" localSheetId="1">#REF!</definedName>
    <definedName name="RIStm">#REF!</definedName>
    <definedName name="RIStm_IOU" localSheetId="1">#REF!</definedName>
    <definedName name="RIStm_IOU">#REF!</definedName>
    <definedName name="RIWind" localSheetId="1">#REF!</definedName>
    <definedName name="RIWind">#REF!</definedName>
    <definedName name="RIWind_IOU" localSheetId="1">#REF!</definedName>
    <definedName name="RIWind_IOU">#REF!</definedName>
    <definedName name="SC" localSheetId="1">#REF!</definedName>
    <definedName name="SC">#REF!</definedName>
    <definedName name="SC_FuCoal" localSheetId="1">#REF!</definedName>
    <definedName name="SC_FuCoal">#REF!</definedName>
    <definedName name="SC_FuCoal_IOU" localSheetId="1">#REF!</definedName>
    <definedName name="SC_FuCoal_IOU">#REF!</definedName>
    <definedName name="SC_FuGas" localSheetId="1">#REF!</definedName>
    <definedName name="SC_FuGas">#REF!</definedName>
    <definedName name="SC_FuGas_IOU" localSheetId="1">#REF!</definedName>
    <definedName name="SC_FuGas_IOU">#REF!</definedName>
    <definedName name="SC_FuHyd" localSheetId="1">#REF!</definedName>
    <definedName name="SC_FuHyd">#REF!</definedName>
    <definedName name="SC_FuHyd_IOU" localSheetId="1">#REF!</definedName>
    <definedName name="SC_FuHyd_IOU">#REF!</definedName>
    <definedName name="SC_FuNuc" localSheetId="1">#REF!</definedName>
    <definedName name="SC_FuNuc">#REF!</definedName>
    <definedName name="SC_FuNuc_IOU" localSheetId="1">#REF!</definedName>
    <definedName name="SC_FuNuc_IOU">#REF!</definedName>
    <definedName name="SC_FuOil" localSheetId="1">#REF!</definedName>
    <definedName name="SC_FuOil">#REF!</definedName>
    <definedName name="SC_FuOil_IOU" localSheetId="1">#REF!</definedName>
    <definedName name="SC_FuOil_IOU">#REF!</definedName>
    <definedName name="SC_FuOth" localSheetId="1">#REF!</definedName>
    <definedName name="SC_FuOth">#REF!</definedName>
    <definedName name="SC_FuOth_IOU" localSheetId="1">#REF!</definedName>
    <definedName name="SC_FuOth_IOU">#REF!</definedName>
    <definedName name="SC_IOU" localSheetId="1">#REF!</definedName>
    <definedName name="SC_IOU">#REF!</definedName>
    <definedName name="scCoop" localSheetId="1">#REF!</definedName>
    <definedName name="scCoop">#REF!</definedName>
    <definedName name="SCHydro" localSheetId="1">#REF!</definedName>
    <definedName name="SCHydro">#REF!</definedName>
    <definedName name="SCHydro_IOU" localSheetId="1">#REF!</definedName>
    <definedName name="SCHydro_IOU">#REF!</definedName>
    <definedName name="SCIntCo" localSheetId="1">#REF!</definedName>
    <definedName name="SCIntCo">#REF!</definedName>
    <definedName name="SCIntCo_IOU" localSheetId="1">#REF!</definedName>
    <definedName name="SCIntCo_IOU">#REF!</definedName>
    <definedName name="SCIOU" localSheetId="1">#REF!</definedName>
    <definedName name="SCIOU">#REF!</definedName>
    <definedName name="SCNucStm" localSheetId="1">#REF!</definedName>
    <definedName name="SCNucStm">#REF!</definedName>
    <definedName name="SCNucStm_IOU" localSheetId="1">#REF!</definedName>
    <definedName name="SCNucStm_IOU">#REF!</definedName>
    <definedName name="SCSol" localSheetId="1">#REF!</definedName>
    <definedName name="SCSol">#REF!</definedName>
    <definedName name="SCSol_IOU" localSheetId="1">#REF!</definedName>
    <definedName name="SCSol_IOU">#REF!</definedName>
    <definedName name="SCStm" localSheetId="1">#REF!</definedName>
    <definedName name="SCStm">#REF!</definedName>
    <definedName name="SCStm_IOU" localSheetId="1">#REF!</definedName>
    <definedName name="SCStm_IOU">#REF!</definedName>
    <definedName name="SCWind" localSheetId="1">#REF!</definedName>
    <definedName name="SCWind">#REF!</definedName>
    <definedName name="SCWind_IOU" localSheetId="1">#REF!</definedName>
    <definedName name="SCWind_IOU">#REF!</definedName>
    <definedName name="SD" localSheetId="1">#REF!</definedName>
    <definedName name="SD">#REF!</definedName>
    <definedName name="SD_FuCoal" localSheetId="1">#REF!</definedName>
    <definedName name="SD_FuCoal">#REF!</definedName>
    <definedName name="SD_FuCoal_IOU" localSheetId="1">#REF!</definedName>
    <definedName name="SD_FuCoal_IOU">#REF!</definedName>
    <definedName name="SD_FuGas" localSheetId="1">#REF!</definedName>
    <definedName name="SD_FuGas">#REF!</definedName>
    <definedName name="SD_FuGas_IOU" localSheetId="1">#REF!</definedName>
    <definedName name="SD_FuGas_IOU">#REF!</definedName>
    <definedName name="SD_FuHyd" localSheetId="1">#REF!</definedName>
    <definedName name="SD_FuHyd">#REF!</definedName>
    <definedName name="SD_FuHyd_IOU" localSheetId="1">#REF!</definedName>
    <definedName name="SD_FuHyd_IOU">#REF!</definedName>
    <definedName name="SD_FuNuc" localSheetId="1">#REF!</definedName>
    <definedName name="SD_FuNuc">#REF!</definedName>
    <definedName name="SD_FuNuc_IOU" localSheetId="1">#REF!</definedName>
    <definedName name="SD_FuNuc_IOU">#REF!</definedName>
    <definedName name="SD_FuOil" localSheetId="1">#REF!</definedName>
    <definedName name="SD_FuOil">#REF!</definedName>
    <definedName name="SD_FuOil_IOU" localSheetId="1">#REF!</definedName>
    <definedName name="SD_FuOil_IOU">#REF!</definedName>
    <definedName name="SD_FuOth" localSheetId="1">#REF!</definedName>
    <definedName name="SD_FuOth">#REF!</definedName>
    <definedName name="SD_FuOth_IOU" localSheetId="1">#REF!</definedName>
    <definedName name="SD_FuOth_IOU">#REF!</definedName>
    <definedName name="SD_IOU" localSheetId="1">#REF!</definedName>
    <definedName name="SD_IOU">#REF!</definedName>
    <definedName name="sdCoop" localSheetId="1">#REF!</definedName>
    <definedName name="sdCoop">#REF!</definedName>
    <definedName name="SDHydro" localSheetId="1">#REF!</definedName>
    <definedName name="SDHydro">#REF!</definedName>
    <definedName name="SDHydro_IOU" localSheetId="1">#REF!</definedName>
    <definedName name="SDHydro_IOU">#REF!</definedName>
    <definedName name="SDIntCo" localSheetId="1">#REF!</definedName>
    <definedName name="SDIntCo">#REF!</definedName>
    <definedName name="SDIntCo_IOU" localSheetId="1">#REF!</definedName>
    <definedName name="SDIntCo_IOU">#REF!</definedName>
    <definedName name="SDIOU" localSheetId="1">#REF!</definedName>
    <definedName name="SDIOU">#REF!</definedName>
    <definedName name="SDNucStm" localSheetId="1">#REF!</definedName>
    <definedName name="SDNucStm">#REF!</definedName>
    <definedName name="SDNucStm_IOU" localSheetId="1">#REF!</definedName>
    <definedName name="SDNucStm_IOU">#REF!</definedName>
    <definedName name="SDSol" localSheetId="1">#REF!</definedName>
    <definedName name="SDSol">#REF!</definedName>
    <definedName name="SDSol_IOU" localSheetId="1">#REF!</definedName>
    <definedName name="SDSol_IOU">#REF!</definedName>
    <definedName name="SDStm" localSheetId="1">#REF!</definedName>
    <definedName name="SDStm">#REF!</definedName>
    <definedName name="SDStm_IOU" localSheetId="1">#REF!</definedName>
    <definedName name="SDStm_IOU">#REF!</definedName>
    <definedName name="SDWind" localSheetId="1">#REF!</definedName>
    <definedName name="SDWind">#REF!</definedName>
    <definedName name="SDWind_IOU" localSheetId="1">#REF!</definedName>
    <definedName name="SDWind_IOU">#REF!</definedName>
    <definedName name="Solar" localSheetId="1">#REF!</definedName>
    <definedName name="Solar">#REF!</definedName>
    <definedName name="solddata" localSheetId="1">#REF!</definedName>
    <definedName name="solddata">#REF!</definedName>
    <definedName name="sortdata">[11]Table41!$J$15:$L$74</definedName>
    <definedName name="statedata">[1]CODING!$A$35:$C$85</definedName>
    <definedName name="states" localSheetId="1">#REF!</definedName>
    <definedName name="states">#REF!</definedName>
    <definedName name="Steam" localSheetId="1">#REF!</definedName>
    <definedName name="Steam">#REF!</definedName>
    <definedName name="SUMM_1" localSheetId="1">#REF!</definedName>
    <definedName name="SUMM_1">#REF!</definedName>
    <definedName name="SYS_ADJ2" localSheetId="1">#REF!</definedName>
    <definedName name="SYS_ADJ2">#REF!</definedName>
    <definedName name="Table41data">[11]Table41!$A$87:$U$139</definedName>
    <definedName name="TC_1" localSheetId="1">#REF!</definedName>
    <definedName name="TC_1">#REF!</definedName>
    <definedName name="TN" localSheetId="1">#REF!</definedName>
    <definedName name="TN">#REF!</definedName>
    <definedName name="TN_FuCoal" localSheetId="1">#REF!</definedName>
    <definedName name="TN_FuCoal">#REF!</definedName>
    <definedName name="TN_FuCoal_IOU" localSheetId="1">#REF!</definedName>
    <definedName name="TN_FuCoal_IOU">#REF!</definedName>
    <definedName name="TN_FuGas" localSheetId="1">#REF!</definedName>
    <definedName name="TN_FuGas">#REF!</definedName>
    <definedName name="TN_FuGas_IOU" localSheetId="1">#REF!</definedName>
    <definedName name="TN_FuGas_IOU">#REF!</definedName>
    <definedName name="TN_FuHyd" localSheetId="1">#REF!</definedName>
    <definedName name="TN_FuHyd">#REF!</definedName>
    <definedName name="TN_FuHyd_IOU" localSheetId="1">#REF!</definedName>
    <definedName name="TN_FuHyd_IOU">#REF!</definedName>
    <definedName name="TN_FuNuc" localSheetId="1">#REF!</definedName>
    <definedName name="TN_FuNuc">#REF!</definedName>
    <definedName name="TN_FuNuc_IOU" localSheetId="1">#REF!</definedName>
    <definedName name="TN_FuNuc_IOU">#REF!</definedName>
    <definedName name="TN_FuOil" localSheetId="1">#REF!</definedName>
    <definedName name="TN_FuOil">#REF!</definedName>
    <definedName name="TN_FuOil_IOU" localSheetId="1">#REF!</definedName>
    <definedName name="TN_FuOil_IOU">#REF!</definedName>
    <definedName name="TN_FuOth" localSheetId="1">#REF!</definedName>
    <definedName name="TN_FuOth">#REF!</definedName>
    <definedName name="TN_FuOth_IOU" localSheetId="1">#REF!</definedName>
    <definedName name="TN_FuOth_IOU">#REF!</definedName>
    <definedName name="TN_IOU" localSheetId="1">#REF!</definedName>
    <definedName name="TN_IOU">#REF!</definedName>
    <definedName name="tnCoop" localSheetId="1">#REF!</definedName>
    <definedName name="tnCoop">#REF!</definedName>
    <definedName name="TNHydro" localSheetId="1">#REF!</definedName>
    <definedName name="TNHydro">#REF!</definedName>
    <definedName name="TNHydro_IOU" localSheetId="1">#REF!</definedName>
    <definedName name="TNHydro_IOU">#REF!</definedName>
    <definedName name="TNIntCo" localSheetId="1">#REF!</definedName>
    <definedName name="TNIntCo">#REF!</definedName>
    <definedName name="TNIntCo_IOU" localSheetId="1">#REF!</definedName>
    <definedName name="TNIntCo_IOU">#REF!</definedName>
    <definedName name="TNIOU" localSheetId="1">#REF!</definedName>
    <definedName name="TNIOU">#REF!</definedName>
    <definedName name="TNNucStm" localSheetId="1">#REF!</definedName>
    <definedName name="TNNucStm">#REF!</definedName>
    <definedName name="TNNucStm_IOU" localSheetId="1">#REF!</definedName>
    <definedName name="TNNucStm_IOU">#REF!</definedName>
    <definedName name="TNSol" localSheetId="1">#REF!</definedName>
    <definedName name="TNSol">#REF!</definedName>
    <definedName name="TNSol_IOU" localSheetId="1">#REF!</definedName>
    <definedName name="TNSol_IOU">#REF!</definedName>
    <definedName name="TNStm" localSheetId="1">#REF!</definedName>
    <definedName name="TNStm">#REF!</definedName>
    <definedName name="TNStm_IOU" localSheetId="1">#REF!</definedName>
    <definedName name="TNStm_IOU">#REF!</definedName>
    <definedName name="TNWind" localSheetId="1">#REF!</definedName>
    <definedName name="TNWind">#REF!</definedName>
    <definedName name="TNWind_IOU" localSheetId="1">#REF!</definedName>
    <definedName name="TNWind_IOU">#REF!</definedName>
    <definedName name="total_offsets_summer" localSheetId="1">#REF!</definedName>
    <definedName name="total_offsets_summer">#REF!</definedName>
    <definedName name="Total_offsets_winter" localSheetId="1">'[6]Effective-Rates'!#REF!</definedName>
    <definedName name="Total_offsets_winter">'[6]Effective-Rates'!#REF!</definedName>
    <definedName name="total_rates_summer" localSheetId="1">'[6]Effective-Rates'!#REF!</definedName>
    <definedName name="total_rates_summer">'[6]Effective-Rates'!#REF!</definedName>
    <definedName name="total_rates_winter" localSheetId="1">'[6]Effective-Rates'!#REF!</definedName>
    <definedName name="total_rates_winter">'[6]Effective-Rates'!#REF!</definedName>
    <definedName name="TotElecUtil" localSheetId="1">#REF!</definedName>
    <definedName name="TotElecUtil">#REF!</definedName>
    <definedName name="TotElecUtil_Hydro" localSheetId="1">#REF!</definedName>
    <definedName name="TotElecUtil_Hydro">#REF!</definedName>
    <definedName name="TotElecUtil_IC" localSheetId="1">#REF!</definedName>
    <definedName name="TotElecUtil_IC">#REF!</definedName>
    <definedName name="TotElecUtil_NS" localSheetId="1">#REF!</definedName>
    <definedName name="TotElecUtil_NS">#REF!</definedName>
    <definedName name="TotElecUtil_Solar" localSheetId="1">#REF!</definedName>
    <definedName name="TotElecUtil_Solar">#REF!</definedName>
    <definedName name="TotElecUtil_Steam" localSheetId="1">#REF!</definedName>
    <definedName name="TotElecUtil_Steam">#REF!</definedName>
    <definedName name="TotElecUtil_Wind" localSheetId="1">#REF!</definedName>
    <definedName name="TotElecUtil_Wind">#REF!</definedName>
    <definedName name="TotIndustry" localSheetId="1">#REF!</definedName>
    <definedName name="TotIndustry">#REF!</definedName>
    <definedName name="TOU_HEADER" localSheetId="1">#REF!</definedName>
    <definedName name="TOU_HEADER">#REF!</definedName>
    <definedName name="TOU_PA_5_1" localSheetId="1">#REF!</definedName>
    <definedName name="TOU_PA_5_1">#REF!</definedName>
    <definedName name="TOU_PA_5_2" localSheetId="1">'[12]RevReq-Detail'!#REF!</definedName>
    <definedName name="TOU_PA_5_2">'[12]RevReq-Detail'!#REF!</definedName>
    <definedName name="trustfee" localSheetId="1">#REF!</definedName>
    <definedName name="trustfee" localSheetId="7">#REF!</definedName>
    <definedName name="trustfee" localSheetId="5">#REF!</definedName>
    <definedName name="trustfee">#REF!</definedName>
    <definedName name="TX" localSheetId="1">#REF!</definedName>
    <definedName name="TX">#REF!</definedName>
    <definedName name="TX_FuCoal" localSheetId="1">#REF!</definedName>
    <definedName name="TX_FuCoal">#REF!</definedName>
    <definedName name="TX_FuCoal_IOU" localSheetId="1">#REF!</definedName>
    <definedName name="TX_FuCoal_IOU">#REF!</definedName>
    <definedName name="TX_FuGas" localSheetId="1">#REF!</definedName>
    <definedName name="TX_FuGas">#REF!</definedName>
    <definedName name="TX_FuGas_IOU" localSheetId="1">#REF!</definedName>
    <definedName name="TX_FuGas_IOU">#REF!</definedName>
    <definedName name="TX_FuHyd" localSheetId="1">#REF!</definedName>
    <definedName name="TX_FuHyd">#REF!</definedName>
    <definedName name="TX_FuHyd_IOU" localSheetId="1">#REF!</definedName>
    <definedName name="TX_FuHyd_IOU">#REF!</definedName>
    <definedName name="TX_FuNuc" localSheetId="1">#REF!</definedName>
    <definedName name="TX_FuNuc">#REF!</definedName>
    <definedName name="TX_FuNuc_IOU" localSheetId="1">#REF!</definedName>
    <definedName name="TX_FuNuc_IOU">#REF!</definedName>
    <definedName name="TX_FuOil" localSheetId="1">#REF!</definedName>
    <definedName name="TX_FuOil">#REF!</definedName>
    <definedName name="TX_FuOil_IOU" localSheetId="1">#REF!</definedName>
    <definedName name="TX_FuOil_IOU">#REF!</definedName>
    <definedName name="TX_FuOth" localSheetId="1">#REF!</definedName>
    <definedName name="TX_FuOth">#REF!</definedName>
    <definedName name="TX_FuOth_IOU" localSheetId="1">#REF!</definedName>
    <definedName name="TX_FuOth_IOU">#REF!</definedName>
    <definedName name="TX_IOU" localSheetId="1">#REF!</definedName>
    <definedName name="TX_IOU">#REF!</definedName>
    <definedName name="txCoop" localSheetId="1">#REF!</definedName>
    <definedName name="txCoop">#REF!</definedName>
    <definedName name="TXHydro" localSheetId="1">#REF!</definedName>
    <definedName name="TXHydro">#REF!</definedName>
    <definedName name="TXHydro_IOU" localSheetId="1">#REF!</definedName>
    <definedName name="TXHydro_IOU">#REF!</definedName>
    <definedName name="TXIntCo" localSheetId="1">#REF!</definedName>
    <definedName name="TXIntCo">#REF!</definedName>
    <definedName name="TXIntCo_IOU" localSheetId="1">#REF!</definedName>
    <definedName name="TXIntCo_IOU">#REF!</definedName>
    <definedName name="TXIOU" localSheetId="1">#REF!</definedName>
    <definedName name="TXIOU">#REF!</definedName>
    <definedName name="TXNucStm" localSheetId="1">#REF!</definedName>
    <definedName name="TXNucStm">#REF!</definedName>
    <definedName name="TXNucStm_IOU" localSheetId="1">#REF!</definedName>
    <definedName name="TXNucStm_IOU">#REF!</definedName>
    <definedName name="TXSol" localSheetId="1">#REF!</definedName>
    <definedName name="TXSol">#REF!</definedName>
    <definedName name="TXSol_IOU" localSheetId="1">#REF!</definedName>
    <definedName name="TXSol_IOU">#REF!</definedName>
    <definedName name="TXStm" localSheetId="1">#REF!</definedName>
    <definedName name="TXStm">#REF!</definedName>
    <definedName name="TXStm_IOU" localSheetId="1">#REF!</definedName>
    <definedName name="TXStm_IOU">#REF!</definedName>
    <definedName name="TXWind" localSheetId="1">#REF!</definedName>
    <definedName name="TXWind">#REF!</definedName>
    <definedName name="TXWind_IOU" localSheetId="1">#REF!</definedName>
    <definedName name="TXWind_IOU">#REF!</definedName>
    <definedName name="UMC_PAGE1" localSheetId="1">#REF!</definedName>
    <definedName name="UMC_PAGE1">#REF!</definedName>
    <definedName name="UMC_PAGE2" localSheetId="1">#REF!</definedName>
    <definedName name="UMC_PAGE2">#REF!</definedName>
    <definedName name="UMC_PAGE3" localSheetId="1">#REF!</definedName>
    <definedName name="UMC_PAGE3">#REF!</definedName>
    <definedName name="UMC_PAGE4" localSheetId="1">#REF!</definedName>
    <definedName name="UMC_PAGE4">#REF!</definedName>
    <definedName name="UMC_PAGE4.1" localSheetId="1">#REF!</definedName>
    <definedName name="UMC_PAGE4.1">#REF!</definedName>
    <definedName name="UMC_PAGE5" localSheetId="1">#REF!</definedName>
    <definedName name="UMC_PAGE5">#REF!</definedName>
    <definedName name="UMC_PAGE6" localSheetId="1">#REF!</definedName>
    <definedName name="UMC_PAGE6">#REF!</definedName>
    <definedName name="UT" localSheetId="1">#REF!</definedName>
    <definedName name="UT">#REF!</definedName>
    <definedName name="UT_FuCoal" localSheetId="1">#REF!</definedName>
    <definedName name="UT_FuCoal">#REF!</definedName>
    <definedName name="UT_FuCoal_IOU" localSheetId="1">#REF!</definedName>
    <definedName name="UT_FuCoal_IOU">#REF!</definedName>
    <definedName name="UT_FuGas" localSheetId="1">#REF!</definedName>
    <definedName name="UT_FuGas">#REF!</definedName>
    <definedName name="UT_FuGas_IOU" localSheetId="1">#REF!</definedName>
    <definedName name="UT_FuGas_IOU">#REF!</definedName>
    <definedName name="UT_FuHyd" localSheetId="1">#REF!</definedName>
    <definedName name="UT_FuHyd">#REF!</definedName>
    <definedName name="UT_FuHyd_IOU" localSheetId="1">#REF!</definedName>
    <definedName name="UT_FuHyd_IOU">#REF!</definedName>
    <definedName name="UT_FuNuc" localSheetId="1">#REF!</definedName>
    <definedName name="UT_FuNuc">#REF!</definedName>
    <definedName name="UT_FuNuc_IOU" localSheetId="1">#REF!</definedName>
    <definedName name="UT_FuNuc_IOU">#REF!</definedName>
    <definedName name="UT_FuOil" localSheetId="1">#REF!</definedName>
    <definedName name="UT_FuOil">#REF!</definedName>
    <definedName name="UT_FuOil_IOU" localSheetId="1">#REF!</definedName>
    <definedName name="UT_FuOil_IOU">#REF!</definedName>
    <definedName name="UT_FuOth" localSheetId="1">#REF!</definedName>
    <definedName name="UT_FuOth">#REF!</definedName>
    <definedName name="UT_FuOth_IOU" localSheetId="1">#REF!</definedName>
    <definedName name="UT_FuOth_IOU">#REF!</definedName>
    <definedName name="UT_IOU" localSheetId="1">#REF!</definedName>
    <definedName name="UT_IOU">#REF!</definedName>
    <definedName name="utCoop" localSheetId="1">#REF!</definedName>
    <definedName name="utCoop">#REF!</definedName>
    <definedName name="UTHydro" localSheetId="1">#REF!</definedName>
    <definedName name="UTHydro">#REF!</definedName>
    <definedName name="UTHydro_IOU" localSheetId="1">#REF!</definedName>
    <definedName name="UTHydro_IOU">#REF!</definedName>
    <definedName name="UTIntCo" localSheetId="1">#REF!</definedName>
    <definedName name="UTIntCo">#REF!</definedName>
    <definedName name="UTIntCo_IOU" localSheetId="1">#REF!</definedName>
    <definedName name="UTIntCo_IOU">#REF!</definedName>
    <definedName name="UTIOU" localSheetId="1">#REF!</definedName>
    <definedName name="UTIOU">#REF!</definedName>
    <definedName name="UTNucStm" localSheetId="1">#REF!</definedName>
    <definedName name="UTNucStm">#REF!</definedName>
    <definedName name="UTNucStm_IOU" localSheetId="1">#REF!</definedName>
    <definedName name="UTNucStm_IOU">#REF!</definedName>
    <definedName name="UTSol" localSheetId="1">#REF!</definedName>
    <definedName name="UTSol">#REF!</definedName>
    <definedName name="UTSol_IOU" localSheetId="1">#REF!</definedName>
    <definedName name="UTSol_IOU">#REF!</definedName>
    <definedName name="UTStm" localSheetId="1">#REF!</definedName>
    <definedName name="UTStm">#REF!</definedName>
    <definedName name="UTStm_IOU" localSheetId="1">#REF!</definedName>
    <definedName name="UTStm_IOU">#REF!</definedName>
    <definedName name="UTWind" localSheetId="1">#REF!</definedName>
    <definedName name="UTWind">#REF!</definedName>
    <definedName name="UTWind_IOU" localSheetId="1">#REF!</definedName>
    <definedName name="UTWind_IOU">#REF!</definedName>
    <definedName name="VA" localSheetId="1">#REF!</definedName>
    <definedName name="VA">#REF!</definedName>
    <definedName name="VA_FuCoal" localSheetId="1">#REF!</definedName>
    <definedName name="VA_FuCoal">#REF!</definedName>
    <definedName name="VA_FuCoal_IOU" localSheetId="1">#REF!</definedName>
    <definedName name="VA_FuCoal_IOU">#REF!</definedName>
    <definedName name="VA_FuGas" localSheetId="1">#REF!</definedName>
    <definedName name="VA_FuGas">#REF!</definedName>
    <definedName name="VA_FuGas_IOU" localSheetId="1">#REF!</definedName>
    <definedName name="VA_FuGas_IOU">#REF!</definedName>
    <definedName name="VA_FuHyd" localSheetId="1">#REF!</definedName>
    <definedName name="VA_FuHyd">#REF!</definedName>
    <definedName name="VA_FuHyd_IOU" localSheetId="1">#REF!</definedName>
    <definedName name="VA_FuHyd_IOU">#REF!</definedName>
    <definedName name="VA_FuNuc" localSheetId="1">#REF!</definedName>
    <definedName name="VA_FuNuc">#REF!</definedName>
    <definedName name="VA_FuNuc_IOU" localSheetId="1">#REF!</definedName>
    <definedName name="VA_FuNuc_IOU">#REF!</definedName>
    <definedName name="VA_FuOil" localSheetId="1">#REF!</definedName>
    <definedName name="VA_FuOil">#REF!</definedName>
    <definedName name="VA_FuOil_IOU" localSheetId="1">#REF!</definedName>
    <definedName name="VA_FuOil_IOU">#REF!</definedName>
    <definedName name="VA_FuOth" localSheetId="1">#REF!</definedName>
    <definedName name="VA_FuOth">#REF!</definedName>
    <definedName name="VA_FuOth_IOU" localSheetId="1">#REF!</definedName>
    <definedName name="VA_FuOth_IOU">#REF!</definedName>
    <definedName name="VA_IOU" localSheetId="1">#REF!</definedName>
    <definedName name="VA_IOU">#REF!</definedName>
    <definedName name="vaCoop" localSheetId="1">#REF!</definedName>
    <definedName name="vaCoop">#REF!</definedName>
    <definedName name="vafed" localSheetId="1">#REF!</definedName>
    <definedName name="vafed">#REF!</definedName>
    <definedName name="VAHydro" localSheetId="1">#REF!</definedName>
    <definedName name="VAHydro">#REF!</definedName>
    <definedName name="VAHydro_IOU" localSheetId="1">#REF!</definedName>
    <definedName name="VAHydro_IOU">#REF!</definedName>
    <definedName name="VAIntCo" localSheetId="1">#REF!</definedName>
    <definedName name="VAIntCo">#REF!</definedName>
    <definedName name="VAIntCo_IOU" localSheetId="1">#REF!</definedName>
    <definedName name="VAIntCo_IOU">#REF!</definedName>
    <definedName name="VAIOU" localSheetId="1">#REF!</definedName>
    <definedName name="VAIOU">#REF!</definedName>
    <definedName name="VANucStm" localSheetId="1">#REF!</definedName>
    <definedName name="VANucStm">#REF!</definedName>
    <definedName name="VANucStm_IOU" localSheetId="1">#REF!</definedName>
    <definedName name="VANucStm_IOU">#REF!</definedName>
    <definedName name="vapub" localSheetId="1">#REF!</definedName>
    <definedName name="vapub">#REF!</definedName>
    <definedName name="VASol" localSheetId="1">#REF!</definedName>
    <definedName name="VASol">#REF!</definedName>
    <definedName name="VASol_IOU" localSheetId="1">#REF!</definedName>
    <definedName name="VASol_IOU">#REF!</definedName>
    <definedName name="VAStm" localSheetId="1">#REF!</definedName>
    <definedName name="VAStm">#REF!</definedName>
    <definedName name="VAStm_IOU" localSheetId="1">#REF!</definedName>
    <definedName name="VAStm_IOU">#REF!</definedName>
    <definedName name="VAWind" localSheetId="1">#REF!</definedName>
    <definedName name="VAWind">#REF!</definedName>
    <definedName name="VAWind_IOU" localSheetId="1">#REF!</definedName>
    <definedName name="VAWind_IOU">#REF!</definedName>
    <definedName name="VT" localSheetId="1">#REF!</definedName>
    <definedName name="VT">#REF!</definedName>
    <definedName name="VT_FuCoal" localSheetId="1">#REF!</definedName>
    <definedName name="VT_FuCoal">#REF!</definedName>
    <definedName name="VT_FuCoal_IOU" localSheetId="1">#REF!</definedName>
    <definedName name="VT_FuCoal_IOU">#REF!</definedName>
    <definedName name="VT_FuGas" localSheetId="1">#REF!</definedName>
    <definedName name="VT_FuGas">#REF!</definedName>
    <definedName name="VT_FuGas_IOU" localSheetId="1">#REF!</definedName>
    <definedName name="VT_FuGas_IOU">#REF!</definedName>
    <definedName name="VT_FuHyd" localSheetId="1">#REF!</definedName>
    <definedName name="VT_FuHyd">#REF!</definedName>
    <definedName name="VT_FuHyd_IOU" localSheetId="1">#REF!</definedName>
    <definedName name="VT_FuHyd_IOU">#REF!</definedName>
    <definedName name="VT_FuNuc" localSheetId="1">#REF!</definedName>
    <definedName name="VT_FuNuc">#REF!</definedName>
    <definedName name="VT_FuNuc_IOU" localSheetId="1">#REF!</definedName>
    <definedName name="VT_FuNuc_IOU">#REF!</definedName>
    <definedName name="VT_FuOil" localSheetId="1">#REF!</definedName>
    <definedName name="VT_FuOil">#REF!</definedName>
    <definedName name="VT_FuOil_IOU" localSheetId="1">#REF!</definedName>
    <definedName name="VT_FuOil_IOU">#REF!</definedName>
    <definedName name="VT_FuOth" localSheetId="1">#REF!</definedName>
    <definedName name="VT_FuOth">#REF!</definedName>
    <definedName name="VT_FuOth_IOU" localSheetId="1">#REF!</definedName>
    <definedName name="VT_FuOth_IOU">#REF!</definedName>
    <definedName name="VT_IOU" localSheetId="1">#REF!</definedName>
    <definedName name="VT_IOU">#REF!</definedName>
    <definedName name="vtCoop" localSheetId="1">#REF!</definedName>
    <definedName name="vtCoop">#REF!</definedName>
    <definedName name="VTHydro" localSheetId="1">#REF!</definedName>
    <definedName name="VTHydro">#REF!</definedName>
    <definedName name="VTHydro_IOU" localSheetId="1">#REF!</definedName>
    <definedName name="VTHydro_IOU">#REF!</definedName>
    <definedName name="VTIntCo" localSheetId="1">#REF!</definedName>
    <definedName name="VTIntCo">#REF!</definedName>
    <definedName name="VTIntCo_IOU" localSheetId="1">#REF!</definedName>
    <definedName name="VTIntCo_IOU">#REF!</definedName>
    <definedName name="VTIOU" localSheetId="1">#REF!</definedName>
    <definedName name="VTIOU">#REF!</definedName>
    <definedName name="VTNucStm" localSheetId="1">#REF!</definedName>
    <definedName name="VTNucStm">#REF!</definedName>
    <definedName name="VTNucStm_IOU" localSheetId="1">#REF!</definedName>
    <definedName name="VTNucStm_IOU">#REF!</definedName>
    <definedName name="VTSol" localSheetId="1">#REF!</definedName>
    <definedName name="VTSol">#REF!</definedName>
    <definedName name="VTSol_IOU" localSheetId="1">#REF!</definedName>
    <definedName name="VTSol_IOU">#REF!</definedName>
    <definedName name="VTStm" localSheetId="1">#REF!</definedName>
    <definedName name="VTStm">#REF!</definedName>
    <definedName name="VTStm_IOU" localSheetId="1">#REF!</definedName>
    <definedName name="VTStm_IOU">#REF!</definedName>
    <definedName name="VTWind" localSheetId="1">#REF!</definedName>
    <definedName name="VTWind">#REF!</definedName>
    <definedName name="VTWind_IOU" localSheetId="1">#REF!</definedName>
    <definedName name="VTWind_IOU">#REF!</definedName>
    <definedName name="WA" localSheetId="1">#REF!</definedName>
    <definedName name="WA">#REF!</definedName>
    <definedName name="WA_FuCoal" localSheetId="1">#REF!</definedName>
    <definedName name="WA_FuCoal">#REF!</definedName>
    <definedName name="WA_FuCoal_IOU" localSheetId="1">#REF!</definedName>
    <definedName name="WA_FuCoal_IOU">#REF!</definedName>
    <definedName name="WA_FuGas" localSheetId="1">#REF!</definedName>
    <definedName name="WA_FuGas">#REF!</definedName>
    <definedName name="WA_FuGas_IOU" localSheetId="1">#REF!</definedName>
    <definedName name="WA_FuGas_IOU">#REF!</definedName>
    <definedName name="WA_FuHyd" localSheetId="1">#REF!</definedName>
    <definedName name="WA_FuHyd">#REF!</definedName>
    <definedName name="WA_FuHyd_IOU" localSheetId="1">#REF!</definedName>
    <definedName name="WA_FuHyd_IOU">#REF!</definedName>
    <definedName name="WA_FuNuc" localSheetId="1">#REF!</definedName>
    <definedName name="WA_FuNuc">#REF!</definedName>
    <definedName name="WA_FuNuc_IOU" localSheetId="1">#REF!</definedName>
    <definedName name="WA_FuNuc_IOU">#REF!</definedName>
    <definedName name="WA_FuOil" localSheetId="1">#REF!</definedName>
    <definedName name="WA_FuOil">#REF!</definedName>
    <definedName name="WA_FuOil_IOU" localSheetId="1">#REF!</definedName>
    <definedName name="WA_FuOil_IOU">#REF!</definedName>
    <definedName name="WA_FuOth" localSheetId="1">#REF!</definedName>
    <definedName name="WA_FuOth">#REF!</definedName>
    <definedName name="WA_FuOth_IOU" localSheetId="1">#REF!</definedName>
    <definedName name="WA_FuOth_IOU">#REF!</definedName>
    <definedName name="WA_IOU" localSheetId="1">#REF!</definedName>
    <definedName name="WA_IOU">#REF!</definedName>
    <definedName name="waCoop" localSheetId="1">#REF!</definedName>
    <definedName name="waCoop">#REF!</definedName>
    <definedName name="wafed" localSheetId="1">#REF!</definedName>
    <definedName name="wafed">#REF!</definedName>
    <definedName name="WAHydro" localSheetId="1">#REF!</definedName>
    <definedName name="WAHydro">#REF!</definedName>
    <definedName name="WAHydro_IOU" localSheetId="1">#REF!</definedName>
    <definedName name="WAHydro_IOU">#REF!</definedName>
    <definedName name="WAIntCo" localSheetId="1">#REF!</definedName>
    <definedName name="WAIntCo">#REF!</definedName>
    <definedName name="WAIntCo_IOU" localSheetId="1">#REF!</definedName>
    <definedName name="WAIntCo_IOU">#REF!</definedName>
    <definedName name="WAIOU" localSheetId="1">#REF!</definedName>
    <definedName name="WAIOU">#REF!</definedName>
    <definedName name="WANucStm" localSheetId="1">#REF!</definedName>
    <definedName name="WANucStm">#REF!</definedName>
    <definedName name="WANucStm_IOU" localSheetId="1">#REF!</definedName>
    <definedName name="WANucStm_IOU">#REF!</definedName>
    <definedName name="wapub" localSheetId="1">#REF!</definedName>
    <definedName name="wapub">#REF!</definedName>
    <definedName name="WASol" localSheetId="1">#REF!</definedName>
    <definedName name="WASol">#REF!</definedName>
    <definedName name="WASol_IOU" localSheetId="1">#REF!</definedName>
    <definedName name="WASol_IOU">#REF!</definedName>
    <definedName name="WAStm" localSheetId="1">#REF!</definedName>
    <definedName name="WAStm">#REF!</definedName>
    <definedName name="WAStm_IOU" localSheetId="1">#REF!</definedName>
    <definedName name="WAStm_IOU">#REF!</definedName>
    <definedName name="WAWind" localSheetId="1">#REF!</definedName>
    <definedName name="WAWind">#REF!</definedName>
    <definedName name="WAWind_IOU" localSheetId="1">#REF!</definedName>
    <definedName name="WAWind_IOU">#REF!</definedName>
    <definedName name="werer" hidden="1">{#N/A,#N/A,FALSE,"ND Rev at Pres Rates";#N/A,#N/A,FALSE,"Res - Unadj sales";#N/A,#N/A,FALSE,"Small L&amp;P";#N/A,#N/A,FALSE,"Medium L&amp;P";#N/A,#N/A,FALSE,"E-19";#N/A,#N/A,FALSE,"E-20";#N/A,#N/A,FALSE,"Strtlts &amp; Standby";#N/A,#N/A,FALSE,"AG";#N/A,#N/A,FALSE,"A-RTP";#N/A,#N/A,FALSE,"Spec"}</definedName>
    <definedName name="WI" localSheetId="1">#REF!</definedName>
    <definedName name="WI">#REF!</definedName>
    <definedName name="WI_FuCoal" localSheetId="1">#REF!</definedName>
    <definedName name="WI_FuCoal">#REF!</definedName>
    <definedName name="WI_FuCoal_IOU" localSheetId="1">#REF!</definedName>
    <definedName name="WI_FuCoal_IOU">#REF!</definedName>
    <definedName name="WI_FuGas" localSheetId="1">#REF!</definedName>
    <definedName name="WI_FuGas">#REF!</definedName>
    <definedName name="WI_FuGas_IOU" localSheetId="1">#REF!</definedName>
    <definedName name="WI_FuGas_IOU">#REF!</definedName>
    <definedName name="WI_FuHyd" localSheetId="1">#REF!</definedName>
    <definedName name="WI_FuHyd">#REF!</definedName>
    <definedName name="WI_FuHyd_IOU" localSheetId="1">#REF!</definedName>
    <definedName name="WI_FuHyd_IOU">#REF!</definedName>
    <definedName name="WI_FuNuc" localSheetId="1">#REF!</definedName>
    <definedName name="WI_FuNuc">#REF!</definedName>
    <definedName name="WI_FuNuc_IOU" localSheetId="1">#REF!</definedName>
    <definedName name="WI_FuNuc_IOU">#REF!</definedName>
    <definedName name="WI_FuOil" localSheetId="1">#REF!</definedName>
    <definedName name="WI_FuOil">#REF!</definedName>
    <definedName name="WI_FuOil_IOU" localSheetId="1">#REF!</definedName>
    <definedName name="WI_FuOil_IOU">#REF!</definedName>
    <definedName name="WI_FuOth" localSheetId="1">#REF!</definedName>
    <definedName name="WI_FuOth">#REF!</definedName>
    <definedName name="WI_FuOth_IOU" localSheetId="1">#REF!</definedName>
    <definedName name="WI_FuOth_IOU">#REF!</definedName>
    <definedName name="WI_IOU" localSheetId="1">#REF!</definedName>
    <definedName name="WI_IOU">#REF!</definedName>
    <definedName name="wiCoop" localSheetId="1">#REF!</definedName>
    <definedName name="wiCoop">#REF!</definedName>
    <definedName name="WIHydro" localSheetId="1">#REF!</definedName>
    <definedName name="WIHydro">#REF!</definedName>
    <definedName name="WIHydro_IOU" localSheetId="1">#REF!</definedName>
    <definedName name="WIHydro_IOU">#REF!</definedName>
    <definedName name="WIIntCo" localSheetId="1">#REF!</definedName>
    <definedName name="WIIntCo">#REF!</definedName>
    <definedName name="WIIntCo_IOU" localSheetId="1">#REF!</definedName>
    <definedName name="WIIntCo_IOU">#REF!</definedName>
    <definedName name="WIIOU" localSheetId="1">#REF!</definedName>
    <definedName name="WIIOU">#REF!</definedName>
    <definedName name="Wind" localSheetId="1">#REF!</definedName>
    <definedName name="Wind">#REF!</definedName>
    <definedName name="WINucStm" localSheetId="1">#REF!</definedName>
    <definedName name="WINucStm">#REF!</definedName>
    <definedName name="WINucStm_IOU" localSheetId="1">#REF!</definedName>
    <definedName name="WINucStm_IOU">#REF!</definedName>
    <definedName name="WISol" localSheetId="1">#REF!</definedName>
    <definedName name="WISol">#REF!</definedName>
    <definedName name="WISol_IOU" localSheetId="1">#REF!</definedName>
    <definedName name="WISol_IOU">#REF!</definedName>
    <definedName name="WIStm" localSheetId="1">#REF!</definedName>
    <definedName name="WIStm">#REF!</definedName>
    <definedName name="WIStm_IOU" localSheetId="1">#REF!</definedName>
    <definedName name="WIStm_IOU">#REF!</definedName>
    <definedName name="WIWind" localSheetId="1">#REF!</definedName>
    <definedName name="WIWind">#REF!</definedName>
    <definedName name="WIWind_IOU" localSheetId="1">#REF!</definedName>
    <definedName name="WIWind_IOU">#REF!</definedName>
    <definedName name="working_capital_factor">[8]Loaders!$D$20</definedName>
    <definedName name="wrn.Distr." hidden="1">{#N/A,#N/A,FALSE,"Dist Rev at PR ";#N/A,#N/A,FALSE,"Spec";#N/A,#N/A,FALSE,"Res";#N/A,#N/A,FALSE,"Small L&amp;P";#N/A,#N/A,FALSE,"Medium L&amp;P";#N/A,#N/A,FALSE,"E-19";#N/A,#N/A,FALSE,"E-20";#N/A,#N/A,FALSE,"Strtlts &amp; Standby";#N/A,#N/A,FALSE,"A-RTP";#N/A,#N/A,FALSE,"2003mixeduse"}</definedName>
    <definedName name="wrn.ND." hidden="1">{#N/A,#N/A,FALSE,"ND Rev at Pres Rates";#N/A,#N/A,FALSE,"Res - Unadj sales";#N/A,#N/A,FALSE,"Small L&amp;P";#N/A,#N/A,FALSE,"Medium L&amp;P";#N/A,#N/A,FALSE,"E-19";#N/A,#N/A,FALSE,"E-20";#N/A,#N/A,FALSE,"Strtlts &amp; Standby";#N/A,#N/A,FALSE,"AG";#N/A,#N/A,FALSE,"A-RTP";#N/A,#N/A,FALSE,"Spec"}</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hidden="1">{#N/A,#N/A,FALSE,"RRQ inputs ";#N/A,#N/A,FALSE,"FERC Rev @ PR";#N/A,#N/A,FALSE,"Distribution Revenue Allocation";#N/A,#N/A,FALSE,"Nonallocated Revenues";#N/A,#N/A,FALSE,"MC Revenues-03 sales, 96 MC's";#N/A,#N/A,FALSE,"FTA"}</definedName>
    <definedName name="wrn.schedules." hidden="1">{#N/A,#N/A,FALSE,"ND Rev at Pres Rates";#N/A,#N/A,FALSE,"Res - Unadj";#N/A,#N/A,FALSE,"Small L&amp;P";#N/A,#N/A,FALSE,"Medium L&amp;P";#N/A,#N/A,FALSE,"E-19";#N/A,#N/A,FALSE,"E-20";#N/A,#N/A,FALSE,"A-RTP";#N/A,#N/A,FALSE,"Strtlts &amp; Standby";#N/A,#N/A,FALSE,"AG";#N/A,#N/A,FALSE,"2001mixeduse"}</definedName>
    <definedName name="WV" localSheetId="1">#REF!</definedName>
    <definedName name="WV">#REF!</definedName>
    <definedName name="WV_FuCoal" localSheetId="1">#REF!</definedName>
    <definedName name="WV_FuCoal">#REF!</definedName>
    <definedName name="WV_FuCoal_IOU" localSheetId="1">#REF!</definedName>
    <definedName name="WV_FuCoal_IOU">#REF!</definedName>
    <definedName name="WV_FuGas" localSheetId="1">#REF!</definedName>
    <definedName name="WV_FuGas">#REF!</definedName>
    <definedName name="WV_FuGas_IOU" localSheetId="1">#REF!</definedName>
    <definedName name="WV_FuGas_IOU">#REF!</definedName>
    <definedName name="WV_FuHyd" localSheetId="1">#REF!</definedName>
    <definedName name="WV_FuHyd">#REF!</definedName>
    <definedName name="WV_FuHyd_IOU" localSheetId="1">#REF!</definedName>
    <definedName name="WV_FuHyd_IOU">#REF!</definedName>
    <definedName name="WV_FuNuc" localSheetId="1">#REF!</definedName>
    <definedName name="WV_FuNuc">#REF!</definedName>
    <definedName name="WV_FuNuc_IOU" localSheetId="1">#REF!</definedName>
    <definedName name="WV_FuNuc_IOU">#REF!</definedName>
    <definedName name="WV_FuOil" localSheetId="1">#REF!</definedName>
    <definedName name="WV_FuOil">#REF!</definedName>
    <definedName name="WV_FuOil_IOU" localSheetId="1">#REF!</definedName>
    <definedName name="WV_FuOil_IOU">#REF!</definedName>
    <definedName name="WV_FuOth" localSheetId="1">#REF!</definedName>
    <definedName name="WV_FuOth">#REF!</definedName>
    <definedName name="WV_FuOth_IOU" localSheetId="1">#REF!</definedName>
    <definedName name="WV_FuOth_IOU">#REF!</definedName>
    <definedName name="WV_IOU" localSheetId="1">#REF!</definedName>
    <definedName name="WV_IOU">#REF!</definedName>
    <definedName name="wvCoop" localSheetId="1">#REF!</definedName>
    <definedName name="wvCoop">#REF!</definedName>
    <definedName name="wvfed" localSheetId="1">#REF!</definedName>
    <definedName name="wvfed">#REF!</definedName>
    <definedName name="WVHydro" localSheetId="1">#REF!</definedName>
    <definedName name="WVHydro">#REF!</definedName>
    <definedName name="WVHydro_IOU" localSheetId="1">#REF!</definedName>
    <definedName name="WVHydro_IOU">#REF!</definedName>
    <definedName name="WVIntCo" localSheetId="1">#REF!</definedName>
    <definedName name="WVIntCo">#REF!</definedName>
    <definedName name="WVIntCo_IOU" localSheetId="1">#REF!</definedName>
    <definedName name="WVIntCo_IOU">#REF!</definedName>
    <definedName name="WVIOU" localSheetId="1">#REF!</definedName>
    <definedName name="WVIOU">#REF!</definedName>
    <definedName name="WVNucStm" localSheetId="1">#REF!</definedName>
    <definedName name="WVNucStm">#REF!</definedName>
    <definedName name="WVNucStm_IOU" localSheetId="1">#REF!</definedName>
    <definedName name="WVNucStm_IOU">#REF!</definedName>
    <definedName name="wvpub" localSheetId="1">#REF!</definedName>
    <definedName name="wvpub">#REF!</definedName>
    <definedName name="WVSol" localSheetId="1">#REF!</definedName>
    <definedName name="WVSol">#REF!</definedName>
    <definedName name="WVSol_IOU" localSheetId="1">#REF!</definedName>
    <definedName name="WVSol_IOU">#REF!</definedName>
    <definedName name="WVStm" localSheetId="1">#REF!</definedName>
    <definedName name="WVStm">#REF!</definedName>
    <definedName name="WVStm_IOU" localSheetId="1">#REF!</definedName>
    <definedName name="WVStm_IOU">#REF!</definedName>
    <definedName name="WVWind" localSheetId="1">#REF!</definedName>
    <definedName name="WVWind">#REF!</definedName>
    <definedName name="WVWind_IOU" localSheetId="1">#REF!</definedName>
    <definedName name="WVWind_IOU">#REF!</definedName>
    <definedName name="WY" localSheetId="1">#REF!</definedName>
    <definedName name="WY">#REF!</definedName>
    <definedName name="WY_FuCoal" localSheetId="1">#REF!</definedName>
    <definedName name="WY_FuCoal">#REF!</definedName>
    <definedName name="WY_FuCoal_IOU" localSheetId="1">#REF!</definedName>
    <definedName name="WY_FuCoal_IOU">#REF!</definedName>
    <definedName name="WY_FuGas" localSheetId="1">#REF!</definedName>
    <definedName name="WY_FuGas">#REF!</definedName>
    <definedName name="WY_FuGas_IOU" localSheetId="1">#REF!</definedName>
    <definedName name="WY_FuGas_IOU">#REF!</definedName>
    <definedName name="WY_FuHyd" localSheetId="1">#REF!</definedName>
    <definedName name="WY_FuHyd">#REF!</definedName>
    <definedName name="WY_FuHyd_IOU" localSheetId="1">#REF!</definedName>
    <definedName name="WY_FuHyd_IOU">#REF!</definedName>
    <definedName name="WY_FuNuc" localSheetId="1">#REF!</definedName>
    <definedName name="WY_FuNuc">#REF!</definedName>
    <definedName name="WY_FuNuc_IOU" localSheetId="1">#REF!</definedName>
    <definedName name="WY_FuNuc_IOU">#REF!</definedName>
    <definedName name="WY_FuOil" localSheetId="1">#REF!</definedName>
    <definedName name="WY_FuOil">#REF!</definedName>
    <definedName name="WY_FuOil_IOU" localSheetId="1">#REF!</definedName>
    <definedName name="WY_FuOil_IOU">#REF!</definedName>
    <definedName name="WY_FuOth" localSheetId="1">#REF!</definedName>
    <definedName name="WY_FuOth">#REF!</definedName>
    <definedName name="WY_FuOth_IOU" localSheetId="1">#REF!</definedName>
    <definedName name="WY_FuOth_IOU">#REF!</definedName>
    <definedName name="WY_IOU" localSheetId="1">#REF!</definedName>
    <definedName name="WY_IOU">#REF!</definedName>
    <definedName name="wyCoop" localSheetId="1">#REF!</definedName>
    <definedName name="wyCoop">#REF!</definedName>
    <definedName name="WYHydro" localSheetId="1">#REF!</definedName>
    <definedName name="WYHydro">#REF!</definedName>
    <definedName name="WYHydro_IOU" localSheetId="1">#REF!</definedName>
    <definedName name="WYHydro_IOU">#REF!</definedName>
    <definedName name="WYIntCo" localSheetId="1">#REF!</definedName>
    <definedName name="WYIntCo">#REF!</definedName>
    <definedName name="WYIntCo_IOU" localSheetId="1">#REF!</definedName>
    <definedName name="WYIntCo_IOU">#REF!</definedName>
    <definedName name="WYIOU" localSheetId="1">#REF!</definedName>
    <definedName name="WYIOU">#REF!</definedName>
    <definedName name="WYNucStm" localSheetId="1">#REF!</definedName>
    <definedName name="WYNucStm">#REF!</definedName>
    <definedName name="WYNucStm_IOU" localSheetId="1">#REF!</definedName>
    <definedName name="WYNucStm_IOU">#REF!</definedName>
    <definedName name="WYSol" localSheetId="1">#REF!</definedName>
    <definedName name="WYSol">#REF!</definedName>
    <definedName name="WYSol_IOU" localSheetId="1">#REF!</definedName>
    <definedName name="WYSol_IOU">#REF!</definedName>
    <definedName name="WYStm" localSheetId="1">#REF!</definedName>
    <definedName name="WYStm">#REF!</definedName>
    <definedName name="WYStm_IOU" localSheetId="1">#REF!</definedName>
    <definedName name="WYStm_IOU">#REF!</definedName>
    <definedName name="WYWind" localSheetId="1">#REF!</definedName>
    <definedName name="WYWind">#REF!</definedName>
    <definedName name="WYWind_IOU" localSheetId="1">#REF!</definedName>
    <definedName name="WYWind_IOU">#REF!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9" l="1"/>
  <c r="AA54" i="14" l="1"/>
  <c r="Y54" i="14" l="1"/>
  <c r="Z54" i="14"/>
  <c r="E20" i="9" l="1"/>
  <c r="E23" i="1" l="1"/>
  <c r="G34" i="2"/>
  <c r="C34" i="2" l="1"/>
  <c r="D34" i="2"/>
  <c r="E34" i="2"/>
  <c r="F34" i="2"/>
  <c r="I57" i="1"/>
  <c r="H42" i="1" l="1"/>
  <c r="H43" i="1"/>
  <c r="C33" i="2"/>
  <c r="D33" i="2"/>
  <c r="E33" i="2"/>
  <c r="F33" i="2"/>
  <c r="G33" i="2"/>
  <c r="L51" i="9" l="1"/>
  <c r="L48" i="9"/>
  <c r="L52" i="9"/>
  <c r="L50" i="9"/>
  <c r="L49" i="9"/>
  <c r="L47" i="9"/>
  <c r="M51" i="9"/>
  <c r="M48" i="9"/>
  <c r="M52" i="9"/>
  <c r="M49" i="9"/>
  <c r="M50" i="9"/>
  <c r="M47" i="9"/>
  <c r="N52" i="9"/>
  <c r="N51" i="9"/>
  <c r="N47" i="9"/>
  <c r="N49" i="9"/>
  <c r="N50" i="9"/>
  <c r="N48" i="9"/>
  <c r="I43" i="1"/>
  <c r="I42" i="1"/>
  <c r="C53" i="2" l="1"/>
  <c r="E16" i="9"/>
  <c r="C62" i="16" l="1"/>
  <c r="C61" i="16"/>
  <c r="D51" i="2" l="1"/>
  <c r="H73" i="9" l="1"/>
  <c r="H74" i="9"/>
  <c r="K69" i="1" l="1"/>
  <c r="H72" i="9" l="1"/>
  <c r="H71" i="9"/>
  <c r="C56" i="16" l="1"/>
  <c r="E5" i="2"/>
  <c r="F5" i="2"/>
  <c r="G70" i="9" l="1"/>
  <c r="F70" i="9"/>
  <c r="E70" i="9"/>
  <c r="D70" i="9"/>
  <c r="C70" i="9"/>
  <c r="C64" i="16" l="1"/>
  <c r="C50" i="2"/>
  <c r="D50" i="2" s="1"/>
  <c r="E51" i="2" s="1"/>
  <c r="C57" i="16" l="1"/>
  <c r="C59" i="16" s="1"/>
  <c r="C66" i="16" l="1"/>
  <c r="E24" i="1" s="1"/>
  <c r="H37" i="5"/>
  <c r="F58" i="1" l="1"/>
  <c r="E58" i="1"/>
  <c r="I58" i="1" l="1"/>
  <c r="Y76" i="14"/>
  <c r="Z76" i="14"/>
  <c r="AA76" i="14" l="1"/>
  <c r="E18" i="9"/>
  <c r="AA82" i="14" l="1"/>
  <c r="AA81" i="14"/>
  <c r="E12" i="1"/>
  <c r="E13" i="1" l="1"/>
  <c r="E16" i="1"/>
  <c r="E17" i="1"/>
  <c r="E18" i="1"/>
  <c r="E14" i="1" l="1"/>
  <c r="G34" i="5"/>
  <c r="F34" i="5"/>
  <c r="Q8" i="14"/>
  <c r="AA30" i="14" l="1"/>
  <c r="Z30" i="14"/>
  <c r="Y30" i="14"/>
  <c r="X30" i="14"/>
  <c r="W30" i="14"/>
  <c r="K30" i="14"/>
  <c r="J30" i="14"/>
  <c r="I30" i="14"/>
  <c r="H30" i="14"/>
  <c r="G30" i="14"/>
  <c r="G20" i="14"/>
  <c r="F8" i="14"/>
  <c r="G8" i="14" s="1"/>
  <c r="G4" i="14"/>
  <c r="L53" i="14" l="1"/>
  <c r="L75" i="14" s="1"/>
  <c r="AJ30" i="14"/>
  <c r="AL30" i="14"/>
  <c r="AM30" i="14"/>
  <c r="AN30" i="14"/>
  <c r="W31" i="14"/>
  <c r="X31" i="14"/>
  <c r="Y31" i="14"/>
  <c r="Z31" i="14"/>
  <c r="AA31" i="14"/>
  <c r="W32" i="14"/>
  <c r="X32" i="14"/>
  <c r="Y32" i="14"/>
  <c r="Z32" i="14"/>
  <c r="AA32" i="14"/>
  <c r="K53" i="14"/>
  <c r="K75" i="14" s="1"/>
  <c r="J53" i="14"/>
  <c r="J75" i="14" s="1"/>
  <c r="I53" i="14"/>
  <c r="I75" i="14" s="1"/>
  <c r="H53" i="14"/>
  <c r="H75" i="14" s="1"/>
  <c r="G53" i="14"/>
  <c r="G75" i="14" s="1"/>
  <c r="Z47" i="14" l="1"/>
  <c r="AA47" i="14"/>
  <c r="Y47" i="14"/>
  <c r="AB32" i="14"/>
  <c r="AB31" i="14"/>
  <c r="AK30" i="14"/>
  <c r="AI30" i="14"/>
  <c r="I78" i="14"/>
  <c r="J78" i="14"/>
  <c r="K78" i="14"/>
  <c r="J48" i="9"/>
  <c r="K48" i="9"/>
  <c r="J49" i="9"/>
  <c r="K49" i="9"/>
  <c r="J50" i="9"/>
  <c r="K50" i="9"/>
  <c r="J51" i="9"/>
  <c r="K51" i="9"/>
  <c r="J52" i="9"/>
  <c r="K52" i="9"/>
  <c r="K47" i="9"/>
  <c r="J47" i="9"/>
  <c r="O47" i="9" s="1"/>
  <c r="O50" i="9" l="1"/>
  <c r="O49" i="9"/>
  <c r="O52" i="9"/>
  <c r="O51" i="9"/>
  <c r="O48" i="9"/>
  <c r="AB47" i="14"/>
  <c r="K32" i="14"/>
  <c r="J32" i="14"/>
  <c r="I32" i="14"/>
  <c r="H32" i="14"/>
  <c r="G32" i="14"/>
  <c r="K31" i="14"/>
  <c r="J31" i="14"/>
  <c r="I31" i="14"/>
  <c r="H31" i="14"/>
  <c r="G31" i="14"/>
  <c r="E81" i="14"/>
  <c r="E82" i="14" s="1"/>
  <c r="E83" i="14" s="1"/>
  <c r="E84" i="14" s="1"/>
  <c r="E85" i="14" s="1"/>
  <c r="E86" i="14" s="1"/>
  <c r="E87" i="14" s="1"/>
  <c r="E88" i="14" s="1"/>
  <c r="E89" i="14" s="1"/>
  <c r="E90" i="14" s="1"/>
  <c r="E91" i="14" s="1"/>
  <c r="AN75" i="14"/>
  <c r="AB75" i="14"/>
  <c r="E58" i="14"/>
  <c r="E59" i="14" s="1"/>
  <c r="E60" i="14" s="1"/>
  <c r="E61" i="14" s="1"/>
  <c r="E62" i="14" s="1"/>
  <c r="E63" i="14" s="1"/>
  <c r="E64" i="14" s="1"/>
  <c r="E65" i="14" s="1"/>
  <c r="E66" i="14" s="1"/>
  <c r="E67" i="14" s="1"/>
  <c r="E68" i="14" s="1"/>
  <c r="AG56" i="14"/>
  <c r="AG57" i="14" s="1"/>
  <c r="U56" i="14"/>
  <c r="U57" i="14" s="1"/>
  <c r="AN55" i="14"/>
  <c r="AN54" i="14"/>
  <c r="AN53" i="14"/>
  <c r="AB53" i="14"/>
  <c r="E35" i="14"/>
  <c r="E36" i="14" s="1"/>
  <c r="E37" i="14" s="1"/>
  <c r="E38" i="14" s="1"/>
  <c r="E39" i="14" s="1"/>
  <c r="E40" i="14" s="1"/>
  <c r="E41" i="14" s="1"/>
  <c r="E42" i="14" s="1"/>
  <c r="E43" i="14" s="1"/>
  <c r="E44" i="14" s="1"/>
  <c r="E45" i="14" s="1"/>
  <c r="Y53" i="14"/>
  <c r="M20" i="14"/>
  <c r="I8" i="14"/>
  <c r="N8" i="14" s="1"/>
  <c r="E8" i="14" l="1"/>
  <c r="K20" i="14"/>
  <c r="AI53" i="14"/>
  <c r="AM53" i="14"/>
  <c r="H78" i="14"/>
  <c r="G78" i="14"/>
  <c r="E20" i="14"/>
  <c r="J20" i="14"/>
  <c r="L20" i="14"/>
  <c r="L32" i="14"/>
  <c r="F9" i="14"/>
  <c r="F10" i="14" s="1"/>
  <c r="G9" i="14" s="1"/>
  <c r="Z75" i="14"/>
  <c r="AL75" i="14"/>
  <c r="AL53" i="14"/>
  <c r="Z53" i="14"/>
  <c r="L31" i="14"/>
  <c r="X75" i="14"/>
  <c r="AJ75" i="14"/>
  <c r="X53" i="14"/>
  <c r="AJ53" i="14"/>
  <c r="AI75" i="14"/>
  <c r="W75" i="14"/>
  <c r="W53" i="14"/>
  <c r="Y75" i="14"/>
  <c r="AK75" i="14"/>
  <c r="AK53" i="14"/>
  <c r="AA75" i="14"/>
  <c r="AM75" i="14"/>
  <c r="AA53" i="14"/>
  <c r="AB61" i="14" l="1"/>
  <c r="AB64" i="14"/>
  <c r="AB68" i="14"/>
  <c r="AB60" i="14"/>
  <c r="F11" i="14"/>
  <c r="G10" i="14" s="1"/>
  <c r="AB59" i="14"/>
  <c r="AB63" i="14"/>
  <c r="AB62" i="14"/>
  <c r="AB66" i="14" l="1"/>
  <c r="L9" i="14"/>
  <c r="K9" i="14"/>
  <c r="J9" i="14"/>
  <c r="M9" i="14"/>
  <c r="I9" i="14"/>
  <c r="E9" i="14"/>
  <c r="F12" i="14"/>
  <c r="G11" i="14" s="1"/>
  <c r="AN34" i="14" l="1"/>
  <c r="AB67" i="14"/>
  <c r="AB65" i="14"/>
  <c r="F13" i="14"/>
  <c r="G12" i="14" s="1"/>
  <c r="M10" i="14"/>
  <c r="N10" i="14" s="1"/>
  <c r="E10" i="14"/>
  <c r="L10" i="14"/>
  <c r="K10" i="14"/>
  <c r="J10" i="14"/>
  <c r="I10" i="14"/>
  <c r="N9" i="14"/>
  <c r="AN33" i="14" l="1"/>
  <c r="F14" i="14"/>
  <c r="G13" i="14" s="1"/>
  <c r="J11" i="14"/>
  <c r="I11" i="14"/>
  <c r="L11" i="14"/>
  <c r="K11" i="14"/>
  <c r="M11" i="14"/>
  <c r="E11" i="14"/>
  <c r="AN56" i="14" l="1"/>
  <c r="AN57" i="14"/>
  <c r="M12" i="14"/>
  <c r="N12" i="14" s="1"/>
  <c r="E12" i="14"/>
  <c r="L12" i="14"/>
  <c r="K12" i="14"/>
  <c r="J12" i="14"/>
  <c r="I12" i="14"/>
  <c r="N11" i="14"/>
  <c r="F15" i="14"/>
  <c r="G14" i="14" s="1"/>
  <c r="E13" i="14" l="1"/>
  <c r="F16" i="14"/>
  <c r="G15" i="14" s="1"/>
  <c r="F17" i="14" l="1"/>
  <c r="G16" i="14" s="1"/>
  <c r="E14" i="14"/>
  <c r="M14" i="14"/>
  <c r="L14" i="14"/>
  <c r="K14" i="14"/>
  <c r="J14" i="14"/>
  <c r="J15" i="14" l="1"/>
  <c r="K15" i="14"/>
  <c r="M15" i="14"/>
  <c r="L15" i="14"/>
  <c r="E15" i="14"/>
  <c r="F18" i="14"/>
  <c r="G17" i="14" s="1"/>
  <c r="F19" i="14" l="1"/>
  <c r="G18" i="14" s="1"/>
  <c r="M16" i="14"/>
  <c r="E16" i="14"/>
  <c r="L16" i="14"/>
  <c r="K16" i="14"/>
  <c r="J16" i="14"/>
  <c r="H33" i="2"/>
  <c r="H34" i="2"/>
  <c r="G33" i="5" s="1"/>
  <c r="F33" i="5" l="1"/>
  <c r="I33" i="5" s="1"/>
  <c r="L17" i="14"/>
  <c r="K17" i="14"/>
  <c r="J17" i="14"/>
  <c r="E17" i="14"/>
  <c r="M17" i="14"/>
  <c r="F20" i="14"/>
  <c r="G19" i="14" s="1"/>
  <c r="I56" i="1"/>
  <c r="E19" i="14" l="1"/>
  <c r="K18" i="14"/>
  <c r="E18" i="14"/>
  <c r="J18" i="14"/>
  <c r="M18" i="14"/>
  <c r="L18" i="14"/>
  <c r="G10" i="1"/>
  <c r="E83" i="9" l="1"/>
  <c r="L61" i="9" s="1"/>
  <c r="N60" i="9"/>
  <c r="M60" i="9"/>
  <c r="L60" i="9"/>
  <c r="K60" i="9"/>
  <c r="C83" i="9" l="1"/>
  <c r="J61" i="9" s="1"/>
  <c r="E84" i="9"/>
  <c r="L62" i="9" s="1"/>
  <c r="E85" i="9" s="1"/>
  <c r="L63" i="9" s="1"/>
  <c r="E86" i="9" s="1"/>
  <c r="L64" i="9" s="1"/>
  <c r="G77" i="14"/>
  <c r="W54" i="14"/>
  <c r="H77" i="14"/>
  <c r="X54" i="14"/>
  <c r="I77" i="14"/>
  <c r="J77" i="14"/>
  <c r="F83" i="9"/>
  <c r="M61" i="9" s="1"/>
  <c r="K77" i="14"/>
  <c r="D83" i="9"/>
  <c r="K61" i="9" s="1"/>
  <c r="H60" i="9"/>
  <c r="J60" i="9"/>
  <c r="G83" i="9"/>
  <c r="N61" i="9" s="1"/>
  <c r="C84" i="9" l="1"/>
  <c r="J62" i="9" s="1"/>
  <c r="C85" i="9" s="1"/>
  <c r="J63" i="9" s="1"/>
  <c r="C86" i="9" s="1"/>
  <c r="J64" i="9" s="1"/>
  <c r="F84" i="9"/>
  <c r="M62" i="9" s="1"/>
  <c r="F85" i="9" s="1"/>
  <c r="M63" i="9" s="1"/>
  <c r="F86" i="9" s="1"/>
  <c r="M64" i="9" s="1"/>
  <c r="D84" i="9"/>
  <c r="K62" i="9" s="1"/>
  <c r="D85" i="9" s="1"/>
  <c r="K63" i="9" s="1"/>
  <c r="D86" i="9" s="1"/>
  <c r="K64" i="9" s="1"/>
  <c r="D87" i="9" s="1"/>
  <c r="K65" i="9" s="1"/>
  <c r="X55" i="14" s="1"/>
  <c r="I54" i="14"/>
  <c r="H54" i="14"/>
  <c r="C87" i="9"/>
  <c r="J65" i="9" s="1"/>
  <c r="W55" i="14" s="1"/>
  <c r="K54" i="14"/>
  <c r="G54" i="14"/>
  <c r="AB54" i="14"/>
  <c r="J54" i="14"/>
  <c r="E87" i="9"/>
  <c r="L65" i="9" s="1"/>
  <c r="L80" i="9" s="1"/>
  <c r="G84" i="9"/>
  <c r="N62" i="9" s="1"/>
  <c r="G85" i="9" s="1"/>
  <c r="N63" i="9" s="1"/>
  <c r="G86" i="9" s="1"/>
  <c r="N64" i="9" s="1"/>
  <c r="E31" i="1"/>
  <c r="F15" i="2" s="1"/>
  <c r="G12" i="5" s="1"/>
  <c r="E30" i="1"/>
  <c r="E14" i="2" s="1"/>
  <c r="F10" i="5" s="1"/>
  <c r="E16" i="2"/>
  <c r="F11" i="5" s="1"/>
  <c r="E17" i="2"/>
  <c r="F13" i="5" s="1"/>
  <c r="E18" i="2"/>
  <c r="F16" i="5" s="1"/>
  <c r="E19" i="2"/>
  <c r="F14" i="5" s="1"/>
  <c r="E20" i="2"/>
  <c r="F15" i="5" s="1"/>
  <c r="B59" i="9"/>
  <c r="E6" i="2"/>
  <c r="M8" i="14" s="1"/>
  <c r="E7" i="2"/>
  <c r="L8" i="14" s="1"/>
  <c r="I45" i="1"/>
  <c r="I46" i="1"/>
  <c r="I47" i="1"/>
  <c r="I48" i="1"/>
  <c r="I49" i="1"/>
  <c r="I50" i="1"/>
  <c r="I51" i="1"/>
  <c r="I52" i="1"/>
  <c r="I53" i="1"/>
  <c r="I54" i="1"/>
  <c r="I55" i="1"/>
  <c r="I44" i="1"/>
  <c r="C16" i="1"/>
  <c r="C17" i="1" s="1"/>
  <c r="C18" i="1" s="1"/>
  <c r="B44" i="1"/>
  <c r="H44" i="1" s="1"/>
  <c r="H80" i="4"/>
  <c r="N80" i="4" s="1"/>
  <c r="T80" i="4" s="1"/>
  <c r="H79" i="4"/>
  <c r="N79" i="4" s="1"/>
  <c r="T79" i="4" s="1"/>
  <c r="H78" i="4"/>
  <c r="N78" i="4" s="1"/>
  <c r="T78" i="4" s="1"/>
  <c r="H77" i="4"/>
  <c r="N77" i="4" s="1"/>
  <c r="T77" i="4" s="1"/>
  <c r="H76" i="4"/>
  <c r="N76" i="4" s="1"/>
  <c r="T76" i="4" s="1"/>
  <c r="H75" i="4"/>
  <c r="N75" i="4" s="1"/>
  <c r="T75" i="4" s="1"/>
  <c r="H74" i="4"/>
  <c r="N74" i="4" s="1"/>
  <c r="T74" i="4" s="1"/>
  <c r="H73" i="4"/>
  <c r="N73" i="4" s="1"/>
  <c r="T73" i="4" s="1"/>
  <c r="H72" i="4"/>
  <c r="N72" i="4" s="1"/>
  <c r="T72" i="4" s="1"/>
  <c r="H71" i="4"/>
  <c r="N71" i="4" s="1"/>
  <c r="T71" i="4" s="1"/>
  <c r="H70" i="4"/>
  <c r="N70" i="4" s="1"/>
  <c r="T70" i="4" s="1"/>
  <c r="H69" i="4"/>
  <c r="N69" i="4" s="1"/>
  <c r="T69" i="4" s="1"/>
  <c r="H68" i="4"/>
  <c r="N68" i="4" s="1"/>
  <c r="T68" i="4" s="1"/>
  <c r="H67" i="4"/>
  <c r="N67" i="4" s="1"/>
  <c r="T67" i="4" s="1"/>
  <c r="H66" i="4"/>
  <c r="N66" i="4" s="1"/>
  <c r="T66" i="4" s="1"/>
  <c r="H65" i="4"/>
  <c r="N65" i="4" s="1"/>
  <c r="T65" i="4" s="1"/>
  <c r="H64" i="4"/>
  <c r="N64" i="4" s="1"/>
  <c r="T64" i="4" s="1"/>
  <c r="H63" i="4"/>
  <c r="N63" i="4" s="1"/>
  <c r="T63" i="4" s="1"/>
  <c r="H62" i="4"/>
  <c r="N62" i="4" s="1"/>
  <c r="T62" i="4" s="1"/>
  <c r="H61" i="4"/>
  <c r="N61" i="4" s="1"/>
  <c r="T61" i="4" s="1"/>
  <c r="H60" i="4"/>
  <c r="N60" i="4" s="1"/>
  <c r="T60" i="4" s="1"/>
  <c r="H59" i="4"/>
  <c r="N59" i="4" s="1"/>
  <c r="T59" i="4" s="1"/>
  <c r="H58" i="4"/>
  <c r="N58" i="4" s="1"/>
  <c r="T58" i="4" s="1"/>
  <c r="H57" i="4"/>
  <c r="N57" i="4" s="1"/>
  <c r="T57" i="4" s="1"/>
  <c r="H56" i="4"/>
  <c r="N56" i="4" s="1"/>
  <c r="T56" i="4" s="1"/>
  <c r="H55" i="4"/>
  <c r="N55" i="4" s="1"/>
  <c r="T55" i="4" s="1"/>
  <c r="H54" i="4"/>
  <c r="N54" i="4" s="1"/>
  <c r="T54" i="4" s="1"/>
  <c r="H53" i="4"/>
  <c r="N53" i="4" s="1"/>
  <c r="T53" i="4" s="1"/>
  <c r="H52" i="4"/>
  <c r="N52" i="4" s="1"/>
  <c r="T52" i="4" s="1"/>
  <c r="H51" i="4"/>
  <c r="N51" i="4" s="1"/>
  <c r="T51" i="4" s="1"/>
  <c r="H50" i="4"/>
  <c r="N50" i="4" s="1"/>
  <c r="T50" i="4" s="1"/>
  <c r="H49" i="4"/>
  <c r="N49" i="4" s="1"/>
  <c r="T49" i="4" s="1"/>
  <c r="H48" i="4"/>
  <c r="N48" i="4" s="1"/>
  <c r="T48" i="4" s="1"/>
  <c r="H47" i="4"/>
  <c r="N47" i="4" s="1"/>
  <c r="T47" i="4" s="1"/>
  <c r="H46" i="4"/>
  <c r="N46" i="4" s="1"/>
  <c r="T46" i="4" s="1"/>
  <c r="H45" i="4"/>
  <c r="N45" i="4" s="1"/>
  <c r="T45" i="4" s="1"/>
  <c r="H44" i="4"/>
  <c r="N44" i="4" s="1"/>
  <c r="T44" i="4" s="1"/>
  <c r="H43" i="4"/>
  <c r="N43" i="4" s="1"/>
  <c r="T43" i="4" s="1"/>
  <c r="H42" i="4"/>
  <c r="N42" i="4" s="1"/>
  <c r="T42" i="4" s="1"/>
  <c r="H41" i="4"/>
  <c r="N41" i="4" s="1"/>
  <c r="T41" i="4" s="1"/>
  <c r="H40" i="4"/>
  <c r="N40" i="4" s="1"/>
  <c r="T40" i="4" s="1"/>
  <c r="H39" i="4"/>
  <c r="N39" i="4" s="1"/>
  <c r="T39" i="4" s="1"/>
  <c r="H38" i="4"/>
  <c r="N38" i="4" s="1"/>
  <c r="T38" i="4" s="1"/>
  <c r="H37" i="4"/>
  <c r="N37" i="4" s="1"/>
  <c r="T37" i="4" s="1"/>
  <c r="H36" i="4"/>
  <c r="N36" i="4" s="1"/>
  <c r="T36" i="4" s="1"/>
  <c r="H35" i="4"/>
  <c r="N35" i="4" s="1"/>
  <c r="T35" i="4" s="1"/>
  <c r="H34" i="4"/>
  <c r="N34" i="4" s="1"/>
  <c r="T34" i="4" s="1"/>
  <c r="H33" i="4"/>
  <c r="N33" i="4" s="1"/>
  <c r="T33" i="4" s="1"/>
  <c r="H32" i="4"/>
  <c r="N32" i="4" s="1"/>
  <c r="T32" i="4" s="1"/>
  <c r="H31" i="4"/>
  <c r="N31" i="4" s="1"/>
  <c r="T31" i="4" s="1"/>
  <c r="H30" i="4"/>
  <c r="N30" i="4" s="1"/>
  <c r="T30" i="4" s="1"/>
  <c r="H29" i="4"/>
  <c r="N29" i="4" s="1"/>
  <c r="T29" i="4" s="1"/>
  <c r="H28" i="4"/>
  <c r="N28" i="4" s="1"/>
  <c r="T28" i="4" s="1"/>
  <c r="H27" i="4"/>
  <c r="N27" i="4" s="1"/>
  <c r="T27" i="4" s="1"/>
  <c r="H26" i="4"/>
  <c r="N26" i="4" s="1"/>
  <c r="T26" i="4" s="1"/>
  <c r="H25" i="4"/>
  <c r="N25" i="4" s="1"/>
  <c r="T25" i="4" s="1"/>
  <c r="H24" i="4"/>
  <c r="N24" i="4" s="1"/>
  <c r="T24" i="4" s="1"/>
  <c r="H23" i="4"/>
  <c r="N23" i="4" s="1"/>
  <c r="T23" i="4" s="1"/>
  <c r="H22" i="4"/>
  <c r="N22" i="4" s="1"/>
  <c r="T22" i="4" s="1"/>
  <c r="H21" i="4"/>
  <c r="N21" i="4" s="1"/>
  <c r="T21" i="4" s="1"/>
  <c r="H20" i="4"/>
  <c r="N20" i="4" s="1"/>
  <c r="T20" i="4" s="1"/>
  <c r="H19" i="4"/>
  <c r="N19" i="4" s="1"/>
  <c r="T19" i="4" s="1"/>
  <c r="H18" i="4"/>
  <c r="N18" i="4" s="1"/>
  <c r="T18" i="4" s="1"/>
  <c r="H17" i="4"/>
  <c r="N17" i="4" s="1"/>
  <c r="T17" i="4" s="1"/>
  <c r="H16" i="4"/>
  <c r="N16" i="4" s="1"/>
  <c r="H15" i="4"/>
  <c r="N15" i="4" s="1"/>
  <c r="T15" i="4" s="1"/>
  <c r="H52" i="9"/>
  <c r="H51" i="9"/>
  <c r="F35" i="5"/>
  <c r="G35" i="5" s="1"/>
  <c r="E29" i="9"/>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71" i="1"/>
  <c r="K70" i="1"/>
  <c r="J123"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72" i="1"/>
  <c r="I73" i="1"/>
  <c r="I74" i="1"/>
  <c r="I71" i="1"/>
  <c r="I70" i="1"/>
  <c r="I69" i="1"/>
  <c r="I68" i="1"/>
  <c r="E6" i="9"/>
  <c r="M115" i="1" s="1"/>
  <c r="V65" i="4"/>
  <c r="V66" i="4"/>
  <c r="V67" i="4"/>
  <c r="V68" i="4"/>
  <c r="V69" i="4"/>
  <c r="V70" i="4"/>
  <c r="V71" i="4"/>
  <c r="V72" i="4"/>
  <c r="V73" i="4"/>
  <c r="V74" i="4"/>
  <c r="V75" i="4"/>
  <c r="V76" i="4"/>
  <c r="V77" i="4"/>
  <c r="V78" i="4"/>
  <c r="V79" i="4"/>
  <c r="V80" i="4"/>
  <c r="O15" i="4"/>
  <c r="O16" i="4" s="1"/>
  <c r="O17" i="4" s="1"/>
  <c r="I15" i="4"/>
  <c r="C15" i="4"/>
  <c r="C16" i="4" s="1"/>
  <c r="G45" i="9"/>
  <c r="F45" i="9"/>
  <c r="E45" i="9"/>
  <c r="D45" i="9"/>
  <c r="C45" i="9"/>
  <c r="G58" i="9"/>
  <c r="F58" i="9"/>
  <c r="E58" i="9"/>
  <c r="D58" i="9"/>
  <c r="C58" i="9"/>
  <c r="G55" i="9"/>
  <c r="F55" i="9"/>
  <c r="E55" i="9"/>
  <c r="D55" i="9"/>
  <c r="C55" i="9"/>
  <c r="H50" i="9"/>
  <c r="H49" i="9"/>
  <c r="H48" i="9"/>
  <c r="H47" i="9"/>
  <c r="H46" i="9"/>
  <c r="F18" i="2"/>
  <c r="G16" i="5" s="1"/>
  <c r="H64" i="9"/>
  <c r="H63" i="9"/>
  <c r="H62" i="9"/>
  <c r="H61" i="9"/>
  <c r="H59" i="9"/>
  <c r="E13" i="9"/>
  <c r="B26" i="2" s="1"/>
  <c r="G39" i="9"/>
  <c r="F39" i="9"/>
  <c r="E39" i="9"/>
  <c r="D39" i="9"/>
  <c r="C39" i="9"/>
  <c r="D37" i="9"/>
  <c r="C37" i="9"/>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D10" i="4"/>
  <c r="G35" i="2"/>
  <c r="F35" i="2"/>
  <c r="E35" i="2"/>
  <c r="D35" i="2"/>
  <c r="C35" i="2"/>
  <c r="G32" i="2"/>
  <c r="G45" i="2" s="1"/>
  <c r="F32" i="2"/>
  <c r="F45" i="2" s="1"/>
  <c r="E32" i="2"/>
  <c r="E45" i="2" s="1"/>
  <c r="D32" i="2"/>
  <c r="D45" i="2" s="1"/>
  <c r="C32" i="2"/>
  <c r="C45" i="2" s="1"/>
  <c r="F6" i="2"/>
  <c r="F19" i="2"/>
  <c r="G14" i="5" s="1"/>
  <c r="F20" i="2"/>
  <c r="G15" i="5" s="1"/>
  <c r="F16" i="2"/>
  <c r="G11" i="5" s="1"/>
  <c r="F7" i="2"/>
  <c r="F17" i="2"/>
  <c r="G13" i="5" s="1"/>
  <c r="E29" i="1" l="1"/>
  <c r="L81" i="9"/>
  <c r="L79" i="9" s="1"/>
  <c r="F87" i="9"/>
  <c r="M65" i="9" s="1"/>
  <c r="M81" i="9" s="1"/>
  <c r="M79" i="9" s="1"/>
  <c r="J80" i="9"/>
  <c r="J81" i="9"/>
  <c r="J79" i="9" s="1"/>
  <c r="K80" i="9"/>
  <c r="K81" i="9"/>
  <c r="K79" i="9" s="1"/>
  <c r="I60" i="1"/>
  <c r="J76" i="1"/>
  <c r="J99" i="1"/>
  <c r="L99" i="1" s="1"/>
  <c r="J100" i="1"/>
  <c r="L100" i="1" s="1"/>
  <c r="J110" i="1"/>
  <c r="J71" i="1"/>
  <c r="J117" i="1"/>
  <c r="L117" i="1" s="1"/>
  <c r="J77" i="1"/>
  <c r="U15" i="4"/>
  <c r="J89" i="1"/>
  <c r="L89" i="1" s="1"/>
  <c r="J95" i="1"/>
  <c r="L95" i="1" s="1"/>
  <c r="J81" i="1"/>
  <c r="L81" i="1" s="1"/>
  <c r="J92" i="1"/>
  <c r="L92" i="1" s="1"/>
  <c r="K16" i="4"/>
  <c r="L16" i="4" s="1"/>
  <c r="J114" i="1"/>
  <c r="L114" i="1" s="1"/>
  <c r="J113" i="1"/>
  <c r="L113" i="1" s="1"/>
  <c r="J121" i="1"/>
  <c r="L121" i="1" s="1"/>
  <c r="J94" i="1"/>
  <c r="L94" i="1" s="1"/>
  <c r="J106" i="1"/>
  <c r="L106" i="1" s="1"/>
  <c r="J72" i="1"/>
  <c r="L72" i="1" s="1"/>
  <c r="Q17" i="4"/>
  <c r="R17" i="4" s="1"/>
  <c r="J74" i="1"/>
  <c r="L74" i="1" s="1"/>
  <c r="J70" i="1"/>
  <c r="L70" i="1" s="1"/>
  <c r="E15" i="2"/>
  <c r="F12" i="5" s="1"/>
  <c r="J112" i="1"/>
  <c r="L112" i="1" s="1"/>
  <c r="J87" i="1"/>
  <c r="L87" i="1" s="1"/>
  <c r="E37" i="1"/>
  <c r="E21" i="2" s="1"/>
  <c r="F17" i="5" s="1"/>
  <c r="J85" i="1"/>
  <c r="L85" i="1" s="1"/>
  <c r="L76" i="1"/>
  <c r="J82" i="1"/>
  <c r="L82" i="1" s="1"/>
  <c r="J88" i="1"/>
  <c r="L88" i="1" s="1"/>
  <c r="L77" i="1"/>
  <c r="E16" i="4"/>
  <c r="F16" i="4" s="1"/>
  <c r="I16" i="4"/>
  <c r="K17" i="4" s="1"/>
  <c r="L17" i="4" s="1"/>
  <c r="J116" i="1"/>
  <c r="L116" i="1" s="1"/>
  <c r="J96" i="1"/>
  <c r="L96" i="1" s="1"/>
  <c r="L123" i="1"/>
  <c r="J69" i="1"/>
  <c r="L69" i="1" s="1"/>
  <c r="J90" i="1"/>
  <c r="L90" i="1" s="1"/>
  <c r="J84" i="1"/>
  <c r="L84" i="1" s="1"/>
  <c r="J103" i="1"/>
  <c r="L103" i="1" s="1"/>
  <c r="J102" i="1"/>
  <c r="L102" i="1" s="1"/>
  <c r="J120" i="1"/>
  <c r="L120" i="1" s="1"/>
  <c r="L110" i="1"/>
  <c r="J83" i="1"/>
  <c r="L83" i="1" s="1"/>
  <c r="J75" i="1"/>
  <c r="L75" i="1" s="1"/>
  <c r="J115" i="1"/>
  <c r="L115" i="1" s="1"/>
  <c r="J86" i="1"/>
  <c r="L86" i="1" s="1"/>
  <c r="J122" i="1"/>
  <c r="L122" i="1" s="1"/>
  <c r="L71" i="1"/>
  <c r="J108" i="1"/>
  <c r="L108" i="1" s="1"/>
  <c r="J91" i="1"/>
  <c r="L91" i="1" s="1"/>
  <c r="J101" i="1"/>
  <c r="L101" i="1" s="1"/>
  <c r="J78" i="1"/>
  <c r="L78" i="1" s="1"/>
  <c r="J111" i="1"/>
  <c r="L111" i="1" s="1"/>
  <c r="F14" i="2"/>
  <c r="G10" i="5" s="1"/>
  <c r="J107" i="1"/>
  <c r="L107" i="1" s="1"/>
  <c r="J93" i="1"/>
  <c r="L93" i="1" s="1"/>
  <c r="J73" i="1"/>
  <c r="L73" i="1" s="1"/>
  <c r="J109" i="1"/>
  <c r="L109" i="1" s="1"/>
  <c r="H35" i="2"/>
  <c r="Z55" i="14"/>
  <c r="J55" i="14" s="1"/>
  <c r="Y55" i="14"/>
  <c r="I55" i="14" s="1"/>
  <c r="M87" i="1"/>
  <c r="M102" i="1"/>
  <c r="M76" i="1"/>
  <c r="M91" i="1"/>
  <c r="B45" i="1"/>
  <c r="H45" i="1" s="1"/>
  <c r="V33" i="14"/>
  <c r="F33" i="14"/>
  <c r="K33" i="14" s="1"/>
  <c r="E8" i="9"/>
  <c r="M82" i="1"/>
  <c r="M111" i="1"/>
  <c r="M110" i="1"/>
  <c r="M113" i="1"/>
  <c r="M94" i="1"/>
  <c r="M117" i="1"/>
  <c r="M88" i="1"/>
  <c r="M83" i="1"/>
  <c r="M85" i="1"/>
  <c r="M116" i="1"/>
  <c r="M119" i="1"/>
  <c r="M120" i="1"/>
  <c r="M78" i="1"/>
  <c r="M90" i="1"/>
  <c r="M105" i="1"/>
  <c r="M89" i="1"/>
  <c r="M101" i="1"/>
  <c r="M121" i="1"/>
  <c r="M93" i="1"/>
  <c r="M112" i="1"/>
  <c r="M98" i="1"/>
  <c r="M79" i="1"/>
  <c r="M81" i="1"/>
  <c r="M100" i="1"/>
  <c r="G41" i="5"/>
  <c r="M19" i="14"/>
  <c r="F42" i="5"/>
  <c r="L13" i="14"/>
  <c r="F41" i="5"/>
  <c r="M13" i="14"/>
  <c r="G42" i="5"/>
  <c r="L19" i="14"/>
  <c r="H55" i="14"/>
  <c r="G55" i="14"/>
  <c r="G87" i="9"/>
  <c r="N65" i="9" s="1"/>
  <c r="N80" i="9" s="1"/>
  <c r="L54" i="14"/>
  <c r="Y84" i="14"/>
  <c r="Y89" i="14"/>
  <c r="Y86" i="14"/>
  <c r="Y83" i="14"/>
  <c r="Y91" i="14"/>
  <c r="Y87" i="14"/>
  <c r="Y88" i="14"/>
  <c r="Y85" i="14"/>
  <c r="Y82" i="14"/>
  <c r="Y90" i="14"/>
  <c r="Z87" i="14"/>
  <c r="Z90" i="14"/>
  <c r="Z84" i="14"/>
  <c r="Z82" i="14"/>
  <c r="Z89" i="14"/>
  <c r="Z86" i="14"/>
  <c r="Z83" i="14"/>
  <c r="Z91" i="14"/>
  <c r="Z88" i="14"/>
  <c r="Z85" i="14"/>
  <c r="Z77" i="14"/>
  <c r="Y77" i="14"/>
  <c r="X76" i="14"/>
  <c r="W76" i="14"/>
  <c r="H55" i="9"/>
  <c r="M104" i="1"/>
  <c r="M96" i="1"/>
  <c r="B47" i="9"/>
  <c r="B60" i="9" s="1"/>
  <c r="M72" i="1"/>
  <c r="M106" i="1"/>
  <c r="M75" i="1"/>
  <c r="M109" i="1"/>
  <c r="M80" i="1"/>
  <c r="M108" i="1"/>
  <c r="M97" i="1"/>
  <c r="M99" i="1"/>
  <c r="M118" i="1"/>
  <c r="M122" i="1"/>
  <c r="M77" i="1"/>
  <c r="M71" i="1"/>
  <c r="M74" i="1"/>
  <c r="M123" i="1"/>
  <c r="M103" i="1"/>
  <c r="M92" i="1"/>
  <c r="M84" i="1"/>
  <c r="M95" i="1"/>
  <c r="M114" i="1"/>
  <c r="M70" i="1"/>
  <c r="M86" i="1"/>
  <c r="M69" i="1"/>
  <c r="M107" i="1"/>
  <c r="E13" i="2"/>
  <c r="E23" i="9"/>
  <c r="E9" i="9" s="1"/>
  <c r="F13" i="2"/>
  <c r="C17" i="4"/>
  <c r="E17" i="4"/>
  <c r="J118" i="1"/>
  <c r="L118" i="1" s="1"/>
  <c r="J119" i="1"/>
  <c r="L119" i="1" s="1"/>
  <c r="J97" i="1"/>
  <c r="L97" i="1" s="1"/>
  <c r="J98" i="1"/>
  <c r="L98" i="1" s="1"/>
  <c r="O18" i="4"/>
  <c r="Q18" i="4"/>
  <c r="R18" i="4" s="1"/>
  <c r="J104" i="1"/>
  <c r="L104" i="1" s="1"/>
  <c r="J105" i="1"/>
  <c r="L105" i="1" s="1"/>
  <c r="J79" i="1"/>
  <c r="L79" i="1" s="1"/>
  <c r="J80" i="1"/>
  <c r="L80" i="1" s="1"/>
  <c r="T16" i="4"/>
  <c r="Q16" i="4"/>
  <c r="R16" i="4" s="1"/>
  <c r="H39" i="9"/>
  <c r="M73" i="1"/>
  <c r="M80" i="9" l="1"/>
  <c r="N81" i="9"/>
  <c r="N79" i="9" s="1"/>
  <c r="J57" i="1"/>
  <c r="J58" i="1"/>
  <c r="J54" i="1"/>
  <c r="J43" i="1"/>
  <c r="J42" i="1"/>
  <c r="E7" i="9"/>
  <c r="AA56" i="14"/>
  <c r="K56" i="14" s="1"/>
  <c r="I17" i="4"/>
  <c r="K18" i="4" s="1"/>
  <c r="L18" i="4" s="1"/>
  <c r="F19" i="5"/>
  <c r="E38" i="1"/>
  <c r="F21" i="2"/>
  <c r="G17" i="5" s="1"/>
  <c r="G19" i="5" s="1"/>
  <c r="I18" i="4"/>
  <c r="I19" i="4" s="1"/>
  <c r="U16" i="4"/>
  <c r="K19" i="14"/>
  <c r="Y78" i="14"/>
  <c r="Z78" i="14"/>
  <c r="B46" i="1"/>
  <c r="V35" i="14" s="1"/>
  <c r="AA55" i="14"/>
  <c r="K55" i="14" s="1"/>
  <c r="L55" i="14" s="1"/>
  <c r="J33" i="14"/>
  <c r="Z56" i="14" s="1"/>
  <c r="I33" i="14"/>
  <c r="Y56" i="14" s="1"/>
  <c r="H33" i="14"/>
  <c r="G33" i="14"/>
  <c r="W56" i="14" s="1"/>
  <c r="F56" i="14"/>
  <c r="F79" i="14" s="1"/>
  <c r="M79" i="14" s="1"/>
  <c r="AH33" i="14"/>
  <c r="AH79" i="14"/>
  <c r="AO79" i="14" s="1"/>
  <c r="AH56" i="14"/>
  <c r="V56" i="14"/>
  <c r="V79" i="14"/>
  <c r="AC79" i="14" s="1"/>
  <c r="F34" i="14"/>
  <c r="V34" i="14"/>
  <c r="K13" i="14"/>
  <c r="K8" i="14"/>
  <c r="L22" i="14"/>
  <c r="N13" i="14"/>
  <c r="I13" i="14"/>
  <c r="M22" i="14"/>
  <c r="AA90" i="14"/>
  <c r="AA87" i="14"/>
  <c r="AA84" i="14"/>
  <c r="AA89" i="14"/>
  <c r="AA86" i="14"/>
  <c r="AA83" i="14"/>
  <c r="AA91" i="14"/>
  <c r="AA88" i="14"/>
  <c r="AA85" i="14"/>
  <c r="W86" i="14"/>
  <c r="W83" i="14"/>
  <c r="W91" i="14"/>
  <c r="W88" i="14"/>
  <c r="W89" i="14"/>
  <c r="W85" i="14"/>
  <c r="W82" i="14"/>
  <c r="W90" i="14"/>
  <c r="W87" i="14"/>
  <c r="W84" i="14"/>
  <c r="X89" i="14"/>
  <c r="X86" i="14"/>
  <c r="X83" i="14"/>
  <c r="X91" i="14"/>
  <c r="X88" i="14"/>
  <c r="X85" i="14"/>
  <c r="X82" i="14"/>
  <c r="X90" i="14"/>
  <c r="X84" i="14"/>
  <c r="X87" i="14"/>
  <c r="AA77" i="14"/>
  <c r="W77" i="14"/>
  <c r="W78" i="14"/>
  <c r="X78" i="14"/>
  <c r="X77" i="14"/>
  <c r="B48" i="9"/>
  <c r="B49" i="9" s="1"/>
  <c r="M68" i="1"/>
  <c r="F21" i="5"/>
  <c r="F23" i="5" s="1"/>
  <c r="F44" i="5" s="1"/>
  <c r="E22" i="2"/>
  <c r="F17" i="4"/>
  <c r="W17" i="4"/>
  <c r="X17" i="4" s="1"/>
  <c r="E18" i="4"/>
  <c r="U17" i="4"/>
  <c r="C18" i="4"/>
  <c r="G21" i="5"/>
  <c r="G23" i="5" s="1"/>
  <c r="W16" i="4"/>
  <c r="X16" i="4" s="1"/>
  <c r="J50" i="1"/>
  <c r="J51" i="1"/>
  <c r="J55" i="1"/>
  <c r="J49" i="1"/>
  <c r="J46" i="1"/>
  <c r="J45" i="1"/>
  <c r="J53" i="1"/>
  <c r="J44" i="1"/>
  <c r="J56" i="1"/>
  <c r="J48" i="1"/>
  <c r="J47" i="1"/>
  <c r="J52" i="1"/>
  <c r="Q19" i="4"/>
  <c r="R19" i="4" s="1"/>
  <c r="O19" i="4"/>
  <c r="K19" i="4" l="1"/>
  <c r="L19" i="4" s="1"/>
  <c r="J60" i="1"/>
  <c r="E10" i="9"/>
  <c r="E27" i="9" s="1"/>
  <c r="E32" i="9" s="1"/>
  <c r="B79" i="9" s="1"/>
  <c r="G26" i="5"/>
  <c r="F35" i="14"/>
  <c r="J35" i="14" s="1"/>
  <c r="AL58" i="14" s="1"/>
  <c r="B47" i="1"/>
  <c r="B48" i="1" s="1"/>
  <c r="F22" i="2"/>
  <c r="F8" i="2" s="1"/>
  <c r="F9" i="2" s="1"/>
  <c r="H46" i="1"/>
  <c r="X56" i="14"/>
  <c r="X79" i="14" s="1"/>
  <c r="AA78" i="14"/>
  <c r="AB78" i="14" s="1"/>
  <c r="AB55" i="14"/>
  <c r="B61" i="9"/>
  <c r="K22" i="14"/>
  <c r="L33" i="14"/>
  <c r="J56" i="14"/>
  <c r="W79" i="14"/>
  <c r="K34" i="14"/>
  <c r="AA57" i="14" s="1"/>
  <c r="J34" i="14"/>
  <c r="I34" i="14"/>
  <c r="H34" i="14"/>
  <c r="G34" i="14"/>
  <c r="F57" i="14"/>
  <c r="F80" i="14" s="1"/>
  <c r="M80" i="14" s="1"/>
  <c r="AH34" i="14"/>
  <c r="V57" i="14"/>
  <c r="V80" i="14"/>
  <c r="AC80" i="14" s="1"/>
  <c r="AH80" i="14"/>
  <c r="AO80" i="14" s="1"/>
  <c r="AH57" i="14"/>
  <c r="I56" i="14"/>
  <c r="AH35" i="14"/>
  <c r="V81" i="14"/>
  <c r="AC81" i="14" s="1"/>
  <c r="V58" i="14"/>
  <c r="AH58" i="14"/>
  <c r="AH81" i="14"/>
  <c r="AO81" i="14" s="1"/>
  <c r="E8" i="2"/>
  <c r="J8" i="14"/>
  <c r="F26" i="5"/>
  <c r="G44" i="5"/>
  <c r="G45" i="5" s="1"/>
  <c r="F45" i="5"/>
  <c r="J13" i="14"/>
  <c r="I14" i="14"/>
  <c r="N14" i="14"/>
  <c r="AA79" i="14"/>
  <c r="AB91" i="14"/>
  <c r="AB86" i="14"/>
  <c r="AB87" i="14"/>
  <c r="AB83" i="14"/>
  <c r="AB89" i="14"/>
  <c r="L78" i="14"/>
  <c r="AB77" i="14"/>
  <c r="AB82" i="14"/>
  <c r="AB85" i="14"/>
  <c r="AB90" i="14"/>
  <c r="AB88" i="14"/>
  <c r="AB84" i="14"/>
  <c r="W18" i="4"/>
  <c r="X18" i="4" s="1"/>
  <c r="F18" i="4"/>
  <c r="B62" i="9"/>
  <c r="B50" i="9"/>
  <c r="Q20" i="4"/>
  <c r="R20" i="4" s="1"/>
  <c r="O20" i="4"/>
  <c r="I20" i="4"/>
  <c r="K20" i="4"/>
  <c r="L20" i="4" s="1"/>
  <c r="U18" i="4"/>
  <c r="C19" i="4"/>
  <c r="E19" i="4"/>
  <c r="K35" i="14" l="1"/>
  <c r="AM58" i="14" s="1"/>
  <c r="V36" i="14"/>
  <c r="F36" i="14"/>
  <c r="G36" i="14" s="1"/>
  <c r="AI59" i="14" s="1"/>
  <c r="J19" i="14"/>
  <c r="J22" i="14" s="1"/>
  <c r="F58" i="14"/>
  <c r="F81" i="14" s="1"/>
  <c r="M81" i="14" s="1"/>
  <c r="G35" i="14"/>
  <c r="AI58" i="14" s="1"/>
  <c r="H35" i="14"/>
  <c r="AJ58" i="14" s="1"/>
  <c r="H47" i="1"/>
  <c r="I35" i="14"/>
  <c r="AK58" i="14" s="1"/>
  <c r="H56" i="14"/>
  <c r="Z81" i="14"/>
  <c r="Z57" i="14"/>
  <c r="W57" i="14"/>
  <c r="Y81" i="14"/>
  <c r="Y57" i="14"/>
  <c r="X81" i="14"/>
  <c r="X57" i="14"/>
  <c r="Z79" i="14"/>
  <c r="AA70" i="14"/>
  <c r="Y79" i="14"/>
  <c r="AH36" i="14"/>
  <c r="AH82" i="14"/>
  <c r="AO82" i="14" s="1"/>
  <c r="V59" i="14"/>
  <c r="V82" i="14"/>
  <c r="AC82" i="14" s="1"/>
  <c r="AH59" i="14"/>
  <c r="G56" i="14"/>
  <c r="L34" i="14"/>
  <c r="N34" i="14" s="1"/>
  <c r="W81" i="14"/>
  <c r="N33" i="14"/>
  <c r="V37" i="14"/>
  <c r="F37" i="14"/>
  <c r="D80" i="9"/>
  <c r="F80" i="9"/>
  <c r="G80" i="9"/>
  <c r="C80" i="9"/>
  <c r="E80" i="9"/>
  <c r="N15" i="14"/>
  <c r="I15" i="14"/>
  <c r="AB56" i="14"/>
  <c r="L77" i="14"/>
  <c r="B49" i="1"/>
  <c r="H48" i="1"/>
  <c r="Q21" i="4"/>
  <c r="R21" i="4" s="1"/>
  <c r="O21" i="4"/>
  <c r="F19" i="4"/>
  <c r="W19" i="4"/>
  <c r="C20" i="4"/>
  <c r="E20" i="4"/>
  <c r="U19" i="4"/>
  <c r="K21" i="4"/>
  <c r="L21" i="4" s="1"/>
  <c r="I21" i="4"/>
  <c r="B63" i="9"/>
  <c r="B51" i="9"/>
  <c r="I36" i="14" l="1"/>
  <c r="AK59" i="14" s="1"/>
  <c r="I59" i="14" s="1"/>
  <c r="X19" i="4"/>
  <c r="AB81" i="14"/>
  <c r="F59" i="14"/>
  <c r="F82" i="14" s="1"/>
  <c r="M82" i="14" s="1"/>
  <c r="J36" i="14"/>
  <c r="AL59" i="14" s="1"/>
  <c r="J59" i="14" s="1"/>
  <c r="K36" i="14"/>
  <c r="AM59" i="14" s="1"/>
  <c r="H36" i="14"/>
  <c r="AJ59" i="14" s="1"/>
  <c r="H59" i="14" s="1"/>
  <c r="L35" i="14"/>
  <c r="N35" i="14" s="1"/>
  <c r="K58" i="14"/>
  <c r="K57" i="14"/>
  <c r="AA80" i="14"/>
  <c r="AA93" i="14" s="1"/>
  <c r="AB58" i="14"/>
  <c r="L56" i="14"/>
  <c r="H57" i="14"/>
  <c r="X80" i="14"/>
  <c r="X93" i="14" s="1"/>
  <c r="X70" i="14"/>
  <c r="V38" i="14"/>
  <c r="F38" i="14"/>
  <c r="I58" i="14"/>
  <c r="I57" i="14"/>
  <c r="Y80" i="14"/>
  <c r="Y93" i="14" s="1"/>
  <c r="Y70" i="14"/>
  <c r="J57" i="14"/>
  <c r="Z80" i="14"/>
  <c r="Z93" i="14" s="1"/>
  <c r="K37" i="14"/>
  <c r="AM60" i="14" s="1"/>
  <c r="J37" i="14"/>
  <c r="I37" i="14"/>
  <c r="H37" i="14"/>
  <c r="G37" i="14"/>
  <c r="AI60" i="14" s="1"/>
  <c r="F60" i="14"/>
  <c r="F83" i="14" s="1"/>
  <c r="M83" i="14" s="1"/>
  <c r="AH37" i="14"/>
  <c r="V83" i="14"/>
  <c r="AC83" i="14" s="1"/>
  <c r="AH83" i="14"/>
  <c r="AO83" i="14" s="1"/>
  <c r="V60" i="14"/>
  <c r="AH60" i="14"/>
  <c r="J58" i="14"/>
  <c r="W80" i="14"/>
  <c r="W93" i="14" s="1"/>
  <c r="G57" i="14"/>
  <c r="AB57" i="14"/>
  <c r="H58" i="14"/>
  <c r="F31" i="14"/>
  <c r="F54" i="14" s="1"/>
  <c r="F77" i="14" s="1"/>
  <c r="M77" i="14" s="1"/>
  <c r="V31" i="14"/>
  <c r="Z70" i="14"/>
  <c r="AN58" i="14"/>
  <c r="G58" i="14"/>
  <c r="G59" i="14"/>
  <c r="W70" i="14"/>
  <c r="H80" i="9"/>
  <c r="I16" i="14"/>
  <c r="N16" i="14"/>
  <c r="AB79" i="14"/>
  <c r="H49" i="1"/>
  <c r="B50" i="1"/>
  <c r="O22" i="4"/>
  <c r="Q22" i="4"/>
  <c r="R22" i="4" s="1"/>
  <c r="I22" i="4"/>
  <c r="K22" i="4"/>
  <c r="L22" i="4" s="1"/>
  <c r="F20" i="4"/>
  <c r="W20" i="4"/>
  <c r="X20" i="4" s="1"/>
  <c r="C21" i="4"/>
  <c r="E21" i="4"/>
  <c r="U20" i="4"/>
  <c r="B64" i="9"/>
  <c r="B52" i="9"/>
  <c r="L36" i="14" l="1"/>
  <c r="AJ60" i="14"/>
  <c r="H60" i="14" s="1"/>
  <c r="AL60" i="14"/>
  <c r="J60" i="14" s="1"/>
  <c r="AK60" i="14"/>
  <c r="I60" i="14" s="1"/>
  <c r="AB70" i="14"/>
  <c r="L58" i="14"/>
  <c r="AB80" i="14"/>
  <c r="AD81" i="14" s="1"/>
  <c r="K60" i="14"/>
  <c r="AN59" i="14"/>
  <c r="K59" i="14"/>
  <c r="L37" i="14"/>
  <c r="N37" i="14" s="1"/>
  <c r="G60" i="14"/>
  <c r="N36" i="14"/>
  <c r="AH31" i="14"/>
  <c r="V54" i="14"/>
  <c r="V77" i="14"/>
  <c r="AC77" i="14" s="1"/>
  <c r="AH77" i="14"/>
  <c r="AH54" i="14"/>
  <c r="J38" i="14"/>
  <c r="AL61" i="14" s="1"/>
  <c r="I38" i="14"/>
  <c r="AK61" i="14" s="1"/>
  <c r="H38" i="14"/>
  <c r="G38" i="14"/>
  <c r="AI61" i="14" s="1"/>
  <c r="K38" i="14"/>
  <c r="AM61" i="14" s="1"/>
  <c r="F61" i="14"/>
  <c r="F84" i="14" s="1"/>
  <c r="M84" i="14" s="1"/>
  <c r="AH38" i="14"/>
  <c r="V61" i="14"/>
  <c r="AH84" i="14"/>
  <c r="AO84" i="14" s="1"/>
  <c r="V84" i="14"/>
  <c r="AC84" i="14" s="1"/>
  <c r="AH61" i="14"/>
  <c r="V39" i="14"/>
  <c r="F39" i="14"/>
  <c r="L57" i="14"/>
  <c r="I17" i="14"/>
  <c r="N17" i="14"/>
  <c r="B51" i="1"/>
  <c r="H50" i="1"/>
  <c r="I23" i="4"/>
  <c r="K23" i="4"/>
  <c r="L23" i="4" s="1"/>
  <c r="Q23" i="4"/>
  <c r="R23" i="4" s="1"/>
  <c r="O23" i="4"/>
  <c r="F21" i="4"/>
  <c r="W21" i="4"/>
  <c r="X21" i="4" s="1"/>
  <c r="B65" i="9"/>
  <c r="B53" i="9"/>
  <c r="C22" i="4"/>
  <c r="E22" i="4"/>
  <c r="U21" i="4"/>
  <c r="AJ61" i="14" l="1"/>
  <c r="H61" i="14" s="1"/>
  <c r="AD77" i="14"/>
  <c r="AD91" i="14"/>
  <c r="AD80" i="14"/>
  <c r="AD83" i="14"/>
  <c r="AD78" i="14"/>
  <c r="AD82" i="14"/>
  <c r="AB93" i="14"/>
  <c r="AD85" i="14"/>
  <c r="AD88" i="14"/>
  <c r="AD86" i="14"/>
  <c r="AD87" i="14"/>
  <c r="AD84" i="14"/>
  <c r="AD79" i="14"/>
  <c r="AD89" i="14"/>
  <c r="AD90" i="14"/>
  <c r="G61" i="14"/>
  <c r="J61" i="14"/>
  <c r="K61" i="14"/>
  <c r="F32" i="14"/>
  <c r="F55" i="14" s="1"/>
  <c r="F78" i="14" s="1"/>
  <c r="M78" i="14" s="1"/>
  <c r="V32" i="14"/>
  <c r="L59" i="14"/>
  <c r="L60" i="14"/>
  <c r="AN60" i="14"/>
  <c r="F40" i="14"/>
  <c r="V40" i="14"/>
  <c r="K39" i="14"/>
  <c r="AM62" i="14" s="1"/>
  <c r="J39" i="14"/>
  <c r="AL62" i="14" s="1"/>
  <c r="I39" i="14"/>
  <c r="H39" i="14"/>
  <c r="AJ62" i="14" s="1"/>
  <c r="G39" i="14"/>
  <c r="AI62" i="14" s="1"/>
  <c r="F62" i="14"/>
  <c r="F85" i="14" s="1"/>
  <c r="M85" i="14" s="1"/>
  <c r="L38" i="14"/>
  <c r="AH39" i="14"/>
  <c r="V85" i="14"/>
  <c r="AC85" i="14" s="1"/>
  <c r="AH62" i="14"/>
  <c r="V62" i="14"/>
  <c r="AH85" i="14"/>
  <c r="AO85" i="14" s="1"/>
  <c r="N18" i="14"/>
  <c r="I18" i="14"/>
  <c r="B52" i="1"/>
  <c r="H51" i="1"/>
  <c r="I24" i="4"/>
  <c r="K24" i="4"/>
  <c r="L24" i="4" s="1"/>
  <c r="F22" i="4"/>
  <c r="W22" i="4"/>
  <c r="X22" i="4" s="1"/>
  <c r="O24" i="4"/>
  <c r="Q24" i="4"/>
  <c r="R24" i="4" s="1"/>
  <c r="E23" i="4"/>
  <c r="U22" i="4"/>
  <c r="C23" i="4"/>
  <c r="AK62" i="14" l="1"/>
  <c r="I62" i="14" s="1"/>
  <c r="AD93" i="14"/>
  <c r="G62" i="14"/>
  <c r="J62" i="14"/>
  <c r="K62" i="14"/>
  <c r="K40" i="14"/>
  <c r="AM63" i="14" s="1"/>
  <c r="J40" i="14"/>
  <c r="I40" i="14"/>
  <c r="H40" i="14"/>
  <c r="G40" i="14"/>
  <c r="AI63" i="14" s="1"/>
  <c r="F63" i="14"/>
  <c r="F86" i="14" s="1"/>
  <c r="M86" i="14" s="1"/>
  <c r="AH40" i="14"/>
  <c r="AH63" i="14"/>
  <c r="AH86" i="14"/>
  <c r="AO86" i="14" s="1"/>
  <c r="V86" i="14"/>
  <c r="AC86" i="14" s="1"/>
  <c r="V63" i="14"/>
  <c r="I61" i="14"/>
  <c r="L61" i="14" s="1"/>
  <c r="AN61" i="14"/>
  <c r="V41" i="14"/>
  <c r="F41" i="14"/>
  <c r="N38" i="14"/>
  <c r="L39" i="14"/>
  <c r="N39" i="14" s="1"/>
  <c r="AH32" i="14"/>
  <c r="AH55" i="14"/>
  <c r="V78" i="14"/>
  <c r="AC78" i="14" s="1"/>
  <c r="V55" i="14"/>
  <c r="AH78" i="14"/>
  <c r="N19" i="14"/>
  <c r="I19" i="14"/>
  <c r="H52" i="1"/>
  <c r="B53" i="1"/>
  <c r="I25" i="4"/>
  <c r="K25" i="4"/>
  <c r="L25" i="4" s="1"/>
  <c r="C24" i="4"/>
  <c r="U23" i="4"/>
  <c r="E24" i="4"/>
  <c r="F23" i="4"/>
  <c r="W23" i="4"/>
  <c r="X23" i="4" s="1"/>
  <c r="O25" i="4"/>
  <c r="Q25" i="4"/>
  <c r="R25" i="4" s="1"/>
  <c r="AL63" i="14" l="1"/>
  <c r="J63" i="14" s="1"/>
  <c r="AK63" i="14"/>
  <c r="I63" i="14" s="1"/>
  <c r="AJ63" i="14"/>
  <c r="K63" i="14"/>
  <c r="G41" i="14"/>
  <c r="K41" i="14"/>
  <c r="AM64" i="14" s="1"/>
  <c r="J41" i="14"/>
  <c r="AL64" i="14" s="1"/>
  <c r="I41" i="14"/>
  <c r="AK64" i="14" s="1"/>
  <c r="H41" i="14"/>
  <c r="F64" i="14"/>
  <c r="F87" i="14" s="1"/>
  <c r="M87" i="14" s="1"/>
  <c r="G63" i="14"/>
  <c r="H62" i="14"/>
  <c r="L62" i="14" s="1"/>
  <c r="AN62" i="14"/>
  <c r="AH41" i="14"/>
  <c r="V87" i="14"/>
  <c r="AC87" i="14" s="1"/>
  <c r="AH87" i="14"/>
  <c r="AO87" i="14" s="1"/>
  <c r="AH64" i="14"/>
  <c r="V64" i="14"/>
  <c r="L40" i="14"/>
  <c r="V42" i="14"/>
  <c r="F42" i="14"/>
  <c r="N20" i="14"/>
  <c r="I20" i="14"/>
  <c r="B54" i="1"/>
  <c r="H53" i="1"/>
  <c r="F24" i="4"/>
  <c r="W24" i="4"/>
  <c r="X24" i="4" s="1"/>
  <c r="U24" i="4"/>
  <c r="E25" i="4"/>
  <c r="C25" i="4"/>
  <c r="I26" i="4"/>
  <c r="K26" i="4"/>
  <c r="L26" i="4" s="1"/>
  <c r="Q26" i="4"/>
  <c r="R26" i="4" s="1"/>
  <c r="O26" i="4"/>
  <c r="AN63" i="14" l="1"/>
  <c r="H63" i="14"/>
  <c r="L63" i="14" s="1"/>
  <c r="AI64" i="14"/>
  <c r="G64" i="14" s="1"/>
  <c r="AJ64" i="14"/>
  <c r="H64" i="14" s="1"/>
  <c r="I64" i="14"/>
  <c r="K42" i="14"/>
  <c r="AM65" i="14" s="1"/>
  <c r="J42" i="14"/>
  <c r="AL65" i="14" s="1"/>
  <c r="I42" i="14"/>
  <c r="H42" i="14"/>
  <c r="AJ65" i="14" s="1"/>
  <c r="G42" i="14"/>
  <c r="AI65" i="14" s="1"/>
  <c r="F65" i="14"/>
  <c r="F88" i="14" s="1"/>
  <c r="M88" i="14" s="1"/>
  <c r="AH42" i="14"/>
  <c r="V65" i="14"/>
  <c r="AH88" i="14"/>
  <c r="AO88" i="14" s="1"/>
  <c r="V88" i="14"/>
  <c r="AC88" i="14" s="1"/>
  <c r="AH65" i="14"/>
  <c r="L41" i="14"/>
  <c r="N41" i="14" s="1"/>
  <c r="V43" i="14"/>
  <c r="F43" i="14"/>
  <c r="N40" i="14"/>
  <c r="J64" i="14"/>
  <c r="B55" i="1"/>
  <c r="H54" i="1"/>
  <c r="U25" i="4"/>
  <c r="E26" i="4"/>
  <c r="C26" i="4"/>
  <c r="F25" i="4"/>
  <c r="W25" i="4"/>
  <c r="X25" i="4" s="1"/>
  <c r="O27" i="4"/>
  <c r="Q27" i="4"/>
  <c r="R27" i="4" s="1"/>
  <c r="K27" i="4"/>
  <c r="L27" i="4" s="1"/>
  <c r="I27" i="4"/>
  <c r="AK65" i="14" l="1"/>
  <c r="I65" i="14" s="1"/>
  <c r="L42" i="14"/>
  <c r="AH43" i="14"/>
  <c r="V66" i="14"/>
  <c r="AH89" i="14"/>
  <c r="AO89" i="14" s="1"/>
  <c r="V89" i="14"/>
  <c r="AC89" i="14" s="1"/>
  <c r="AH66" i="14"/>
  <c r="AN64" i="14"/>
  <c r="K64" i="14"/>
  <c r="I43" i="14"/>
  <c r="AK66" i="14" s="1"/>
  <c r="H43" i="14"/>
  <c r="AJ66" i="14" s="1"/>
  <c r="G43" i="14"/>
  <c r="AI66" i="14" s="1"/>
  <c r="K43" i="14"/>
  <c r="J43" i="14"/>
  <c r="AL66" i="14" s="1"/>
  <c r="F66" i="14"/>
  <c r="F89" i="14" s="1"/>
  <c r="M89" i="14" s="1"/>
  <c r="K65" i="14"/>
  <c r="J65" i="14"/>
  <c r="V44" i="14"/>
  <c r="F44" i="14"/>
  <c r="W42" i="14"/>
  <c r="W47" i="14" s="1"/>
  <c r="X42" i="14"/>
  <c r="X47" i="14" s="1"/>
  <c r="B56" i="1"/>
  <c r="H55" i="1"/>
  <c r="I28" i="4"/>
  <c r="K28" i="4"/>
  <c r="L28" i="4" s="1"/>
  <c r="E27" i="4"/>
  <c r="C27" i="4"/>
  <c r="U26" i="4"/>
  <c r="O28" i="4"/>
  <c r="Q28" i="4"/>
  <c r="R28" i="4" s="1"/>
  <c r="W26" i="4"/>
  <c r="X26" i="4" s="1"/>
  <c r="F26" i="4"/>
  <c r="AM66" i="14" l="1"/>
  <c r="K66" i="14" s="1"/>
  <c r="L43" i="14"/>
  <c r="N43" i="14" s="1"/>
  <c r="H65" i="14"/>
  <c r="G65" i="14"/>
  <c r="AN65" i="14"/>
  <c r="K44" i="14"/>
  <c r="AM67" i="14" s="1"/>
  <c r="J44" i="14"/>
  <c r="I44" i="14"/>
  <c r="AK67" i="14" s="1"/>
  <c r="H44" i="14"/>
  <c r="AJ67" i="14" s="1"/>
  <c r="G44" i="14"/>
  <c r="AI67" i="14" s="1"/>
  <c r="F67" i="14"/>
  <c r="F90" i="14" s="1"/>
  <c r="M90" i="14" s="1"/>
  <c r="J66" i="14"/>
  <c r="AH44" i="14"/>
  <c r="AH90" i="14"/>
  <c r="AO90" i="14" s="1"/>
  <c r="V90" i="14"/>
  <c r="AC90" i="14" s="1"/>
  <c r="AH67" i="14"/>
  <c r="V67" i="14"/>
  <c r="I66" i="14"/>
  <c r="V45" i="14"/>
  <c r="F45" i="14"/>
  <c r="B57" i="1"/>
  <c r="L64" i="14"/>
  <c r="N42" i="14"/>
  <c r="H66" i="14"/>
  <c r="H56" i="1"/>
  <c r="F27" i="4"/>
  <c r="W27" i="4"/>
  <c r="X27" i="4" s="1"/>
  <c r="E28" i="4"/>
  <c r="U27" i="4"/>
  <c r="C28" i="4"/>
  <c r="K29" i="4"/>
  <c r="L29" i="4" s="1"/>
  <c r="I29" i="4"/>
  <c r="Q29" i="4"/>
  <c r="R29" i="4" s="1"/>
  <c r="O29" i="4"/>
  <c r="AL67" i="14" l="1"/>
  <c r="J67" i="14" s="1"/>
  <c r="L65" i="14"/>
  <c r="K45" i="14"/>
  <c r="J45" i="14"/>
  <c r="I45" i="14"/>
  <c r="H45" i="14"/>
  <c r="G45" i="14"/>
  <c r="AI68" i="14" s="1"/>
  <c r="F68" i="14"/>
  <c r="F91" i="14" s="1"/>
  <c r="M91" i="14" s="1"/>
  <c r="L44" i="14"/>
  <c r="N44" i="14" s="1"/>
  <c r="G66" i="14"/>
  <c r="L66" i="14" s="1"/>
  <c r="AN66" i="14"/>
  <c r="I67" i="14"/>
  <c r="B58" i="1"/>
  <c r="H58" i="1" s="1"/>
  <c r="H57" i="1"/>
  <c r="G67" i="14"/>
  <c r="AH45" i="14"/>
  <c r="V68" i="14"/>
  <c r="AH68" i="14"/>
  <c r="AH91" i="14"/>
  <c r="AO91" i="14" s="1"/>
  <c r="V91" i="14"/>
  <c r="AC91" i="14" s="1"/>
  <c r="H67" i="14"/>
  <c r="K67" i="14"/>
  <c r="E29" i="4"/>
  <c r="C29" i="4"/>
  <c r="U28" i="4"/>
  <c r="F28" i="4"/>
  <c r="W28" i="4"/>
  <c r="X28" i="4" s="1"/>
  <c r="Q30" i="4"/>
  <c r="R30" i="4" s="1"/>
  <c r="O30" i="4"/>
  <c r="I30" i="4"/>
  <c r="K30" i="4"/>
  <c r="L30" i="4" s="1"/>
  <c r="H47" i="14" l="1"/>
  <c r="AJ68" i="14"/>
  <c r="I47" i="14"/>
  <c r="AK68" i="14"/>
  <c r="J47" i="14"/>
  <c r="AL68" i="14"/>
  <c r="K47" i="14"/>
  <c r="AM68" i="14"/>
  <c r="AM70" i="14" s="1"/>
  <c r="AK70" i="14"/>
  <c r="AL70" i="14"/>
  <c r="G68" i="14"/>
  <c r="G70" i="14" s="1"/>
  <c r="AI70" i="14"/>
  <c r="L67" i="14"/>
  <c r="AN67" i="14"/>
  <c r="L45" i="14"/>
  <c r="G47" i="14"/>
  <c r="Q31" i="4"/>
  <c r="R31" i="4" s="1"/>
  <c r="O31" i="4"/>
  <c r="I31" i="4"/>
  <c r="K31" i="4"/>
  <c r="L31" i="4" s="1"/>
  <c r="E30" i="4"/>
  <c r="C30" i="4"/>
  <c r="U29" i="4"/>
  <c r="W29" i="4"/>
  <c r="X29" i="4" s="1"/>
  <c r="F29" i="4"/>
  <c r="I68" i="14" l="1"/>
  <c r="I70" i="14" s="1"/>
  <c r="J68" i="14"/>
  <c r="J70" i="14" s="1"/>
  <c r="K68" i="14"/>
  <c r="K70" i="14" s="1"/>
  <c r="N45" i="14"/>
  <c r="L47" i="14"/>
  <c r="H68" i="14"/>
  <c r="H70" i="14" s="1"/>
  <c r="AJ70" i="14"/>
  <c r="AN68" i="14"/>
  <c r="AN70" i="14" s="1"/>
  <c r="C40" i="2"/>
  <c r="W30" i="4"/>
  <c r="X30" i="4" s="1"/>
  <c r="F30" i="4"/>
  <c r="I32" i="4"/>
  <c r="K32" i="4"/>
  <c r="L32" i="4" s="1"/>
  <c r="Q32" i="4"/>
  <c r="R32" i="4" s="1"/>
  <c r="O32" i="4"/>
  <c r="E31" i="4"/>
  <c r="C31" i="4"/>
  <c r="U30" i="4"/>
  <c r="L68" i="14" l="1"/>
  <c r="L70" i="14" s="1"/>
  <c r="D40" i="2"/>
  <c r="G40" i="2"/>
  <c r="E40" i="2"/>
  <c r="F40" i="2"/>
  <c r="W31" i="4"/>
  <c r="X31" i="4" s="1"/>
  <c r="F31" i="4"/>
  <c r="O33" i="4"/>
  <c r="Q33" i="4"/>
  <c r="R33" i="4" s="1"/>
  <c r="K33" i="4"/>
  <c r="L33" i="4" s="1"/>
  <c r="I33" i="4"/>
  <c r="E32" i="4"/>
  <c r="U31" i="4"/>
  <c r="C32" i="4"/>
  <c r="H40" i="2" l="1"/>
  <c r="E33" i="4"/>
  <c r="C33" i="4"/>
  <c r="U32" i="4"/>
  <c r="I34" i="4"/>
  <c r="K34" i="4"/>
  <c r="L34" i="4" s="1"/>
  <c r="F32" i="4"/>
  <c r="W32" i="4"/>
  <c r="X32" i="4" s="1"/>
  <c r="Q34" i="4"/>
  <c r="R34" i="4" s="1"/>
  <c r="O34" i="4"/>
  <c r="C34" i="4" l="1"/>
  <c r="E34" i="4"/>
  <c r="U33" i="4"/>
  <c r="F33" i="4"/>
  <c r="W33" i="4"/>
  <c r="X33" i="4" s="1"/>
  <c r="K35" i="4"/>
  <c r="L35" i="4" s="1"/>
  <c r="I35" i="4"/>
  <c r="Q35" i="4"/>
  <c r="R35" i="4" s="1"/>
  <c r="O35" i="4"/>
  <c r="Q36" i="4" l="1"/>
  <c r="R36" i="4" s="1"/>
  <c r="O36" i="4"/>
  <c r="W34" i="4"/>
  <c r="X34" i="4" s="1"/>
  <c r="F34" i="4"/>
  <c r="I36" i="4"/>
  <c r="K36" i="4"/>
  <c r="L36" i="4" s="1"/>
  <c r="E35" i="4"/>
  <c r="C35" i="4"/>
  <c r="U34" i="4"/>
  <c r="O37" i="4" l="1"/>
  <c r="Q37" i="4"/>
  <c r="R37" i="4" s="1"/>
  <c r="E36" i="4"/>
  <c r="C36" i="4"/>
  <c r="U35" i="4"/>
  <c r="F35" i="4"/>
  <c r="W35" i="4"/>
  <c r="X35" i="4" s="1"/>
  <c r="I37" i="4"/>
  <c r="K37" i="4"/>
  <c r="L37" i="4" s="1"/>
  <c r="K38" i="4" l="1"/>
  <c r="L38" i="4" s="1"/>
  <c r="I38" i="4"/>
  <c r="E37" i="4"/>
  <c r="U36" i="4"/>
  <c r="C37" i="4"/>
  <c r="F36" i="4"/>
  <c r="W36" i="4"/>
  <c r="X36" i="4" s="1"/>
  <c r="O38" i="4"/>
  <c r="Q38" i="4"/>
  <c r="R38" i="4" s="1"/>
  <c r="F37" i="4" l="1"/>
  <c r="W37" i="4"/>
  <c r="X37" i="4" s="1"/>
  <c r="E38" i="4"/>
  <c r="C38" i="4"/>
  <c r="U37" i="4"/>
  <c r="Q39" i="4"/>
  <c r="R39" i="4" s="1"/>
  <c r="O39" i="4"/>
  <c r="K39" i="4"/>
  <c r="L39" i="4" s="1"/>
  <c r="I39" i="4"/>
  <c r="O40" i="4" l="1"/>
  <c r="Q40" i="4"/>
  <c r="R40" i="4" s="1"/>
  <c r="C39" i="4"/>
  <c r="E39" i="4"/>
  <c r="U38" i="4"/>
  <c r="W38" i="4"/>
  <c r="X38" i="4" s="1"/>
  <c r="F38" i="4"/>
  <c r="I40" i="4"/>
  <c r="K40" i="4"/>
  <c r="L40" i="4" s="1"/>
  <c r="W39" i="4" l="1"/>
  <c r="X39" i="4" s="1"/>
  <c r="F39" i="4"/>
  <c r="C40" i="4"/>
  <c r="E40" i="4"/>
  <c r="U39" i="4"/>
  <c r="I41" i="4"/>
  <c r="K41" i="4"/>
  <c r="L41" i="4" s="1"/>
  <c r="Q41" i="4"/>
  <c r="R41" i="4" s="1"/>
  <c r="O41" i="4"/>
  <c r="C41" i="4" l="1"/>
  <c r="E41" i="4"/>
  <c r="U40" i="4"/>
  <c r="F40" i="4"/>
  <c r="W40" i="4"/>
  <c r="X40" i="4" s="1"/>
  <c r="K42" i="4"/>
  <c r="L42" i="4" s="1"/>
  <c r="I42" i="4"/>
  <c r="O42" i="4"/>
  <c r="Q42" i="4"/>
  <c r="R42" i="4" s="1"/>
  <c r="I43" i="4" l="1"/>
  <c r="K43" i="4"/>
  <c r="L43" i="4" s="1"/>
  <c r="W41" i="4"/>
  <c r="X41" i="4" s="1"/>
  <c r="F41" i="4"/>
  <c r="O43" i="4"/>
  <c r="Q43" i="4"/>
  <c r="R43" i="4" s="1"/>
  <c r="E42" i="4"/>
  <c r="C42" i="4"/>
  <c r="U41" i="4"/>
  <c r="W42" i="4" l="1"/>
  <c r="X42" i="4" s="1"/>
  <c r="F42" i="4"/>
  <c r="C43" i="4"/>
  <c r="E43" i="4"/>
  <c r="U42" i="4"/>
  <c r="Q44" i="4"/>
  <c r="R44" i="4" s="1"/>
  <c r="O44" i="4"/>
  <c r="I44" i="4"/>
  <c r="K44" i="4"/>
  <c r="L44" i="4" s="1"/>
  <c r="O45" i="4" l="1"/>
  <c r="Q45" i="4"/>
  <c r="R45" i="4" s="1"/>
  <c r="C44" i="4"/>
  <c r="U43" i="4"/>
  <c r="E44" i="4"/>
  <c r="I45" i="4"/>
  <c r="K45" i="4"/>
  <c r="L45" i="4" s="1"/>
  <c r="F43" i="4"/>
  <c r="W43" i="4"/>
  <c r="X43" i="4" s="1"/>
  <c r="I46" i="4" l="1"/>
  <c r="K46" i="4"/>
  <c r="L46" i="4" s="1"/>
  <c r="E45" i="4"/>
  <c r="C45" i="4"/>
  <c r="U44" i="4"/>
  <c r="W44" i="4"/>
  <c r="X44" i="4" s="1"/>
  <c r="F44" i="4"/>
  <c r="Q46" i="4"/>
  <c r="R46" i="4" s="1"/>
  <c r="O46" i="4"/>
  <c r="W45" i="4" l="1"/>
  <c r="X45" i="4" s="1"/>
  <c r="F45" i="4"/>
  <c r="C46" i="4"/>
  <c r="E46" i="4"/>
  <c r="U45" i="4"/>
  <c r="O47" i="4"/>
  <c r="Q47" i="4"/>
  <c r="R47" i="4" s="1"/>
  <c r="I47" i="4"/>
  <c r="K47" i="4"/>
  <c r="L47" i="4" s="1"/>
  <c r="U46" i="4" l="1"/>
  <c r="E47" i="4"/>
  <c r="C47" i="4"/>
  <c r="Q48" i="4"/>
  <c r="R48" i="4" s="1"/>
  <c r="O48" i="4"/>
  <c r="F46" i="4"/>
  <c r="W46" i="4"/>
  <c r="X46" i="4" s="1"/>
  <c r="I48" i="4"/>
  <c r="K48" i="4"/>
  <c r="L48" i="4" s="1"/>
  <c r="C48" i="4" l="1"/>
  <c r="E48" i="4"/>
  <c r="U47" i="4"/>
  <c r="F47" i="4"/>
  <c r="W47" i="4"/>
  <c r="X47" i="4" s="1"/>
  <c r="I49" i="4"/>
  <c r="K49" i="4"/>
  <c r="L49" i="4" s="1"/>
  <c r="Q49" i="4"/>
  <c r="R49" i="4" s="1"/>
  <c r="O49" i="4"/>
  <c r="I50" i="4" l="1"/>
  <c r="K50" i="4"/>
  <c r="L50" i="4" s="1"/>
  <c r="W48" i="4"/>
  <c r="X48" i="4" s="1"/>
  <c r="F48" i="4"/>
  <c r="Q50" i="4"/>
  <c r="R50" i="4" s="1"/>
  <c r="O50" i="4"/>
  <c r="E49" i="4"/>
  <c r="C49" i="4"/>
  <c r="U48" i="4"/>
  <c r="F49" i="4" l="1"/>
  <c r="W49" i="4"/>
  <c r="X49" i="4" s="1"/>
  <c r="E50" i="4"/>
  <c r="C50" i="4"/>
  <c r="U49" i="4"/>
  <c r="O51" i="4"/>
  <c r="Q51" i="4"/>
  <c r="R51" i="4" s="1"/>
  <c r="I51" i="4"/>
  <c r="K51" i="4"/>
  <c r="L51" i="4" s="1"/>
  <c r="I52" i="4" l="1"/>
  <c r="K52" i="4"/>
  <c r="L52" i="4" s="1"/>
  <c r="F50" i="4"/>
  <c r="W50" i="4"/>
  <c r="X50" i="4" s="1"/>
  <c r="O52" i="4"/>
  <c r="Q52" i="4"/>
  <c r="R52" i="4" s="1"/>
  <c r="E51" i="4"/>
  <c r="C51" i="4"/>
  <c r="U50" i="4"/>
  <c r="C52" i="4" l="1"/>
  <c r="E52" i="4"/>
  <c r="U51" i="4"/>
  <c r="Q53" i="4"/>
  <c r="R53" i="4" s="1"/>
  <c r="O53" i="4"/>
  <c r="F51" i="4"/>
  <c r="W51" i="4"/>
  <c r="X51" i="4" s="1"/>
  <c r="K53" i="4"/>
  <c r="L53" i="4" s="1"/>
  <c r="I53" i="4"/>
  <c r="Q54" i="4" l="1"/>
  <c r="R54" i="4" s="1"/>
  <c r="O54" i="4"/>
  <c r="F52" i="4"/>
  <c r="W52" i="4"/>
  <c r="X52" i="4" s="1"/>
  <c r="I54" i="4"/>
  <c r="K54" i="4"/>
  <c r="L54" i="4" s="1"/>
  <c r="C53" i="4"/>
  <c r="E53" i="4"/>
  <c r="U52" i="4"/>
  <c r="W53" i="4" l="1"/>
  <c r="X53" i="4" s="1"/>
  <c r="F53" i="4"/>
  <c r="I55" i="4"/>
  <c r="K55" i="4"/>
  <c r="L55" i="4" s="1"/>
  <c r="Q55" i="4"/>
  <c r="R55" i="4" s="1"/>
  <c r="O55" i="4"/>
  <c r="E54" i="4"/>
  <c r="U53" i="4"/>
  <c r="C54" i="4"/>
  <c r="I56" i="4" l="1"/>
  <c r="K56" i="4"/>
  <c r="L56" i="4" s="1"/>
  <c r="O56" i="4"/>
  <c r="Q56" i="4"/>
  <c r="R56" i="4" s="1"/>
  <c r="F54" i="4"/>
  <c r="W54" i="4"/>
  <c r="X54" i="4" s="1"/>
  <c r="C55" i="4"/>
  <c r="E55" i="4"/>
  <c r="U54" i="4"/>
  <c r="C56" i="4" l="1"/>
  <c r="U55" i="4"/>
  <c r="E56" i="4"/>
  <c r="O57" i="4"/>
  <c r="Q57" i="4"/>
  <c r="R57" i="4" s="1"/>
  <c r="F55" i="4"/>
  <c r="W55" i="4"/>
  <c r="X55" i="4" s="1"/>
  <c r="I57" i="4"/>
  <c r="K57" i="4"/>
  <c r="L57" i="4" s="1"/>
  <c r="K58" i="4" l="1"/>
  <c r="L58" i="4" s="1"/>
  <c r="I58" i="4"/>
  <c r="Q58" i="4"/>
  <c r="R58" i="4" s="1"/>
  <c r="O58" i="4"/>
  <c r="F56" i="4"/>
  <c r="W56" i="4"/>
  <c r="X56" i="4" s="1"/>
  <c r="C57" i="4"/>
  <c r="E57" i="4"/>
  <c r="U56" i="4"/>
  <c r="F57" i="4" l="1"/>
  <c r="W57" i="4"/>
  <c r="X57" i="4" s="1"/>
  <c r="Q59" i="4"/>
  <c r="R59" i="4" s="1"/>
  <c r="O59" i="4"/>
  <c r="K59" i="4"/>
  <c r="L59" i="4" s="1"/>
  <c r="I59" i="4"/>
  <c r="C58" i="4"/>
  <c r="E58" i="4"/>
  <c r="U57" i="4"/>
  <c r="I60" i="4" l="1"/>
  <c r="K60" i="4"/>
  <c r="L60" i="4" s="1"/>
  <c r="W58" i="4"/>
  <c r="X58" i="4" s="1"/>
  <c r="F58" i="4"/>
  <c r="C59" i="4"/>
  <c r="U58" i="4"/>
  <c r="E59" i="4"/>
  <c r="Q60" i="4"/>
  <c r="R60" i="4" s="1"/>
  <c r="O60" i="4"/>
  <c r="C60" i="4" l="1"/>
  <c r="E60" i="4"/>
  <c r="U59" i="4"/>
  <c r="F59" i="4"/>
  <c r="W59" i="4"/>
  <c r="X59" i="4" s="1"/>
  <c r="O61" i="4"/>
  <c r="Q61" i="4"/>
  <c r="R61" i="4" s="1"/>
  <c r="I61" i="4"/>
  <c r="K61" i="4"/>
  <c r="L61" i="4" s="1"/>
  <c r="O62" i="4" l="1"/>
  <c r="Q62" i="4"/>
  <c r="R62" i="4" s="1"/>
  <c r="I62" i="4"/>
  <c r="K62" i="4"/>
  <c r="L62" i="4" s="1"/>
  <c r="F60" i="4"/>
  <c r="W60" i="4"/>
  <c r="X60" i="4" s="1"/>
  <c r="U60" i="4"/>
  <c r="C61" i="4"/>
  <c r="E61" i="4"/>
  <c r="K63" i="4" l="1"/>
  <c r="L63" i="4" s="1"/>
  <c r="I63" i="4"/>
  <c r="C62" i="4"/>
  <c r="E62" i="4"/>
  <c r="U61" i="4"/>
  <c r="F61" i="4"/>
  <c r="W61" i="4"/>
  <c r="X61" i="4" s="1"/>
  <c r="O63" i="4"/>
  <c r="Q63" i="4"/>
  <c r="R63" i="4" s="1"/>
  <c r="O64" i="4" l="1"/>
  <c r="Q64" i="4"/>
  <c r="R64" i="4" s="1"/>
  <c r="C63" i="4"/>
  <c r="E63" i="4"/>
  <c r="U62" i="4"/>
  <c r="K64" i="4"/>
  <c r="L64" i="4" s="1"/>
  <c r="I64" i="4"/>
  <c r="F62" i="4"/>
  <c r="W62" i="4"/>
  <c r="X62" i="4" s="1"/>
  <c r="K65" i="4" l="1"/>
  <c r="L65" i="4" s="1"/>
  <c r="I65" i="4"/>
  <c r="F63" i="4"/>
  <c r="W63" i="4"/>
  <c r="X63" i="4" s="1"/>
  <c r="C64" i="4"/>
  <c r="E64" i="4"/>
  <c r="U63" i="4"/>
  <c r="O65" i="4"/>
  <c r="Q65" i="4"/>
  <c r="R65" i="4" s="1"/>
  <c r="O66" i="4" l="1"/>
  <c r="Q66" i="4"/>
  <c r="R66" i="4" s="1"/>
  <c r="E65" i="4"/>
  <c r="U64" i="4"/>
  <c r="C65" i="4"/>
  <c r="K66" i="4"/>
  <c r="L66" i="4" s="1"/>
  <c r="I66" i="4"/>
  <c r="F64" i="4"/>
  <c r="W64" i="4"/>
  <c r="X64" i="4" s="1"/>
  <c r="K67" i="4" l="1"/>
  <c r="L67" i="4" s="1"/>
  <c r="I67" i="4"/>
  <c r="F65" i="4"/>
  <c r="W65" i="4"/>
  <c r="X65" i="4" s="1"/>
  <c r="C66" i="4"/>
  <c r="U65" i="4"/>
  <c r="E66" i="4"/>
  <c r="O67" i="4"/>
  <c r="Q67" i="4"/>
  <c r="R67" i="4" s="1"/>
  <c r="C67" i="4" l="1"/>
  <c r="E67" i="4"/>
  <c r="U66" i="4"/>
  <c r="I68" i="4"/>
  <c r="K68" i="4"/>
  <c r="L68" i="4" s="1"/>
  <c r="Q68" i="4"/>
  <c r="R68" i="4" s="1"/>
  <c r="O68" i="4"/>
  <c r="F66" i="4"/>
  <c r="W66" i="4"/>
  <c r="X66" i="4" s="1"/>
  <c r="O69" i="4" l="1"/>
  <c r="Q69" i="4"/>
  <c r="R69" i="4" s="1"/>
  <c r="I69" i="4"/>
  <c r="K69" i="4"/>
  <c r="L69" i="4" s="1"/>
  <c r="W67" i="4"/>
  <c r="X67" i="4" s="1"/>
  <c r="F67" i="4"/>
  <c r="C68" i="4"/>
  <c r="E68" i="4"/>
  <c r="U67" i="4"/>
  <c r="F68" i="4" l="1"/>
  <c r="W68" i="4"/>
  <c r="X68" i="4" s="1"/>
  <c r="I70" i="4"/>
  <c r="K70" i="4"/>
  <c r="L70" i="4" s="1"/>
  <c r="C69" i="4"/>
  <c r="E69" i="4"/>
  <c r="U68" i="4"/>
  <c r="Q70" i="4"/>
  <c r="R70" i="4" s="1"/>
  <c r="O70" i="4"/>
  <c r="U69" i="4" l="1"/>
  <c r="C70" i="4"/>
  <c r="E70" i="4"/>
  <c r="I71" i="4"/>
  <c r="K71" i="4"/>
  <c r="L71" i="4" s="1"/>
  <c r="F69" i="4"/>
  <c r="W69" i="4"/>
  <c r="X69" i="4" s="1"/>
  <c r="Q71" i="4"/>
  <c r="R71" i="4" s="1"/>
  <c r="O71" i="4"/>
  <c r="I72" i="4" l="1"/>
  <c r="K72" i="4"/>
  <c r="L72" i="4" s="1"/>
  <c r="W70" i="4"/>
  <c r="X70" i="4" s="1"/>
  <c r="F70" i="4"/>
  <c r="E71" i="4"/>
  <c r="U70" i="4"/>
  <c r="C71" i="4"/>
  <c r="O72" i="4"/>
  <c r="Q72" i="4"/>
  <c r="R72" i="4" s="1"/>
  <c r="E72" i="4" l="1"/>
  <c r="U71" i="4"/>
  <c r="C72" i="4"/>
  <c r="Q73" i="4"/>
  <c r="R73" i="4" s="1"/>
  <c r="O73" i="4"/>
  <c r="F71" i="4"/>
  <c r="W71" i="4"/>
  <c r="X71" i="4" s="1"/>
  <c r="K73" i="4"/>
  <c r="L73" i="4" s="1"/>
  <c r="I73" i="4"/>
  <c r="Q74" i="4" l="1"/>
  <c r="R74" i="4" s="1"/>
  <c r="O74" i="4"/>
  <c r="E73" i="4"/>
  <c r="U72" i="4"/>
  <c r="C73" i="4"/>
  <c r="K74" i="4"/>
  <c r="L74" i="4" s="1"/>
  <c r="I74" i="4"/>
  <c r="W72" i="4"/>
  <c r="X72" i="4" s="1"/>
  <c r="F72" i="4"/>
  <c r="U73" i="4" l="1"/>
  <c r="E74" i="4"/>
  <c r="C74" i="4"/>
  <c r="F73" i="4"/>
  <c r="W73" i="4"/>
  <c r="X73" i="4" s="1"/>
  <c r="I75" i="4"/>
  <c r="K75" i="4"/>
  <c r="L75" i="4" s="1"/>
  <c r="Q75" i="4"/>
  <c r="R75" i="4" s="1"/>
  <c r="O75" i="4"/>
  <c r="U74" i="4" l="1"/>
  <c r="E75" i="4"/>
  <c r="C75" i="4"/>
  <c r="F74" i="4"/>
  <c r="W74" i="4"/>
  <c r="X74" i="4" s="1"/>
  <c r="I76" i="4"/>
  <c r="K76" i="4"/>
  <c r="L76" i="4" s="1"/>
  <c r="Q76" i="4"/>
  <c r="R76" i="4" s="1"/>
  <c r="O76" i="4"/>
  <c r="E76" i="4" l="1"/>
  <c r="C76" i="4"/>
  <c r="U75" i="4"/>
  <c r="F75" i="4"/>
  <c r="W75" i="4"/>
  <c r="X75" i="4" s="1"/>
  <c r="I77" i="4"/>
  <c r="K77" i="4"/>
  <c r="L77" i="4" s="1"/>
  <c r="Q77" i="4"/>
  <c r="R77" i="4" s="1"/>
  <c r="O77" i="4"/>
  <c r="K78" i="4" l="1"/>
  <c r="L78" i="4" s="1"/>
  <c r="I78" i="4"/>
  <c r="C77" i="4"/>
  <c r="E77" i="4"/>
  <c r="U76" i="4"/>
  <c r="Q78" i="4"/>
  <c r="R78" i="4" s="1"/>
  <c r="O78" i="4"/>
  <c r="F76" i="4"/>
  <c r="W76" i="4"/>
  <c r="X76" i="4" s="1"/>
  <c r="Q79" i="4" l="1"/>
  <c r="R79" i="4" s="1"/>
  <c r="O79" i="4"/>
  <c r="U77" i="4"/>
  <c r="E78" i="4"/>
  <c r="C78" i="4"/>
  <c r="W77" i="4"/>
  <c r="X77" i="4" s="1"/>
  <c r="F77" i="4"/>
  <c r="I79" i="4"/>
  <c r="K79" i="4"/>
  <c r="L79" i="4" s="1"/>
  <c r="I80" i="4" l="1"/>
  <c r="K80" i="4"/>
  <c r="L80" i="4" s="1"/>
  <c r="U78" i="4"/>
  <c r="E79" i="4"/>
  <c r="C79" i="4"/>
  <c r="W78" i="4"/>
  <c r="X78" i="4" s="1"/>
  <c r="F78" i="4"/>
  <c r="Q80" i="4"/>
  <c r="R80" i="4" s="1"/>
  <c r="O80" i="4"/>
  <c r="C80" i="4" l="1"/>
  <c r="U80" i="4" s="1"/>
  <c r="E80" i="4"/>
  <c r="U79" i="4"/>
  <c r="F79" i="4"/>
  <c r="W79" i="4"/>
  <c r="X79" i="4" s="1"/>
  <c r="F80" i="4" l="1"/>
  <c r="W80" i="4"/>
  <c r="X80" i="4" s="1"/>
  <c r="E9" i="2"/>
  <c r="H45" i="5" s="1"/>
  <c r="I45" i="5" s="1"/>
  <c r="E25" i="1" l="1"/>
  <c r="H65" i="9" l="1"/>
  <c r="C66" i="9" s="1"/>
  <c r="C72" i="9" l="1"/>
  <c r="C71" i="9"/>
  <c r="C75" i="9"/>
  <c r="F37" i="5"/>
  <c r="E66" i="9"/>
  <c r="D66" i="9"/>
  <c r="D71" i="9" s="1"/>
  <c r="G66" i="9"/>
  <c r="F66" i="9"/>
  <c r="G72" i="9" l="1"/>
  <c r="G75" i="9"/>
  <c r="G71" i="9"/>
  <c r="G37" i="5"/>
  <c r="I37" i="5"/>
  <c r="F71" i="9"/>
  <c r="F75" i="9"/>
  <c r="F72" i="9"/>
  <c r="D75" i="9"/>
  <c r="D72" i="9"/>
  <c r="E72" i="9"/>
  <c r="E75" i="9"/>
  <c r="E71" i="9"/>
  <c r="E33" i="9"/>
  <c r="E34" i="9" s="1"/>
  <c r="E26" i="2" l="1"/>
  <c r="O8" i="14"/>
  <c r="C74" i="9"/>
  <c r="C77" i="9" s="1"/>
  <c r="E28" i="2" l="1"/>
  <c r="E29" i="2" s="1"/>
  <c r="F26" i="2"/>
  <c r="F28" i="2" s="1"/>
  <c r="F29" i="2" s="1"/>
  <c r="C38" i="9"/>
  <c r="H26" i="2"/>
  <c r="G74" i="9"/>
  <c r="G77" i="9" s="1"/>
  <c r="F74" i="9"/>
  <c r="F77" i="9" s="1"/>
  <c r="E74" i="9"/>
  <c r="E77" i="9" s="1"/>
  <c r="E38" i="9" l="1"/>
  <c r="J26" i="2"/>
  <c r="D74" i="9"/>
  <c r="D77" i="9" s="1"/>
  <c r="G38" i="9"/>
  <c r="L26" i="2"/>
  <c r="L29" i="2" s="1"/>
  <c r="G36" i="2" s="1"/>
  <c r="K26" i="2"/>
  <c r="F38" i="9"/>
  <c r="H30" i="2"/>
  <c r="H29" i="2"/>
  <c r="C41" i="9" l="1"/>
  <c r="C36" i="2"/>
  <c r="K29" i="2"/>
  <c r="F36" i="2" s="1"/>
  <c r="K30" i="2"/>
  <c r="F37" i="2" s="1"/>
  <c r="C37" i="2"/>
  <c r="L30" i="2"/>
  <c r="G37" i="2" s="1"/>
  <c r="D53" i="2" s="1"/>
  <c r="E53" i="2" s="1"/>
  <c r="J30" i="2"/>
  <c r="E37" i="2" s="1"/>
  <c r="J29" i="2"/>
  <c r="E36" i="2" s="1"/>
  <c r="D38" i="9"/>
  <c r="H38" i="9" s="1"/>
  <c r="I26" i="2"/>
  <c r="G38" i="2" l="1"/>
  <c r="AM76" i="14" s="1"/>
  <c r="E38" i="2"/>
  <c r="AK76" i="14" s="1"/>
  <c r="I30" i="2"/>
  <c r="I29" i="2"/>
  <c r="N26" i="2"/>
  <c r="F38" i="2"/>
  <c r="C38" i="2"/>
  <c r="E46" i="2" l="1"/>
  <c r="G46" i="2"/>
  <c r="C54" i="2"/>
  <c r="D54" i="2" s="1"/>
  <c r="E54" i="2" s="1"/>
  <c r="AL76" i="14"/>
  <c r="F46" i="2"/>
  <c r="AM82" i="14"/>
  <c r="K82" i="14" s="1"/>
  <c r="AM81" i="14"/>
  <c r="K81" i="14" s="1"/>
  <c r="AM86" i="14"/>
  <c r="K86" i="14" s="1"/>
  <c r="AM85" i="14"/>
  <c r="K85" i="14" s="1"/>
  <c r="AM91" i="14"/>
  <c r="K91" i="14" s="1"/>
  <c r="AM87" i="14"/>
  <c r="K87" i="14" s="1"/>
  <c r="AM89" i="14"/>
  <c r="K89" i="14" s="1"/>
  <c r="AM83" i="14"/>
  <c r="K83" i="14" s="1"/>
  <c r="AM80" i="14"/>
  <c r="K80" i="14" s="1"/>
  <c r="AM90" i="14"/>
  <c r="K90" i="14" s="1"/>
  <c r="AM79" i="14"/>
  <c r="AM88" i="14"/>
  <c r="K88" i="14" s="1"/>
  <c r="AM84" i="14"/>
  <c r="K84" i="14" s="1"/>
  <c r="C41" i="2"/>
  <c r="AK90" i="14"/>
  <c r="I90" i="14" s="1"/>
  <c r="AK89" i="14"/>
  <c r="I89" i="14" s="1"/>
  <c r="AK82" i="14"/>
  <c r="I82" i="14" s="1"/>
  <c r="AK81" i="14"/>
  <c r="I81" i="14" s="1"/>
  <c r="AK84" i="14"/>
  <c r="I84" i="14" s="1"/>
  <c r="AK85" i="14"/>
  <c r="I85" i="14" s="1"/>
  <c r="AK79" i="14"/>
  <c r="AK83" i="14"/>
  <c r="I83" i="14" s="1"/>
  <c r="AK86" i="14"/>
  <c r="I86" i="14" s="1"/>
  <c r="AK91" i="14"/>
  <c r="I91" i="14" s="1"/>
  <c r="AK88" i="14"/>
  <c r="I88" i="14" s="1"/>
  <c r="AK80" i="14"/>
  <c r="I80" i="14" s="1"/>
  <c r="AK87" i="14"/>
  <c r="I87" i="14" s="1"/>
  <c r="C46" i="2"/>
  <c r="AI76" i="14"/>
  <c r="O26" i="2"/>
  <c r="D36" i="2"/>
  <c r="N29" i="2"/>
  <c r="O29" i="2" s="1"/>
  <c r="D37" i="2"/>
  <c r="N30" i="2"/>
  <c r="AI35" i="14" l="1"/>
  <c r="AI36" i="14"/>
  <c r="AI37" i="14"/>
  <c r="AI38" i="14"/>
  <c r="AI39" i="14"/>
  <c r="AI40" i="14"/>
  <c r="AI41" i="14"/>
  <c r="AI42" i="14"/>
  <c r="AI43" i="14"/>
  <c r="AI44" i="14"/>
  <c r="AI45" i="14"/>
  <c r="AM35" i="14"/>
  <c r="AM36" i="14"/>
  <c r="AM37" i="14"/>
  <c r="AM38" i="14"/>
  <c r="AM39" i="14"/>
  <c r="AM40" i="14"/>
  <c r="AM41" i="14"/>
  <c r="AM42" i="14"/>
  <c r="AM43" i="14"/>
  <c r="AM44" i="14"/>
  <c r="AM45" i="14"/>
  <c r="AL35" i="14"/>
  <c r="AL36" i="14"/>
  <c r="AL37" i="14"/>
  <c r="AL38" i="14"/>
  <c r="AL39" i="14"/>
  <c r="AL40" i="14"/>
  <c r="AL41" i="14"/>
  <c r="AL42" i="14"/>
  <c r="AL43" i="14"/>
  <c r="AL44" i="14"/>
  <c r="AL45" i="14"/>
  <c r="AK35" i="14"/>
  <c r="AK36" i="14"/>
  <c r="AK37" i="14"/>
  <c r="AK38" i="14"/>
  <c r="AK39" i="14"/>
  <c r="AK40" i="14"/>
  <c r="AK41" i="14"/>
  <c r="AK42" i="14"/>
  <c r="AK43" i="14"/>
  <c r="AK44" i="14"/>
  <c r="AK45" i="14"/>
  <c r="D63" i="5"/>
  <c r="D64" i="5"/>
  <c r="D60" i="5"/>
  <c r="D62" i="5"/>
  <c r="D38" i="2"/>
  <c r="D46" i="2" s="1"/>
  <c r="AM93" i="14"/>
  <c r="K79" i="14"/>
  <c r="K93" i="14" s="1"/>
  <c r="AK93" i="14"/>
  <c r="I79" i="14"/>
  <c r="I93" i="14" s="1"/>
  <c r="AI79" i="14"/>
  <c r="AI80" i="14"/>
  <c r="AI83" i="14"/>
  <c r="AI87" i="14"/>
  <c r="AI88" i="14"/>
  <c r="AI84" i="14"/>
  <c r="AI89" i="14"/>
  <c r="AI85" i="14"/>
  <c r="AI82" i="14"/>
  <c r="AI90" i="14"/>
  <c r="AI91" i="14"/>
  <c r="AI81" i="14"/>
  <c r="AI86" i="14"/>
  <c r="AL86" i="14"/>
  <c r="J86" i="14" s="1"/>
  <c r="AL87" i="14"/>
  <c r="J87" i="14" s="1"/>
  <c r="AL89" i="14"/>
  <c r="J89" i="14" s="1"/>
  <c r="AL90" i="14"/>
  <c r="J90" i="14" s="1"/>
  <c r="AL83" i="14"/>
  <c r="J83" i="14" s="1"/>
  <c r="AL91" i="14"/>
  <c r="J91" i="14" s="1"/>
  <c r="AL88" i="14"/>
  <c r="J88" i="14" s="1"/>
  <c r="AL80" i="14"/>
  <c r="J80" i="14" s="1"/>
  <c r="AL82" i="14"/>
  <c r="J82" i="14" s="1"/>
  <c r="AL84" i="14"/>
  <c r="J84" i="14" s="1"/>
  <c r="AL85" i="14"/>
  <c r="J85" i="14" s="1"/>
  <c r="AL79" i="14"/>
  <c r="AL81" i="14"/>
  <c r="J81" i="14" s="1"/>
  <c r="AK47" i="14" l="1"/>
  <c r="AM47" i="14"/>
  <c r="AL47" i="14"/>
  <c r="AJ35" i="14"/>
  <c r="AJ36" i="14"/>
  <c r="AN36" i="14" s="1"/>
  <c r="AJ37" i="14"/>
  <c r="AN37" i="14" s="1"/>
  <c r="AJ38" i="14"/>
  <c r="AN38" i="14" s="1"/>
  <c r="AJ39" i="14"/>
  <c r="AN39" i="14" s="1"/>
  <c r="AJ40" i="14"/>
  <c r="AN40" i="14" s="1"/>
  <c r="AJ41" i="14"/>
  <c r="AN41" i="14" s="1"/>
  <c r="AJ42" i="14"/>
  <c r="AN42" i="14" s="1"/>
  <c r="AJ43" i="14"/>
  <c r="AN43" i="14" s="1"/>
  <c r="AJ44" i="14"/>
  <c r="AN44" i="14" s="1"/>
  <c r="AJ45" i="14"/>
  <c r="AN45" i="14" s="1"/>
  <c r="AI47" i="14"/>
  <c r="D61" i="5"/>
  <c r="AJ76" i="14"/>
  <c r="AJ87" i="14" s="1"/>
  <c r="H87" i="14" s="1"/>
  <c r="G86" i="14"/>
  <c r="G91" i="14"/>
  <c r="G90" i="14"/>
  <c r="G82" i="14"/>
  <c r="J79" i="14"/>
  <c r="J93" i="14" s="1"/>
  <c r="AL93" i="14"/>
  <c r="G83" i="14"/>
  <c r="G81" i="14"/>
  <c r="AI93" i="14"/>
  <c r="G79" i="14"/>
  <c r="G88" i="14"/>
  <c r="G85" i="14"/>
  <c r="G84" i="14"/>
  <c r="G87" i="14"/>
  <c r="G80" i="14"/>
  <c r="G89" i="14"/>
  <c r="AJ47" i="14" l="1"/>
  <c r="AN35" i="14"/>
  <c r="AN47" i="14" s="1"/>
  <c r="AJ83" i="14"/>
  <c r="H83" i="14" s="1"/>
  <c r="L83" i="14" s="1"/>
  <c r="AJ84" i="14"/>
  <c r="H84" i="14" s="1"/>
  <c r="L84" i="14" s="1"/>
  <c r="AJ86" i="14"/>
  <c r="H86" i="14" s="1"/>
  <c r="L86" i="14" s="1"/>
  <c r="AJ90" i="14"/>
  <c r="H90" i="14" s="1"/>
  <c r="L90" i="14" s="1"/>
  <c r="AJ80" i="14"/>
  <c r="H80" i="14" s="1"/>
  <c r="L80" i="14" s="1"/>
  <c r="AJ88" i="14"/>
  <c r="H88" i="14" s="1"/>
  <c r="AJ85" i="14"/>
  <c r="H85" i="14" s="1"/>
  <c r="L85" i="14" s="1"/>
  <c r="H14" i="14" s="1"/>
  <c r="AJ82" i="14"/>
  <c r="H82" i="14" s="1"/>
  <c r="L82" i="14" s="1"/>
  <c r="AJ81" i="14"/>
  <c r="H81" i="14" s="1"/>
  <c r="L81" i="14" s="1"/>
  <c r="H10" i="14" s="1"/>
  <c r="AJ79" i="14"/>
  <c r="AN79" i="14" s="1"/>
  <c r="AJ91" i="14"/>
  <c r="H91" i="14" s="1"/>
  <c r="L91" i="14" s="1"/>
  <c r="H20" i="14" s="1"/>
  <c r="AJ89" i="14"/>
  <c r="H89" i="14" s="1"/>
  <c r="L89" i="14" s="1"/>
  <c r="L88" i="14"/>
  <c r="H17" i="14" s="1"/>
  <c r="AN88" i="14"/>
  <c r="AN82" i="14"/>
  <c r="L87" i="14"/>
  <c r="AN87" i="14"/>
  <c r="G93" i="14"/>
  <c r="AN81" i="14" l="1"/>
  <c r="AN84" i="14"/>
  <c r="AN83" i="14"/>
  <c r="AN85" i="14"/>
  <c r="AN86" i="14"/>
  <c r="H79" i="14"/>
  <c r="L79" i="14" s="1"/>
  <c r="N84" i="14" s="1"/>
  <c r="AN80" i="14"/>
  <c r="AN90" i="14"/>
  <c r="AN89" i="14"/>
  <c r="AN91" i="14"/>
  <c r="AJ93" i="14"/>
  <c r="H19" i="14"/>
  <c r="H15" i="14"/>
  <c r="H18" i="14"/>
  <c r="H11" i="14"/>
  <c r="H16" i="14"/>
  <c r="H13" i="14"/>
  <c r="H12" i="14"/>
  <c r="H9" i="14"/>
  <c r="AP79" i="14" l="1"/>
  <c r="AP81" i="14"/>
  <c r="H93" i="14"/>
  <c r="AP86" i="14"/>
  <c r="AP84" i="14"/>
  <c r="N82" i="14"/>
  <c r="N87" i="14"/>
  <c r="AP91" i="14"/>
  <c r="AP87" i="14"/>
  <c r="AP80" i="14"/>
  <c r="AP90" i="14"/>
  <c r="AP88" i="14"/>
  <c r="AP89" i="14"/>
  <c r="AP85" i="14"/>
  <c r="AP82" i="14"/>
  <c r="AN93" i="14"/>
  <c r="AP83" i="14"/>
  <c r="N91" i="14"/>
  <c r="H8" i="14"/>
  <c r="L93" i="14"/>
  <c r="N79" i="14"/>
  <c r="N81" i="14"/>
  <c r="N88" i="14"/>
  <c r="N85" i="14"/>
  <c r="N80" i="14"/>
  <c r="N83" i="14"/>
  <c r="N90" i="14"/>
  <c r="N89" i="14"/>
  <c r="N86" i="14"/>
  <c r="AP93" i="14" l="1"/>
  <c r="P8" i="14"/>
  <c r="O9" i="14" s="1"/>
  <c r="F39" i="5"/>
  <c r="G39" i="5" s="1"/>
  <c r="P10" i="14"/>
  <c r="O11" i="14" s="1"/>
  <c r="P19" i="14"/>
  <c r="O20" i="14" s="1"/>
  <c r="P13" i="14"/>
  <c r="O14" i="14" s="1"/>
  <c r="H22" i="14"/>
  <c r="P18" i="14"/>
  <c r="O19" i="14" s="1"/>
  <c r="P12" i="14"/>
  <c r="O13" i="14" s="1"/>
  <c r="P14" i="14"/>
  <c r="O15" i="14" s="1"/>
  <c r="P20" i="14"/>
  <c r="P11" i="14"/>
  <c r="O12" i="14" s="1"/>
  <c r="P15" i="14"/>
  <c r="O16" i="14" s="1"/>
  <c r="P9" i="14"/>
  <c r="P16" i="14"/>
  <c r="O17" i="14" s="1"/>
  <c r="P17" i="14"/>
  <c r="O18" i="14" s="1"/>
  <c r="N93" i="14"/>
  <c r="O10" i="14" l="1"/>
  <c r="Q9" i="14"/>
  <c r="Q10" i="14" s="1"/>
  <c r="Q11" i="14" s="1"/>
  <c r="Q12" i="14" s="1"/>
  <c r="Q13" i="14" s="1"/>
  <c r="Q14" i="14" s="1"/>
  <c r="Q15" i="14" s="1"/>
  <c r="Q16" i="14" s="1"/>
  <c r="Q17" i="14" s="1"/>
  <c r="Q18" i="14" s="1"/>
  <c r="Q19" i="14" s="1"/>
  <c r="Q20" i="14" s="1"/>
</calcChain>
</file>

<file path=xl/sharedStrings.xml><?xml version="1.0" encoding="utf-8"?>
<sst xmlns="http://schemas.openxmlformats.org/spreadsheetml/2006/main" count="414" uniqueCount="269">
  <si>
    <t>ODFA (OG&amp;E) Series 2022 WES Charge True-up Calculation Inputs</t>
  </si>
  <si>
    <t>Calculation date</t>
  </si>
  <si>
    <t>Input Values</t>
  </si>
  <si>
    <t>All Periods</t>
  </si>
  <si>
    <t>Period 1</t>
  </si>
  <si>
    <t>Period 2</t>
  </si>
  <si>
    <t>New WES Charge Effective Date</t>
  </si>
  <si>
    <t>Next Payment Dates</t>
  </si>
  <si>
    <t>Prior Payment Dates</t>
  </si>
  <si>
    <t>Expected Write-offs (%)</t>
  </si>
  <si>
    <t>Collection Curve - month 0</t>
  </si>
  <si>
    <t>Collection Curve - month 1</t>
  </si>
  <si>
    <t>Collection Curve - month 2</t>
  </si>
  <si>
    <t>Average Days Sales Outstanding</t>
  </si>
  <si>
    <t>Ramp Assumption</t>
  </si>
  <si>
    <t>Delayed Billing</t>
  </si>
  <si>
    <t>WES Charge Ramp - month 0</t>
  </si>
  <si>
    <t>WES Charge Ramp - month 1</t>
  </si>
  <si>
    <t>WES Charge Ramp - month 2</t>
  </si>
  <si>
    <t>Account Balances</t>
  </si>
  <si>
    <t>As of</t>
  </si>
  <si>
    <t>July 23 2024</t>
  </si>
  <si>
    <t>***</t>
  </si>
  <si>
    <t>Collection Account</t>
  </si>
  <si>
    <t>Debt Service Reserve Subaccount</t>
  </si>
  <si>
    <t>includes interest</t>
  </si>
  <si>
    <t>Excess Funds Subaccount</t>
  </si>
  <si>
    <t>Total</t>
  </si>
  <si>
    <t>Ongoing Costs</t>
  </si>
  <si>
    <t>Annual Amount</t>
  </si>
  <si>
    <t>Servicing Fee</t>
  </si>
  <si>
    <t>Administration Fees</t>
  </si>
  <si>
    <t>Accounting Fees and Expenses (ODFA and OG&amp;E)</t>
  </si>
  <si>
    <t>Legal Fees and Expenses</t>
  </si>
  <si>
    <t>Trustee Fees and Expenses</t>
  </si>
  <si>
    <t>Dissemination Agent Fees</t>
  </si>
  <si>
    <t>Rating Agency Surveillance Fees</t>
  </si>
  <si>
    <t>Rule 17g-5 Website</t>
  </si>
  <si>
    <t>Miscellaneous Fees and Expenses</t>
  </si>
  <si>
    <t>Billing Forecast by Service Level</t>
  </si>
  <si>
    <t>Month</t>
  </si>
  <si>
    <t>SL 1 (Blocks)</t>
  </si>
  <si>
    <t>SL 2 (Blocks)</t>
  </si>
  <si>
    <t>SL 3 (KWH)</t>
  </si>
  <si>
    <t>SL 4 (KWH)</t>
  </si>
  <si>
    <t>SL 5 (KWH)</t>
  </si>
  <si>
    <t>Aggregate (KWH)</t>
  </si>
  <si>
    <t>%</t>
  </si>
  <si>
    <t>Service Level Allocation Factors</t>
  </si>
  <si>
    <t>Debt Service</t>
  </si>
  <si>
    <t>Tranche A-1</t>
  </si>
  <si>
    <t>Tranche A-2</t>
  </si>
  <si>
    <t>Tranche A-3</t>
  </si>
  <si>
    <t>Current Balance ($)</t>
  </si>
  <si>
    <t>Original WAL</t>
  </si>
  <si>
    <t>Coupon</t>
  </si>
  <si>
    <t>Current Principal</t>
  </si>
  <si>
    <t>Scheduled Balance</t>
  </si>
  <si>
    <t>Actual Balance (update to reflect actual pmts)</t>
  </si>
  <si>
    <t>Total Principal</t>
  </si>
  <si>
    <t>Principal Paid</t>
  </si>
  <si>
    <t>Interest Paid</t>
  </si>
  <si>
    <t>Payment Shortfall</t>
  </si>
  <si>
    <t>ODFA (OG&amp;E) Series 2022 WES Charge - Current Payment Date Details</t>
  </si>
  <si>
    <t>This tab captures known data as of the most recent/current payment date</t>
  </si>
  <si>
    <t>This allows for the calculation to use this actual data as a starting point for the calcs on the next tab which are based on projections</t>
  </si>
  <si>
    <t>Revenue Requirement</t>
  </si>
  <si>
    <t>Prior Payment Date</t>
  </si>
  <si>
    <t>Payment Date</t>
  </si>
  <si>
    <t>Recovery Bond Principal Payment</t>
  </si>
  <si>
    <t>Recovery Bond Interest Payment</t>
  </si>
  <si>
    <t>Forecasted Ongoing Costs</t>
  </si>
  <si>
    <t>Total Debt Service and Ongoing Costs due for current period</t>
  </si>
  <si>
    <t xml:space="preserve">Ongoing Costs </t>
  </si>
  <si>
    <t>Day Count for Ongoing Costs</t>
  </si>
  <si>
    <t>Administration Fees (ODFA)</t>
  </si>
  <si>
    <t>(1)</t>
  </si>
  <si>
    <t>Current Period True up</t>
  </si>
  <si>
    <t>Debt Service Reserve Subaccount shortfall from previous period</t>
  </si>
  <si>
    <t>Less: Amounts Available in Collection Account (beginning of current period)</t>
  </si>
  <si>
    <t>*reflected in Cash Available</t>
  </si>
  <si>
    <t>Less: Excess Funds Subaccount</t>
  </si>
  <si>
    <t>Other adjustments</t>
  </si>
  <si>
    <t>Total Periodic Payment Requirement for current period</t>
  </si>
  <si>
    <t>Collections (Cash) Available for Payment</t>
  </si>
  <si>
    <t>Excess collections / (under collections) after payment</t>
  </si>
  <si>
    <t>WES Charge Calculations</t>
  </si>
  <si>
    <t>Current Period Collections</t>
  </si>
  <si>
    <t>Allocation %</t>
  </si>
  <si>
    <t>Current WES Charge - $/Block or c/kWh</t>
  </si>
  <si>
    <t>Average (SL 3, 4 &amp; 5)</t>
  </si>
  <si>
    <t>Actual Sales at Current Period WES Charge</t>
  </si>
  <si>
    <t>Aggregate - $/Block or c/kWh</t>
  </si>
  <si>
    <t>Actual Collections Allocated to Current Payment Period (1)</t>
  </si>
  <si>
    <t xml:space="preserve"> Actual collection experience for Billing Month</t>
  </si>
  <si>
    <t>*  assuming two month and ignore bad debt for approximation</t>
  </si>
  <si>
    <t>Est. Collections through July 31st</t>
  </si>
  <si>
    <t>Additional Cash Available Allocated to Current Payment Period (1)</t>
  </si>
  <si>
    <t>Description</t>
  </si>
  <si>
    <t>True-up of Issuance Cost w/int</t>
  </si>
  <si>
    <t>Additional Interest on Collections</t>
  </si>
  <si>
    <t>Excess Funds Subaccount (2)</t>
  </si>
  <si>
    <t>Excess Funds Subaccount Interest</t>
  </si>
  <si>
    <t>Aggregate</t>
  </si>
  <si>
    <t>Future Collection Curve Assumption</t>
  </si>
  <si>
    <t>Period 1 Revenue Requirement</t>
  </si>
  <si>
    <t>Current</t>
  </si>
  <si>
    <t>Actual July</t>
  </si>
  <si>
    <t>NOTES</t>
  </si>
  <si>
    <t>(1) Reflected in Servicer Certificate.  See the reconciliation included in the Servicer Certificate tab.</t>
  </si>
  <si>
    <t>ODFA (OG&amp;E) Series 2022 WES Charge True-up Calculation - Next Two Periods</t>
  </si>
  <si>
    <t>Payment Date:</t>
  </si>
  <si>
    <t>True-UP (Service Level)</t>
  </si>
  <si>
    <t>True up</t>
  </si>
  <si>
    <t>SL-1</t>
  </si>
  <si>
    <t>SL-2</t>
  </si>
  <si>
    <t>SL-3</t>
  </si>
  <si>
    <t>SL-4</t>
  </si>
  <si>
    <t>SL-5</t>
  </si>
  <si>
    <t>Totals</t>
  </si>
  <si>
    <t>cross check</t>
  </si>
  <si>
    <t>Excess collections / (under collections)</t>
  </si>
  <si>
    <t>WES Charge Calculation</t>
  </si>
  <si>
    <t>Period 1 - WES Charge</t>
  </si>
  <si>
    <t>Period 2 - WES Charge</t>
  </si>
  <si>
    <t>New WES Charge - Total $/kWh</t>
  </si>
  <si>
    <t>Prior WES Charge - Total $/kWh</t>
  </si>
  <si>
    <t xml:space="preserve">   </t>
  </si>
  <si>
    <t>Output to [end user]</t>
  </si>
  <si>
    <t>WES Charge</t>
  </si>
  <si>
    <t>Customer Impact (assuming 1,100 kWh)</t>
  </si>
  <si>
    <t>Initial Factor</t>
  </si>
  <si>
    <t>1st 2023 true-up</t>
  </si>
  <si>
    <t>2nd 2023 true-up</t>
  </si>
  <si>
    <t>1st 2024 true-up</t>
  </si>
  <si>
    <t>2nd 2024 true-up</t>
  </si>
  <si>
    <t>Reconciliation</t>
  </si>
  <si>
    <t>Collection</t>
  </si>
  <si>
    <t>True-up period interest available</t>
  </si>
  <si>
    <t>Interest from Excess Funds Subaccount</t>
  </si>
  <si>
    <t>Cost of Issuance Account (w/interest)</t>
  </si>
  <si>
    <t>Remaining July Estimate</t>
  </si>
  <si>
    <t>Debt Service Reserve Subaccount (w/interest)</t>
  </si>
  <si>
    <t>pg. 3 of SC</t>
  </si>
  <si>
    <t>Total Cash Available for Payment (w/DSRS)</t>
  </si>
  <si>
    <t>pg. 1 (above)</t>
  </si>
  <si>
    <t>less DSRS</t>
  </si>
  <si>
    <t>Pg. 3 (above)</t>
  </si>
  <si>
    <t>Cash Available (less DSRS)</t>
  </si>
  <si>
    <t>* ties to amount included in factor calculation</t>
  </si>
  <si>
    <t>Bond Payment</t>
  </si>
  <si>
    <t>p.2</t>
  </si>
  <si>
    <t>Semi-annual fees</t>
  </si>
  <si>
    <t>p.3</t>
  </si>
  <si>
    <t>Total required payment w/fees</t>
  </si>
  <si>
    <t>Excess Funds Sub-account</t>
  </si>
  <si>
    <t>ODFA (OG&amp;E) Series 2022 WES Charge - Waterfall</t>
  </si>
  <si>
    <t>Beginning Principal</t>
  </si>
  <si>
    <t>Distributions - Revised Payment Schedule ($)</t>
  </si>
  <si>
    <t>Aggregate Debt Service</t>
  </si>
  <si>
    <t>Collection Account + Excess Funds Subaccount</t>
  </si>
  <si>
    <t>Scheduled Ending Balances</t>
  </si>
  <si>
    <t>Payment Counter</t>
  </si>
  <si>
    <t>Payment Flag</t>
  </si>
  <si>
    <t>Monthly Collections</t>
  </si>
  <si>
    <t>Beginning Princ Bal</t>
  </si>
  <si>
    <t>Trustee + Other Fees</t>
  </si>
  <si>
    <t xml:space="preserve">Interest </t>
  </si>
  <si>
    <t>Principal</t>
  </si>
  <si>
    <t>Ending RB Principal Bal</t>
  </si>
  <si>
    <t>Beginning Bal</t>
  </si>
  <si>
    <t>Ending Bal</t>
  </si>
  <si>
    <t>Sum/Ave</t>
  </si>
  <si>
    <t>Billing Forecast - Total (MWH)</t>
  </si>
  <si>
    <t>Billing Forecast - Prior WES Charge / Actual Sales (MWH)</t>
  </si>
  <si>
    <t>Billing Forecast - New Factor</t>
  </si>
  <si>
    <t>Monthly Sales By Service Level (Blocks or MWH)</t>
  </si>
  <si>
    <t>Projected Collectible Sales - Total (MWH)</t>
  </si>
  <si>
    <t>Projected Collectible Sales - Prior WES Charge / Actual Sales (MWH)</t>
  </si>
  <si>
    <t>Projected Collectible Sales based on Prior WES Charge / Ramp Down Billing Forecast (MWH)</t>
  </si>
  <si>
    <t>Monthly Collectible Sales By Service Level (Blocks or MWH)</t>
  </si>
  <si>
    <t>Projected Collectible WES Charge - Total ($)</t>
  </si>
  <si>
    <t>Projected Collectible WES Charge - Prior Charge / Actual Sales ($)</t>
  </si>
  <si>
    <t>Projected Collectible WES Charge based on Prior Charge / Ramp Down ($)</t>
  </si>
  <si>
    <t>Monthly Revenue by Service Level ($)</t>
  </si>
  <si>
    <t>% of Total</t>
  </si>
  <si>
    <t>Applicable Charge</t>
  </si>
  <si>
    <t>True-Up Letter Attachments and Tables</t>
  </si>
  <si>
    <t>Attachment 1</t>
  </si>
  <si>
    <t>Calculation of WES Charges*</t>
  </si>
  <si>
    <t>Estimated Ongoing Financing Costs</t>
  </si>
  <si>
    <t>True-Up Administration Fees ^</t>
  </si>
  <si>
    <t>ODFA Administration Fees ^</t>
  </si>
  <si>
    <t>ODFA Legal Fees and Expenses^</t>
  </si>
  <si>
    <t>ODFA Accounting Fees^</t>
  </si>
  <si>
    <t>Trustee’s/Trustee’s Counsel Fees and Expenses ^</t>
  </si>
  <si>
    <t>Rating Agency Fees and Related Expenses^</t>
  </si>
  <si>
    <t>Rule 17g-5 Website ^</t>
  </si>
  <si>
    <t>Miscellaneous^</t>
  </si>
  <si>
    <t>Other Credit Enhancement^</t>
  </si>
  <si>
    <t>Total Non-Utility External Annual Ongoing Financing Costs</t>
  </si>
  <si>
    <t>Ongoing Servicer Fees (Utility as Servicer)*</t>
  </si>
  <si>
    <t>Accounting Costs (External)^</t>
  </si>
  <si>
    <t>Total (Utility as Servicer) Estimated Ongoing Financing Costs</t>
  </si>
  <si>
    <t>Ongoing Servicer Fees as % of original principal amount</t>
  </si>
  <si>
    <t>0.05% per annum</t>
  </si>
  <si>
    <t>Total Estimated Ongoing Finance Costs</t>
  </si>
  <si>
    <t>Input Values for WES Charges</t>
  </si>
  <si>
    <t>check</t>
  </si>
  <si>
    <t>Diff</t>
  </si>
  <si>
    <t>Projected usage for payment period (See Attachement 3)</t>
  </si>
  <si>
    <t>Forecast uncollectables for payment period</t>
  </si>
  <si>
    <t xml:space="preserve">Balance of Collection Account (Net of Capital Subaccount) </t>
  </si>
  <si>
    <t>(As of 7/22, which is the Calculation Cut-off Date)</t>
  </si>
  <si>
    <t xml:space="preserve">Projected WES Charges Between Calculation Cut-off Date </t>
  </si>
  <si>
    <t>and Proposed Effective Date of True-Up Adjustment</t>
  </si>
  <si>
    <t>A. Ratepayer-Backed Bond Principal</t>
  </si>
  <si>
    <t>B. Ratepayer-Backed Recovery Bond Interest</t>
  </si>
  <si>
    <t xml:space="preserve">C. Ongoing Financing Costs for the applicable </t>
  </si>
  <si>
    <t>payment period (See Table 1 above)</t>
  </si>
  <si>
    <t>Periodic Payment Requirement (Sum of A, B and C)</t>
  </si>
  <si>
    <t>Periodic Billing Requirement (See Attachment 2)</t>
  </si>
  <si>
    <t>Attachment 2</t>
  </si>
  <si>
    <t>WES Charge Calculations*</t>
  </si>
  <si>
    <t>[Calculation Workpapers to be added]</t>
  </si>
  <si>
    <t>Attachment 3</t>
  </si>
  <si>
    <t>WES Charge for Payment Period*</t>
  </si>
  <si>
    <t>Customer Class (Service Level)</t>
  </si>
  <si>
    <t>* As described in the Financing Order, the new WES Charge is set at the higher of the Period 1 and the Period 2 WES Charge calculation.</t>
  </si>
  <si>
    <t>* Monthly Block Rate ($/Block) for Transmission (SL 1) and Distribution Substation (SL2) customers</t>
  </si>
  <si>
    <t>* WESKWH ($/kWh) for Distribution Primary (SL 3&amp;4) and Secondary (SL 5) Customers</t>
  </si>
  <si>
    <t>ODFA (OG&amp;E) Series 2022 Debt Service Schedule</t>
  </si>
  <si>
    <t>Expected</t>
  </si>
  <si>
    <t>Scheduled</t>
  </si>
  <si>
    <t xml:space="preserve">Weighted </t>
  </si>
  <si>
    <t>Amount</t>
  </si>
  <si>
    <t>Final Payment</t>
  </si>
  <si>
    <t>Final Maturity</t>
  </si>
  <si>
    <t>Interest</t>
  </si>
  <si>
    <t>Tranche</t>
  </si>
  <si>
    <t>Average Life</t>
  </si>
  <si>
    <t>Offered</t>
  </si>
  <si>
    <t>Date</t>
  </si>
  <si>
    <t>Rate</t>
  </si>
  <si>
    <t>A-1</t>
  </si>
  <si>
    <t>A-2</t>
  </si>
  <si>
    <t>A-3</t>
  </si>
  <si>
    <t>Total Debt Service</t>
  </si>
  <si>
    <t>Principal Balance</t>
  </si>
  <si>
    <t>Total Payment</t>
  </si>
  <si>
    <t>References from Financing Order</t>
  </si>
  <si>
    <t>WES Mechanism (Exhibit A of Financing Order)</t>
  </si>
  <si>
    <t>Adjustment Methodology (begins page 11 of Financing Order)</t>
  </si>
  <si>
    <t>Service Level Applicability</t>
  </si>
  <si>
    <t>Allocation</t>
  </si>
  <si>
    <t>Timing &amp; Frequency</t>
  </si>
  <si>
    <t>Calculation Methodology</t>
  </si>
  <si>
    <t>Class Revenue Requirement</t>
  </si>
  <si>
    <t>Service Level 1 &amp; 2 Billing</t>
  </si>
  <si>
    <t>Service Level 3, 4 &amp; 5 Billing</t>
  </si>
  <si>
    <t>True Up</t>
  </si>
  <si>
    <t>Price/WES rate</t>
  </si>
  <si>
    <t>TRANSMISSION (SL 1) and DISTRIBUTION SUBSTATION (SL 2):</t>
  </si>
  <si>
    <t>Service Level</t>
  </si>
  <si>
    <t>Monthly Block Rate ($/Block)</t>
  </si>
  <si>
    <t>$XXX.XX</t>
  </si>
  <si>
    <t>DISTRIBUTION PRIMARY (SL 3 &amp; 4) and SECONDARY (SL 5):</t>
  </si>
  <si>
    <t>WESKWH Rate ($/kWh)</t>
  </si>
  <si>
    <t>$0.XXXXX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</si>
</sst>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mmmm\ d\,\ yyyy;@"/>
    <numFmt numFmtId="165" formatCode="0.000%"/>
    <numFmt numFmtId="166" formatCode="&quot;$&quot;#,##0.00"/>
    <numFmt numFmtId="167" formatCode="0.00\ &quot;Days&quot;"/>
    <numFmt numFmtId="168" formatCode="_(* #,##0_);_(* \(#,##0\);_(* &quot;-&quot;??_);_(@_)"/>
    <numFmt numFmtId="169" formatCode="[$-409]mmm\-yy;@"/>
    <numFmt numFmtId="170" formatCode="0.000"/>
    <numFmt numFmtId="171" formatCode="#,##0.000_);\(#,##0.000\)"/>
    <numFmt numFmtId="172" formatCode="0.0%"/>
    <numFmt numFmtId="173" formatCode="&quot;$&quot;#,##0.00000_);[Red]\(&quot;$&quot;#,##0.00000\)"/>
    <numFmt numFmtId="174" formatCode="&quot;$&quot;#,##0"/>
    <numFmt numFmtId="175" formatCode="0.0000"/>
    <numFmt numFmtId="176" formatCode="#,##0.0"/>
    <numFmt numFmtId="177" formatCode="#,##0.000"/>
    <numFmt numFmtId="178" formatCode="_(* #,##0.00_);_(* \(#,##0.00\);_(* &quot;-&quot;_);_(@_)"/>
    <numFmt numFmtId="179" formatCode="0.0000%"/>
    <numFmt numFmtId="180" formatCode="#,##0.00000000"/>
    <numFmt numFmtId="181" formatCode="0.00000"/>
    <numFmt numFmtId="182" formatCode="0.00000000"/>
  </numFmts>
  <fonts count="49">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rgb="FF0070C0"/>
      <name val="Calibri"/>
      <family val="2"/>
      <scheme val="minor"/>
    </font>
    <font>
      <sz val="11"/>
      <color theme="4"/>
      <name val="Calibri"/>
      <family val="2"/>
      <scheme val="minor"/>
    </font>
    <font>
      <sz val="11"/>
      <name val="Calibri"/>
      <family val="2"/>
      <scheme val="minor"/>
    </font>
    <font>
      <b/>
      <sz val="11"/>
      <color rgb="FF000000"/>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
      <b/>
      <sz val="8"/>
      <name val="Calibri"/>
      <family val="2"/>
      <scheme val="minor"/>
    </font>
    <font>
      <sz val="8"/>
      <name val="Calibri"/>
      <family val="2"/>
      <scheme val="minor"/>
    </font>
    <font>
      <sz val="8"/>
      <color theme="0"/>
      <name val="Calibri"/>
      <family val="2"/>
      <scheme val="minor"/>
    </font>
    <font>
      <b/>
      <sz val="8"/>
      <color theme="0"/>
      <name val="Calibri"/>
      <family val="2"/>
      <scheme val="minor"/>
    </font>
    <font>
      <sz val="8"/>
      <color theme="4" tint="-0.249977111117893"/>
      <name val="Calibri"/>
      <family val="2"/>
      <scheme val="minor"/>
    </font>
    <font>
      <b/>
      <sz val="11"/>
      <color rgb="FFFF0000"/>
      <name val="Calibri"/>
      <family val="2"/>
      <scheme val="minor"/>
    </font>
    <font>
      <sz val="10"/>
      <name val="Arial"/>
      <family val="2"/>
    </font>
    <font>
      <b/>
      <sz val="8"/>
      <color rgb="FFFF0000"/>
      <name val="Calibri"/>
      <family val="2"/>
      <scheme val="minor"/>
    </font>
    <font>
      <b/>
      <sz val="11"/>
      <color theme="4"/>
      <name val="Calibri"/>
      <family val="2"/>
      <scheme val="minor"/>
    </font>
    <font>
      <sz val="8"/>
      <color rgb="FFFF0000"/>
      <name val="Calibri"/>
      <family val="2"/>
      <scheme val="minor"/>
    </font>
    <font>
      <b/>
      <sz val="8"/>
      <color rgb="FF008000"/>
      <name val="Calibri"/>
      <family val="2"/>
      <scheme val="minor"/>
    </font>
    <font>
      <sz val="8"/>
      <color rgb="FF008000"/>
      <name val="Calibri"/>
      <family val="2"/>
      <scheme val="minor"/>
    </font>
    <font>
      <b/>
      <u/>
      <sz val="8"/>
      <color theme="1"/>
      <name val="Calibri"/>
      <family val="2"/>
      <scheme val="minor"/>
    </font>
    <font>
      <b/>
      <u/>
      <sz val="8"/>
      <color rgb="FFFF0000"/>
      <name val="Calibri"/>
      <family val="2"/>
      <scheme val="minor"/>
    </font>
    <font>
      <sz val="11"/>
      <color theme="1"/>
      <name val="Calibri"/>
      <family val="2"/>
    </font>
    <font>
      <b/>
      <u/>
      <sz val="11"/>
      <color theme="1"/>
      <name val="Calibri"/>
      <family val="2"/>
      <scheme val="minor"/>
    </font>
    <font>
      <b/>
      <sz val="11"/>
      <name val="Calibri"/>
      <family val="2"/>
      <scheme val="minor"/>
    </font>
    <font>
      <sz val="11"/>
      <color rgb="FF0000FF"/>
      <name val="Calibri"/>
      <family val="2"/>
      <scheme val="minor"/>
    </font>
    <font>
      <sz val="10"/>
      <color rgb="FFFF0000"/>
      <name val="Arial"/>
      <family val="2"/>
    </font>
    <font>
      <b/>
      <sz val="10"/>
      <color theme="1"/>
      <name val="Arial"/>
      <family val="2"/>
    </font>
    <font>
      <b/>
      <sz val="14"/>
      <color rgb="FF000000"/>
      <name val="Calibri"/>
      <family val="2"/>
      <scheme val="minor"/>
    </font>
    <font>
      <sz val="11"/>
      <color rgb="FF000000"/>
      <name val="Calibri"/>
      <family val="2"/>
      <scheme val="minor"/>
    </font>
    <font>
      <sz val="8"/>
      <color rgb="FFC00000"/>
      <name val="Calibri"/>
      <family val="2"/>
      <scheme val="minor"/>
    </font>
    <font>
      <i/>
      <sz val="11"/>
      <color theme="1"/>
      <name val="Calibri"/>
      <family val="2"/>
      <scheme val="minor"/>
    </font>
    <font>
      <u/>
      <sz val="11"/>
      <color theme="1"/>
      <name val="Calibri"/>
      <family val="2"/>
      <scheme val="minor"/>
    </font>
    <font>
      <b/>
      <u/>
      <sz val="11"/>
      <color rgb="FF000000"/>
      <name val="Calibri"/>
      <family val="2"/>
      <scheme val="minor"/>
    </font>
    <font>
      <b/>
      <sz val="9"/>
      <color rgb="FF000000"/>
      <name val="Calibri"/>
      <family val="2"/>
      <scheme val="minor"/>
    </font>
    <font>
      <sz val="9"/>
      <color theme="1"/>
      <name val="Calibri"/>
      <family val="2"/>
      <scheme val="minor"/>
    </font>
    <font>
      <b/>
      <i/>
      <u/>
      <sz val="11"/>
      <color theme="1"/>
      <name val="Calibri"/>
      <family val="2"/>
      <scheme val="minor"/>
    </font>
    <font>
      <u/>
      <sz val="11"/>
      <color rgb="FFFF0000"/>
      <name val="Calibri"/>
      <family val="2"/>
      <scheme val="minor"/>
    </font>
    <font>
      <i/>
      <u/>
      <sz val="8"/>
      <color theme="1"/>
      <name val="Calibri"/>
      <family val="2"/>
      <scheme val="minor"/>
    </font>
    <font>
      <i/>
      <sz val="8"/>
      <color theme="1"/>
      <name val="Calibri"/>
      <family val="2"/>
      <scheme val="minor"/>
    </font>
    <font>
      <i/>
      <u/>
      <sz val="11"/>
      <color theme="1"/>
      <name val="Calibri"/>
      <family val="2"/>
      <scheme val="minor"/>
    </font>
    <font>
      <sz val="10"/>
      <color theme="1"/>
      <name val="Calibri"/>
      <family val="2"/>
      <scheme val="minor"/>
    </font>
    <font>
      <u/>
      <sz val="11"/>
      <color theme="0"/>
      <name val="Calibri"/>
      <family val="2"/>
      <scheme val="minor"/>
    </font>
    <font>
      <i/>
      <sz val="11"/>
      <color theme="0"/>
      <name val="Calibri"/>
      <family val="2"/>
      <scheme val="minor"/>
    </font>
  </fonts>
  <fills count="10">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249977111117893"/>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style="double">
        <color auto="1"/>
      </bottom>
      <diagonal/>
    </border>
    <border>
      <left style="thin">
        <color indexed="64"/>
      </left>
      <right/>
      <top style="medium">
        <color indexed="64"/>
      </top>
      <bottom style="medium">
        <color indexed="64"/>
      </bottom>
      <diagonal/>
    </border>
    <border>
      <left style="thin">
        <color indexed="64"/>
      </left>
      <right/>
      <top style="thin">
        <color auto="1"/>
      </top>
      <bottom style="double">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xf numFmtId="9" fontId="1" fillId="0" borderId="0" applyFont="0" applyFill="0" applyBorder="0" applyAlignment="0" applyProtection="0"/>
    <xf numFmtId="9" fontId="19" fillId="0" borderId="0" applyFont="0" applyFill="0" applyBorder="0" applyAlignment="0" applyProtection="0"/>
    <xf numFmtId="0" fontId="27" fillId="0" borderId="0"/>
  </cellStyleXfs>
  <cellXfs count="503">
    <xf numFmtId="0" fontId="0" fillId="0" borderId="0" xfId="0"/>
    <xf numFmtId="14" fontId="0" fillId="0" borderId="0" xfId="0" applyNumberFormat="1"/>
    <xf numFmtId="0" fontId="4" fillId="0" borderId="0" xfId="0" applyFont="1"/>
    <xf numFmtId="0" fontId="2" fillId="2" borderId="1" xfId="0" applyFont="1" applyFill="1" applyBorder="1"/>
    <xf numFmtId="0" fontId="2" fillId="2" borderId="2"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4" xfId="0" applyBorder="1"/>
    <xf numFmtId="164" fontId="6" fillId="0" borderId="5" xfId="0" applyNumberFormat="1" applyFont="1" applyBorder="1"/>
    <xf numFmtId="166" fontId="0" fillId="0" borderId="0" xfId="0" applyNumberFormat="1"/>
    <xf numFmtId="0" fontId="0" fillId="0" borderId="6" xfId="0" applyBorder="1"/>
    <xf numFmtId="0" fontId="0" fillId="0" borderId="7" xfId="0" applyBorder="1"/>
    <xf numFmtId="0" fontId="5" fillId="2" borderId="2" xfId="0" applyFont="1" applyFill="1" applyBorder="1"/>
    <xf numFmtId="3" fontId="7" fillId="0" borderId="5" xfId="0" applyNumberFormat="1" applyFont="1" applyBorder="1"/>
    <xf numFmtId="3" fontId="0" fillId="0" borderId="0" xfId="0" applyNumberFormat="1"/>
    <xf numFmtId="44" fontId="0" fillId="0" borderId="0" xfId="2" applyFont="1"/>
    <xf numFmtId="0" fontId="4" fillId="0" borderId="9" xfId="0" applyFont="1" applyBorder="1"/>
    <xf numFmtId="0" fontId="4" fillId="0" borderId="10" xfId="0" applyFont="1" applyBorder="1"/>
    <xf numFmtId="6" fontId="4" fillId="0" borderId="11" xfId="0" applyNumberFormat="1" applyFont="1" applyBorder="1"/>
    <xf numFmtId="8" fontId="0" fillId="0" borderId="0" xfId="0" applyNumberFormat="1"/>
    <xf numFmtId="10" fontId="0" fillId="0" borderId="0" xfId="0" applyNumberFormat="1"/>
    <xf numFmtId="168" fontId="0" fillId="0" borderId="0" xfId="0" applyNumberFormat="1"/>
    <xf numFmtId="0" fontId="2" fillId="2" borderId="2" xfId="0" applyFont="1" applyFill="1" applyBorder="1" applyAlignment="1">
      <alignment horizontal="center" wrapText="1"/>
    </xf>
    <xf numFmtId="0" fontId="2" fillId="2" borderId="12" xfId="0" applyFont="1" applyFill="1" applyBorder="1" applyAlignment="1">
      <alignment horizontal="center"/>
    </xf>
    <xf numFmtId="0" fontId="2" fillId="2" borderId="1" xfId="0" applyFont="1" applyFill="1" applyBorder="1" applyAlignment="1">
      <alignment horizontal="center"/>
    </xf>
    <xf numFmtId="0" fontId="0" fillId="0" borderId="0" xfId="0" applyAlignment="1">
      <alignment horizontal="center"/>
    </xf>
    <xf numFmtId="165" fontId="0" fillId="0" borderId="0" xfId="3" applyNumberFormat="1" applyFont="1"/>
    <xf numFmtId="169" fontId="2" fillId="2" borderId="4" xfId="0" applyNumberFormat="1" applyFont="1" applyFill="1" applyBorder="1"/>
    <xf numFmtId="168" fontId="2" fillId="2" borderId="0" xfId="1" applyNumberFormat="1" applyFont="1" applyFill="1" applyBorder="1"/>
    <xf numFmtId="168" fontId="2" fillId="2" borderId="5" xfId="1" applyNumberFormat="1" applyFont="1" applyFill="1" applyBorder="1"/>
    <xf numFmtId="0" fontId="9" fillId="0" borderId="0" xfId="0" applyFont="1"/>
    <xf numFmtId="3" fontId="0" fillId="0" borderId="5" xfId="0" applyNumberFormat="1" applyBorder="1"/>
    <xf numFmtId="3" fontId="8" fillId="0" borderId="0" xfId="0" applyNumberFormat="1" applyFont="1"/>
    <xf numFmtId="3" fontId="8" fillId="0" borderId="5" xfId="0" applyNumberFormat="1" applyFont="1" applyBorder="1"/>
    <xf numFmtId="6" fontId="0" fillId="0" borderId="0" xfId="0" applyNumberFormat="1"/>
    <xf numFmtId="0" fontId="9" fillId="0" borderId="0" xfId="0" applyFont="1" applyAlignment="1">
      <alignment wrapText="1"/>
    </xf>
    <xf numFmtId="0" fontId="0" fillId="0" borderId="9" xfId="0" applyBorder="1" applyAlignment="1">
      <alignment horizontal="left"/>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2" fillId="2" borderId="12" xfId="0" applyFont="1" applyFill="1" applyBorder="1" applyAlignment="1">
      <alignment horizontal="center" wrapText="1"/>
    </xf>
    <xf numFmtId="0" fontId="0" fillId="0" borderId="21" xfId="0" applyBorder="1"/>
    <xf numFmtId="0" fontId="0" fillId="0" borderId="22" xfId="0" applyBorder="1"/>
    <xf numFmtId="0" fontId="0" fillId="0" borderId="23" xfId="0" applyBorder="1"/>
    <xf numFmtId="0" fontId="10" fillId="0" borderId="0" xfId="0" applyFont="1" applyAlignment="1">
      <alignment horizontal="left"/>
    </xf>
    <xf numFmtId="0" fontId="11" fillId="0" borderId="0" xfId="0" applyFont="1" applyAlignment="1">
      <alignment horizontal="center"/>
    </xf>
    <xf numFmtId="3" fontId="10" fillId="0" borderId="0" xfId="0" applyNumberFormat="1" applyFont="1" applyAlignment="1">
      <alignment horizontal="center"/>
    </xf>
    <xf numFmtId="0" fontId="11" fillId="0" borderId="0" xfId="0" applyFont="1" applyAlignment="1">
      <alignment horizontal="left"/>
    </xf>
    <xf numFmtId="0" fontId="10" fillId="0" borderId="24" xfId="0" applyFont="1" applyBorder="1" applyAlignment="1">
      <alignment horizontal="left"/>
    </xf>
    <xf numFmtId="0" fontId="11" fillId="0" borderId="25" xfId="0" applyFont="1" applyBorder="1" applyAlignment="1">
      <alignment horizontal="center"/>
    </xf>
    <xf numFmtId="0" fontId="10" fillId="0" borderId="27" xfId="0" applyFont="1" applyBorder="1" applyAlignment="1">
      <alignment wrapText="1"/>
    </xf>
    <xf numFmtId="0" fontId="11" fillId="0" borderId="0" xfId="0" applyFont="1" applyAlignment="1">
      <alignment horizontal="left" wrapText="1"/>
    </xf>
    <xf numFmtId="0" fontId="11" fillId="0" borderId="0" xfId="0" applyFont="1" applyAlignment="1">
      <alignment horizontal="center" wrapText="1"/>
    </xf>
    <xf numFmtId="0" fontId="14" fillId="0" borderId="0" xfId="0" applyFont="1" applyAlignment="1">
      <alignment horizontal="center"/>
    </xf>
    <xf numFmtId="169" fontId="11" fillId="0" borderId="0" xfId="0" applyNumberFormat="1" applyFont="1" applyAlignment="1">
      <alignment horizontal="center"/>
    </xf>
    <xf numFmtId="3" fontId="11" fillId="0" borderId="0" xfId="0" applyNumberFormat="1" applyFont="1" applyAlignment="1">
      <alignment horizontal="center"/>
    </xf>
    <xf numFmtId="44" fontId="11" fillId="0" borderId="0" xfId="0" applyNumberFormat="1" applyFont="1" applyAlignment="1">
      <alignment horizontal="center"/>
    </xf>
    <xf numFmtId="168" fontId="11" fillId="0" borderId="0" xfId="0" applyNumberFormat="1" applyFont="1" applyAlignment="1">
      <alignment horizontal="center"/>
    </xf>
    <xf numFmtId="41" fontId="11" fillId="0" borderId="0" xfId="0" applyNumberFormat="1" applyFont="1" applyAlignment="1">
      <alignment horizontal="center"/>
    </xf>
    <xf numFmtId="41" fontId="11" fillId="0" borderId="0" xfId="0" applyNumberFormat="1" applyFont="1" applyAlignment="1">
      <alignment horizontal="left"/>
    </xf>
    <xf numFmtId="14" fontId="11" fillId="0" borderId="0" xfId="0" applyNumberFormat="1" applyFont="1" applyAlignment="1">
      <alignment horizontal="center"/>
    </xf>
    <xf numFmtId="0" fontId="10" fillId="0" borderId="31" xfId="0" applyFont="1" applyBorder="1" applyAlignment="1">
      <alignment horizontal="center"/>
    </xf>
    <xf numFmtId="0" fontId="11" fillId="0" borderId="31" xfId="0" applyFont="1" applyBorder="1" applyAlignment="1">
      <alignment horizontal="center"/>
    </xf>
    <xf numFmtId="41" fontId="11" fillId="0" borderId="31" xfId="0" applyNumberFormat="1" applyFont="1" applyBorder="1" applyAlignment="1">
      <alignment horizontal="center"/>
    </xf>
    <xf numFmtId="43" fontId="15" fillId="0" borderId="0" xfId="0" applyNumberFormat="1" applyFont="1" applyAlignment="1">
      <alignment horizontal="center"/>
    </xf>
    <xf numFmtId="43" fontId="11" fillId="0" borderId="0" xfId="0" applyNumberFormat="1" applyFont="1" applyAlignment="1">
      <alignment horizontal="center"/>
    </xf>
    <xf numFmtId="0" fontId="18" fillId="0" borderId="0" xfId="0" applyFont="1" applyAlignment="1">
      <alignment horizontal="center" vertical="center"/>
    </xf>
    <xf numFmtId="0" fontId="3" fillId="0" borderId="0" xfId="0" applyFont="1" applyAlignment="1">
      <alignment horizontal="center" vertical="center"/>
    </xf>
    <xf numFmtId="0" fontId="0" fillId="0" borderId="0" xfId="0" applyBorder="1"/>
    <xf numFmtId="0" fontId="0" fillId="0" borderId="4" xfId="0" applyFill="1" applyBorder="1"/>
    <xf numFmtId="0" fontId="0" fillId="0" borderId="0" xfId="0" applyFill="1" applyBorder="1"/>
    <xf numFmtId="164" fontId="0" fillId="0" borderId="0" xfId="0" applyNumberFormat="1" applyBorder="1"/>
    <xf numFmtId="165" fontId="7" fillId="0" borderId="0" xfId="0" applyNumberFormat="1" applyFont="1" applyBorder="1"/>
    <xf numFmtId="0" fontId="0" fillId="0" borderId="1" xfId="0" applyBorder="1"/>
    <xf numFmtId="0" fontId="0" fillId="0" borderId="2" xfId="0" applyBorder="1"/>
    <xf numFmtId="0" fontId="0" fillId="0" borderId="6" xfId="0" applyFill="1" applyBorder="1"/>
    <xf numFmtId="0" fontId="10" fillId="0" borderId="4" xfId="0" applyFont="1" applyBorder="1" applyAlignment="1">
      <alignment horizontal="left"/>
    </xf>
    <xf numFmtId="0" fontId="11" fillId="0" borderId="0" xfId="0" applyFont="1" applyBorder="1" applyAlignment="1">
      <alignment horizontal="center"/>
    </xf>
    <xf numFmtId="0" fontId="11" fillId="0" borderId="0" xfId="0" applyFont="1" applyBorder="1" applyAlignment="1">
      <alignment horizontal="left" wrapText="1"/>
    </xf>
    <xf numFmtId="0" fontId="11" fillId="0" borderId="5" xfId="0" applyFont="1" applyBorder="1" applyAlignment="1">
      <alignment horizontal="center" wrapText="1"/>
    </xf>
    <xf numFmtId="0" fontId="15" fillId="0" borderId="4" xfId="0" applyFont="1" applyBorder="1" applyAlignment="1">
      <alignment horizontal="center"/>
    </xf>
    <xf numFmtId="169" fontId="11" fillId="0" borderId="0" xfId="0" applyNumberFormat="1" applyFont="1" applyBorder="1" applyAlignment="1">
      <alignment horizontal="center"/>
    </xf>
    <xf numFmtId="41" fontId="14" fillId="3" borderId="0" xfId="2" applyNumberFormat="1" applyFont="1" applyFill="1" applyBorder="1" applyAlignment="1">
      <alignment horizontal="center"/>
    </xf>
    <xf numFmtId="41" fontId="14" fillId="0" borderId="0" xfId="2" applyNumberFormat="1" applyFont="1" applyBorder="1" applyAlignment="1">
      <alignment horizontal="center"/>
    </xf>
    <xf numFmtId="0" fontId="11" fillId="0" borderId="0" xfId="0" applyFont="1" applyBorder="1" applyAlignment="1">
      <alignment horizontal="left"/>
    </xf>
    <xf numFmtId="0" fontId="11" fillId="0" borderId="5" xfId="0" applyFont="1" applyBorder="1" applyAlignment="1">
      <alignment horizontal="center"/>
    </xf>
    <xf numFmtId="41" fontId="17" fillId="0" borderId="0" xfId="2" applyNumberFormat="1" applyFont="1" applyBorder="1" applyAlignment="1">
      <alignment horizontal="center"/>
    </xf>
    <xf numFmtId="41" fontId="11" fillId="0" borderId="0" xfId="2" applyNumberFormat="1" applyFont="1" applyBorder="1" applyAlignment="1">
      <alignment horizontal="center"/>
    </xf>
    <xf numFmtId="3" fontId="11" fillId="0" borderId="0" xfId="0" applyNumberFormat="1" applyFont="1" applyBorder="1" applyAlignment="1">
      <alignment horizontal="center"/>
    </xf>
    <xf numFmtId="41" fontId="11" fillId="0" borderId="0" xfId="0" applyNumberFormat="1" applyFont="1" applyBorder="1" applyAlignment="1">
      <alignment horizontal="center"/>
    </xf>
    <xf numFmtId="0" fontId="11" fillId="0" borderId="4" xfId="0" applyFont="1" applyBorder="1" applyAlignment="1">
      <alignment horizontal="center"/>
    </xf>
    <xf numFmtId="0" fontId="10" fillId="0" borderId="33" xfId="0" applyFont="1" applyBorder="1" applyAlignment="1">
      <alignment horizontal="center"/>
    </xf>
    <xf numFmtId="43" fontId="11" fillId="0" borderId="0" xfId="0" applyNumberFormat="1" applyFont="1" applyBorder="1" applyAlignment="1">
      <alignment horizontal="center"/>
    </xf>
    <xf numFmtId="41" fontId="20" fillId="0" borderId="0" xfId="2" applyNumberFormat="1" applyFont="1" applyBorder="1" applyAlignment="1">
      <alignment horizontal="left"/>
    </xf>
    <xf numFmtId="0" fontId="10" fillId="0" borderId="9" xfId="0" applyFont="1" applyBorder="1" applyAlignment="1">
      <alignment horizontal="center"/>
    </xf>
    <xf numFmtId="0" fontId="11" fillId="0" borderId="10" xfId="0" applyFont="1" applyBorder="1" applyAlignment="1">
      <alignment horizontal="center"/>
    </xf>
    <xf numFmtId="41" fontId="11" fillId="0" borderId="10" xfId="0" applyNumberFormat="1" applyFont="1" applyBorder="1" applyAlignment="1">
      <alignment horizontal="center"/>
    </xf>
    <xf numFmtId="0" fontId="11" fillId="0" borderId="8" xfId="0" applyFont="1" applyBorder="1" applyAlignment="1">
      <alignment horizontal="center"/>
    </xf>
    <xf numFmtId="0" fontId="2" fillId="2" borderId="9" xfId="0" applyFont="1" applyFill="1" applyBorder="1"/>
    <xf numFmtId="0" fontId="2" fillId="2" borderId="10" xfId="0" applyFont="1" applyFill="1" applyBorder="1"/>
    <xf numFmtId="0" fontId="2" fillId="2" borderId="11" xfId="0" applyFont="1" applyFill="1" applyBorder="1"/>
    <xf numFmtId="0" fontId="0" fillId="0" borderId="0" xfId="0" applyFont="1"/>
    <xf numFmtId="0" fontId="0" fillId="0" borderId="4" xfId="0" applyFont="1" applyBorder="1" applyAlignment="1">
      <alignment horizontal="left"/>
    </xf>
    <xf numFmtId="0" fontId="0" fillId="0" borderId="4" xfId="0" applyFont="1" applyBorder="1"/>
    <xf numFmtId="0" fontId="0" fillId="0" borderId="9" xfId="0" applyFont="1" applyBorder="1"/>
    <xf numFmtId="0" fontId="0" fillId="0" borderId="10" xfId="0" applyFont="1" applyBorder="1"/>
    <xf numFmtId="43" fontId="14" fillId="0" borderId="0" xfId="2" applyNumberFormat="1" applyFont="1" applyBorder="1" applyAlignment="1">
      <alignment horizontal="center"/>
    </xf>
    <xf numFmtId="10" fontId="11" fillId="0" borderId="0" xfId="0" applyNumberFormat="1" applyFont="1" applyBorder="1" applyAlignment="1">
      <alignment horizontal="center"/>
    </xf>
    <xf numFmtId="10" fontId="11" fillId="0" borderId="10" xfId="0" applyNumberFormat="1" applyFont="1" applyBorder="1" applyAlignment="1">
      <alignment horizontal="center"/>
    </xf>
    <xf numFmtId="0" fontId="10" fillId="0" borderId="4" xfId="0" applyFont="1" applyBorder="1" applyAlignment="1">
      <alignment horizontal="center"/>
    </xf>
    <xf numFmtId="41" fontId="11" fillId="0" borderId="5" xfId="0" applyNumberFormat="1" applyFont="1" applyBorder="1" applyAlignment="1">
      <alignment horizontal="center"/>
    </xf>
    <xf numFmtId="3" fontId="8" fillId="0" borderId="7" xfId="0" applyNumberFormat="1" applyFont="1" applyBorder="1"/>
    <xf numFmtId="3" fontId="8" fillId="0" borderId="0" xfId="0" applyNumberFormat="1" applyFont="1" applyBorder="1"/>
    <xf numFmtId="0" fontId="0" fillId="0" borderId="1" xfId="0" applyFont="1" applyBorder="1"/>
    <xf numFmtId="0" fontId="4" fillId="0" borderId="2" xfId="0" applyFont="1" applyBorder="1"/>
    <xf numFmtId="0" fontId="3" fillId="0" borderId="0" xfId="0" applyFont="1"/>
    <xf numFmtId="168" fontId="0" fillId="0" borderId="0" xfId="1" applyNumberFormat="1" applyFont="1"/>
    <xf numFmtId="169" fontId="0" fillId="0" borderId="0" xfId="0" applyNumberFormat="1" applyFont="1" applyAlignment="1">
      <alignment horizontal="center"/>
    </xf>
    <xf numFmtId="3" fontId="8" fillId="0" borderId="10" xfId="0" applyNumberFormat="1" applyFont="1" applyBorder="1"/>
    <xf numFmtId="3" fontId="8" fillId="0" borderId="11" xfId="0" applyNumberFormat="1" applyFont="1" applyBorder="1"/>
    <xf numFmtId="3" fontId="8" fillId="0" borderId="14" xfId="0" applyNumberFormat="1" applyFont="1" applyBorder="1"/>
    <xf numFmtId="0" fontId="2" fillId="2" borderId="0" xfId="0" applyFont="1" applyFill="1" applyBorder="1"/>
    <xf numFmtId="164" fontId="2" fillId="2" borderId="3" xfId="0" applyNumberFormat="1" applyFont="1" applyFill="1" applyBorder="1" applyAlignment="1">
      <alignment horizontal="center"/>
    </xf>
    <xf numFmtId="168" fontId="8" fillId="0" borderId="13" xfId="1" applyNumberFormat="1" applyFont="1" applyBorder="1" applyAlignment="1"/>
    <xf numFmtId="0" fontId="8" fillId="0" borderId="13" xfId="0" applyFont="1" applyBorder="1" applyAlignment="1">
      <alignment horizontal="center"/>
    </xf>
    <xf numFmtId="10" fontId="8" fillId="0" borderId="5" xfId="0" applyNumberFormat="1" applyFont="1" applyBorder="1" applyAlignment="1">
      <alignment horizontal="center"/>
    </xf>
    <xf numFmtId="165" fontId="8" fillId="0" borderId="14" xfId="0" applyNumberFormat="1" applyFont="1" applyBorder="1" applyAlignment="1">
      <alignment horizontal="right"/>
    </xf>
    <xf numFmtId="0" fontId="21" fillId="0" borderId="15" xfId="0" applyFont="1" applyBorder="1" applyAlignment="1">
      <alignment horizontal="center"/>
    </xf>
    <xf numFmtId="0" fontId="12" fillId="4" borderId="0" xfId="0" applyFont="1" applyFill="1" applyBorder="1" applyAlignment="1">
      <alignment horizontal="center"/>
    </xf>
    <xf numFmtId="0" fontId="12" fillId="4" borderId="5" xfId="0" applyFont="1" applyFill="1" applyBorder="1" applyAlignment="1">
      <alignment horizontal="center"/>
    </xf>
    <xf numFmtId="41" fontId="0" fillId="0" borderId="0" xfId="0" applyNumberFormat="1"/>
    <xf numFmtId="0" fontId="11" fillId="0" borderId="0" xfId="0" applyFont="1" applyBorder="1" applyAlignment="1">
      <alignment horizontal="center" wrapText="1"/>
    </xf>
    <xf numFmtId="172" fontId="11" fillId="0" borderId="0" xfId="0" applyNumberFormat="1" applyFont="1" applyAlignment="1">
      <alignment horizontal="center"/>
    </xf>
    <xf numFmtId="41" fontId="14" fillId="0" borderId="0" xfId="2" applyNumberFormat="1" applyFont="1" applyFill="1" applyBorder="1" applyAlignment="1">
      <alignment horizontal="center"/>
    </xf>
    <xf numFmtId="0" fontId="12" fillId="4" borderId="4" xfId="0" applyFont="1" applyFill="1" applyBorder="1" applyAlignment="1">
      <alignment horizontal="centerContinuous"/>
    </xf>
    <xf numFmtId="0" fontId="12" fillId="4" borderId="0" xfId="0" applyFont="1" applyFill="1" applyBorder="1" applyAlignment="1">
      <alignment horizontal="centerContinuous"/>
    </xf>
    <xf numFmtId="0" fontId="11" fillId="7" borderId="0" xfId="0" applyFont="1" applyFill="1" applyAlignment="1">
      <alignment horizontal="center"/>
    </xf>
    <xf numFmtId="41" fontId="11" fillId="7" borderId="0" xfId="0" applyNumberFormat="1" applyFont="1" applyFill="1" applyAlignment="1">
      <alignment horizontal="left"/>
    </xf>
    <xf numFmtId="0" fontId="11" fillId="7" borderId="0" xfId="0" applyFont="1" applyFill="1" applyAlignment="1">
      <alignment horizontal="left"/>
    </xf>
    <xf numFmtId="0" fontId="11" fillId="7" borderId="0" xfId="0" applyFont="1" applyFill="1" applyAlignment="1">
      <alignment horizontal="center" wrapText="1"/>
    </xf>
    <xf numFmtId="168" fontId="11" fillId="0" borderId="0" xfId="1" applyNumberFormat="1" applyFont="1" applyAlignment="1">
      <alignment horizontal="center"/>
    </xf>
    <xf numFmtId="0" fontId="20" fillId="0" borderId="0" xfId="0" applyFont="1" applyAlignment="1">
      <alignment horizontal="center"/>
    </xf>
    <xf numFmtId="0" fontId="25" fillId="0" borderId="0" xfId="0" applyFont="1" applyAlignment="1">
      <alignment horizontal="center" wrapText="1"/>
    </xf>
    <xf numFmtId="0" fontId="25" fillId="0" borderId="0" xfId="0" applyFont="1" applyAlignment="1">
      <alignment horizontal="center"/>
    </xf>
    <xf numFmtId="172" fontId="25" fillId="0" borderId="0" xfId="0" applyNumberFormat="1" applyFont="1" applyAlignment="1">
      <alignment horizontal="center"/>
    </xf>
    <xf numFmtId="0" fontId="26" fillId="0" borderId="0" xfId="0" applyFont="1" applyAlignment="1">
      <alignment horizontal="left"/>
    </xf>
    <xf numFmtId="0" fontId="22" fillId="0" borderId="0" xfId="0" applyFont="1" applyAlignment="1">
      <alignment horizontal="left" indent="1"/>
    </xf>
    <xf numFmtId="0" fontId="20" fillId="0" borderId="0" xfId="0" applyFont="1" applyAlignment="1">
      <alignment horizontal="left"/>
    </xf>
    <xf numFmtId="164" fontId="8" fillId="0" borderId="5" xfId="0" applyNumberFormat="1" applyFont="1" applyBorder="1"/>
    <xf numFmtId="169" fontId="8" fillId="0" borderId="0" xfId="0" applyNumberFormat="1" applyFont="1" applyAlignment="1">
      <alignment horizontal="center"/>
    </xf>
    <xf numFmtId="0" fontId="28" fillId="0" borderId="0" xfId="0" applyFont="1"/>
    <xf numFmtId="172" fontId="24" fillId="0" borderId="0" xfId="0" applyNumberFormat="1" applyFont="1" applyAlignment="1">
      <alignment horizontal="center"/>
    </xf>
    <xf numFmtId="0" fontId="10" fillId="0" borderId="0" xfId="0" applyFont="1" applyAlignment="1">
      <alignment horizontal="center"/>
    </xf>
    <xf numFmtId="165" fontId="24" fillId="0" borderId="0" xfId="0" applyNumberFormat="1" applyFont="1" applyAlignment="1">
      <alignment horizontal="center"/>
    </xf>
    <xf numFmtId="0" fontId="0" fillId="0" borderId="0" xfId="0"/>
    <xf numFmtId="0" fontId="2" fillId="2" borderId="4" xfId="0" applyFont="1" applyFill="1" applyBorder="1"/>
    <xf numFmtId="14" fontId="2" fillId="2" borderId="0" xfId="0" applyNumberFormat="1" applyFont="1" applyFill="1" applyBorder="1" applyAlignment="1">
      <alignment horizontal="center"/>
    </xf>
    <xf numFmtId="14" fontId="2" fillId="2" borderId="5" xfId="0" applyNumberFormat="1" applyFont="1" applyFill="1" applyBorder="1" applyAlignment="1">
      <alignment horizontal="center"/>
    </xf>
    <xf numFmtId="0" fontId="30" fillId="0" borderId="0" xfId="0" applyFont="1"/>
    <xf numFmtId="0" fontId="3" fillId="0" borderId="0" xfId="0" applyFont="1" applyFill="1"/>
    <xf numFmtId="0" fontId="3" fillId="0" borderId="0" xfId="0" applyFont="1" applyAlignment="1">
      <alignment horizontal="center"/>
    </xf>
    <xf numFmtId="0" fontId="33" fillId="0" borderId="0" xfId="0" applyFont="1"/>
    <xf numFmtId="0" fontId="9" fillId="0" borderId="0" xfId="0" applyFont="1" applyAlignment="1">
      <alignment horizontal="center"/>
    </xf>
    <xf numFmtId="0" fontId="9" fillId="0" borderId="7" xfId="0" applyFont="1" applyBorder="1" applyAlignment="1">
      <alignment horizontal="center"/>
    </xf>
    <xf numFmtId="2" fontId="8" fillId="0" borderId="0" xfId="0" applyNumberFormat="1" applyFont="1" applyAlignment="1">
      <alignment horizontal="center"/>
    </xf>
    <xf numFmtId="37" fontId="8" fillId="0" borderId="0" xfId="0" applyNumberFormat="1" applyFont="1" applyAlignment="1">
      <alignment horizontal="center"/>
    </xf>
    <xf numFmtId="14" fontId="34" fillId="0" borderId="0" xfId="0" applyNumberFormat="1" applyFont="1" applyAlignment="1">
      <alignment horizontal="center"/>
    </xf>
    <xf numFmtId="165" fontId="34" fillId="0" borderId="0" xfId="0" applyNumberFormat="1" applyFont="1" applyAlignment="1">
      <alignment horizontal="center"/>
    </xf>
    <xf numFmtId="165" fontId="0" fillId="0" borderId="0" xfId="0" applyNumberFormat="1" applyFont="1" applyAlignment="1">
      <alignment horizontal="center"/>
    </xf>
    <xf numFmtId="2" fontId="8" fillId="0" borderId="7" xfId="0" applyNumberFormat="1" applyFont="1" applyBorder="1" applyAlignment="1">
      <alignment horizontal="center"/>
    </xf>
    <xf numFmtId="37" fontId="8" fillId="0" borderId="7" xfId="0" applyNumberFormat="1" applyFont="1" applyBorder="1" applyAlignment="1">
      <alignment horizontal="center"/>
    </xf>
    <xf numFmtId="14" fontId="34" fillId="0" borderId="7" xfId="0" applyNumberFormat="1" applyFont="1" applyBorder="1" applyAlignment="1">
      <alignment horizontal="center"/>
    </xf>
    <xf numFmtId="165" fontId="0" fillId="0" borderId="7" xfId="0" applyNumberFormat="1" applyFont="1" applyBorder="1" applyAlignment="1">
      <alignment horizontal="center"/>
    </xf>
    <xf numFmtId="37" fontId="34" fillId="0" borderId="0" xfId="0" applyNumberFormat="1" applyFont="1" applyAlignment="1">
      <alignment horizontal="center"/>
    </xf>
    <xf numFmtId="0" fontId="34" fillId="0" borderId="0" xfId="0" applyFont="1"/>
    <xf numFmtId="0" fontId="9" fillId="0" borderId="7" xfId="0" applyFont="1" applyBorder="1" applyAlignment="1">
      <alignment horizontal="left" indent="24"/>
    </xf>
    <xf numFmtId="0" fontId="9" fillId="0" borderId="7" xfId="0" applyFont="1" applyBorder="1" applyAlignment="1">
      <alignment horizontal="left" indent="28"/>
    </xf>
    <xf numFmtId="0" fontId="34" fillId="0" borderId="0" xfId="0" applyFont="1" applyAlignment="1">
      <alignment horizontal="center"/>
    </xf>
    <xf numFmtId="14" fontId="0" fillId="0" borderId="0" xfId="0" applyNumberFormat="1" applyFont="1"/>
    <xf numFmtId="37" fontId="0" fillId="0" borderId="0" xfId="0" applyNumberFormat="1" applyFont="1"/>
    <xf numFmtId="39" fontId="0" fillId="0" borderId="0" xfId="0" applyNumberFormat="1" applyFont="1"/>
    <xf numFmtId="37" fontId="34" fillId="0" borderId="0" xfId="0" applyNumberFormat="1" applyFont="1"/>
    <xf numFmtId="0" fontId="0" fillId="0" borderId="0" xfId="0" applyFont="1" applyBorder="1"/>
    <xf numFmtId="0" fontId="0" fillId="0" borderId="10" xfId="0" applyBorder="1"/>
    <xf numFmtId="0" fontId="15" fillId="0" borderId="4" xfId="0" applyFont="1" applyFill="1" applyBorder="1" applyAlignment="1">
      <alignment horizontal="center"/>
    </xf>
    <xf numFmtId="169" fontId="11" fillId="0" borderId="0" xfId="0" applyNumberFormat="1" applyFont="1" applyFill="1" applyBorder="1" applyAlignment="1">
      <alignment horizontal="center"/>
    </xf>
    <xf numFmtId="0" fontId="15" fillId="8" borderId="4" xfId="0" applyFont="1" applyFill="1" applyBorder="1" applyAlignment="1">
      <alignment horizontal="center"/>
    </xf>
    <xf numFmtId="169" fontId="11" fillId="8" borderId="0" xfId="0" applyNumberFormat="1" applyFont="1" applyFill="1" applyBorder="1" applyAlignment="1">
      <alignment horizontal="center"/>
    </xf>
    <xf numFmtId="41" fontId="14" fillId="8" borderId="0" xfId="2" applyNumberFormat="1" applyFont="1" applyFill="1" applyBorder="1" applyAlignment="1">
      <alignment horizontal="right"/>
    </xf>
    <xf numFmtId="0" fontId="35" fillId="0" borderId="0" xfId="0" applyFont="1" applyAlignment="1">
      <alignment horizontal="left"/>
    </xf>
    <xf numFmtId="0" fontId="16" fillId="0" borderId="29" xfId="0" applyFont="1" applyFill="1" applyBorder="1" applyAlignment="1">
      <alignment horizontal="center" wrapText="1"/>
    </xf>
    <xf numFmtId="0" fontId="13" fillId="0" borderId="32" xfId="0" applyFont="1" applyFill="1" applyBorder="1" applyAlignment="1">
      <alignment horizontal="center" wrapText="1"/>
    </xf>
    <xf numFmtId="0" fontId="13" fillId="0" borderId="24" xfId="0" applyFont="1" applyFill="1" applyBorder="1" applyAlignment="1">
      <alignment horizontal="center" wrapText="1"/>
    </xf>
    <xf numFmtId="0" fontId="13" fillId="0" borderId="0" xfId="0" applyFont="1" applyFill="1" applyBorder="1" applyAlignment="1">
      <alignment horizontal="center" wrapText="1"/>
    </xf>
    <xf numFmtId="0" fontId="16" fillId="0" borderId="30" xfId="0" applyFont="1" applyFill="1" applyBorder="1" applyAlignment="1">
      <alignment horizontal="center" wrapText="1"/>
    </xf>
    <xf numFmtId="0" fontId="13" fillId="0" borderId="27" xfId="0" applyFont="1" applyFill="1" applyBorder="1" applyAlignment="1">
      <alignment horizontal="center" wrapText="1"/>
    </xf>
    <xf numFmtId="0" fontId="16" fillId="0" borderId="4" xfId="0" applyFont="1" applyFill="1" applyBorder="1" applyAlignment="1">
      <alignment horizontal="center" wrapText="1"/>
    </xf>
    <xf numFmtId="0" fontId="23" fillId="0" borderId="0" xfId="0" applyFont="1" applyFill="1" applyBorder="1" applyAlignment="1">
      <alignment horizontal="center" wrapText="1"/>
    </xf>
    <xf numFmtId="10" fontId="11" fillId="0" borderId="0" xfId="0" applyNumberFormat="1" applyFont="1" applyFill="1" applyBorder="1" applyAlignment="1">
      <alignment horizontal="center"/>
    </xf>
    <xf numFmtId="41" fontId="14" fillId="8" borderId="0" xfId="2" applyNumberFormat="1" applyFont="1" applyFill="1" applyBorder="1" applyAlignment="1">
      <alignment horizontal="center"/>
    </xf>
    <xf numFmtId="0" fontId="16" fillId="8" borderId="4" xfId="0" applyFont="1" applyFill="1" applyBorder="1" applyAlignment="1">
      <alignment horizontal="center" wrapText="1"/>
    </xf>
    <xf numFmtId="0" fontId="13" fillId="8" borderId="4" xfId="0" applyFont="1" applyFill="1" applyBorder="1" applyAlignment="1">
      <alignment horizontal="center" wrapText="1"/>
    </xf>
    <xf numFmtId="3" fontId="14" fillId="8" borderId="0" xfId="0" applyNumberFormat="1" applyFont="1" applyFill="1" applyBorder="1" applyAlignment="1">
      <alignment horizontal="right" wrapText="1"/>
    </xf>
    <xf numFmtId="0" fontId="11" fillId="0" borderId="0" xfId="0" applyFont="1" applyFill="1" applyAlignment="1">
      <alignment horizontal="center"/>
    </xf>
    <xf numFmtId="0" fontId="11" fillId="8" borderId="0" xfId="0" applyFont="1" applyFill="1" applyAlignment="1">
      <alignment horizontal="center"/>
    </xf>
    <xf numFmtId="0" fontId="13" fillId="0" borderId="24" xfId="0" applyFont="1" applyFill="1" applyBorder="1" applyAlignment="1">
      <alignment horizontal="centerContinuous" wrapText="1"/>
    </xf>
    <xf numFmtId="0" fontId="13" fillId="0" borderId="25" xfId="0" applyFont="1" applyFill="1" applyBorder="1" applyAlignment="1">
      <alignment horizontal="centerContinuous" wrapText="1"/>
    </xf>
    <xf numFmtId="0" fontId="13" fillId="0" borderId="26" xfId="0" applyFont="1" applyFill="1" applyBorder="1" applyAlignment="1">
      <alignment horizontal="centerContinuous" wrapText="1"/>
    </xf>
    <xf numFmtId="0" fontId="32" fillId="0" borderId="22" xfId="0" applyFont="1" applyBorder="1"/>
    <xf numFmtId="0" fontId="32" fillId="0" borderId="0" xfId="0" applyFont="1"/>
    <xf numFmtId="0" fontId="0" fillId="0" borderId="0" xfId="0" applyFont="1" applyAlignment="1">
      <alignment horizontal="left"/>
    </xf>
    <xf numFmtId="175" fontId="0" fillId="0" borderId="0" xfId="0" applyNumberFormat="1"/>
    <xf numFmtId="10" fontId="0" fillId="0" borderId="0" xfId="3" applyNumberFormat="1" applyFont="1" applyAlignment="1">
      <alignment horizontal="center"/>
    </xf>
    <xf numFmtId="10" fontId="0" fillId="0" borderId="0" xfId="0" applyNumberFormat="1" applyAlignment="1">
      <alignment horizontal="center"/>
    </xf>
    <xf numFmtId="0" fontId="31" fillId="0" borderId="0" xfId="0" applyFont="1"/>
    <xf numFmtId="0" fontId="0" fillId="0" borderId="0" xfId="0" applyAlignment="1">
      <alignment horizontal="right"/>
    </xf>
    <xf numFmtId="0" fontId="0" fillId="0" borderId="0" xfId="0" applyAlignment="1">
      <alignment horizontal="left"/>
    </xf>
    <xf numFmtId="0" fontId="28" fillId="0" borderId="0" xfId="0" applyFont="1" applyAlignment="1">
      <alignment horizontal="left"/>
    </xf>
    <xf numFmtId="0" fontId="4" fillId="0" borderId="15" xfId="0" applyFont="1" applyBorder="1" applyAlignment="1">
      <alignment horizontal="center"/>
    </xf>
    <xf numFmtId="0" fontId="0" fillId="0" borderId="15" xfId="0" applyBorder="1" applyAlignment="1">
      <alignment horizontal="center"/>
    </xf>
    <xf numFmtId="0" fontId="0" fillId="0" borderId="0" xfId="0" applyBorder="1" applyAlignment="1">
      <alignment horizontal="center"/>
    </xf>
    <xf numFmtId="0" fontId="0" fillId="0" borderId="0" xfId="0" applyAlignment="1">
      <alignment horizontal="left" wrapText="1"/>
    </xf>
    <xf numFmtId="10" fontId="8" fillId="0" borderId="5" xfId="1" applyNumberFormat="1" applyFont="1" applyBorder="1" applyAlignment="1">
      <alignment horizontal="center"/>
    </xf>
    <xf numFmtId="10" fontId="8" fillId="0" borderId="8" xfId="0" applyNumberFormat="1" applyFont="1" applyBorder="1" applyAlignment="1">
      <alignment horizontal="center"/>
    </xf>
    <xf numFmtId="164" fontId="7" fillId="0" borderId="2" xfId="0" applyNumberFormat="1" applyFont="1" applyFill="1" applyBorder="1"/>
    <xf numFmtId="164" fontId="7" fillId="0" borderId="5" xfId="0" applyNumberFormat="1" applyFont="1" applyFill="1" applyBorder="1"/>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4" xfId="0" applyFont="1" applyFill="1" applyBorder="1" applyAlignment="1">
      <alignment horizontal="center"/>
    </xf>
    <xf numFmtId="0" fontId="5" fillId="2" borderId="2" xfId="0" applyFont="1" applyFill="1" applyBorder="1" applyAlignment="1">
      <alignment horizontal="right"/>
    </xf>
    <xf numFmtId="14" fontId="29" fillId="0" borderId="0" xfId="0" applyNumberFormat="1" applyFont="1" applyFill="1" applyBorder="1" applyAlignment="1">
      <alignment horizontal="center"/>
    </xf>
    <xf numFmtId="174" fontId="8" fillId="0" borderId="10" xfId="0" applyNumberFormat="1" applyFont="1" applyBorder="1"/>
    <xf numFmtId="174" fontId="8" fillId="0" borderId="2" xfId="0" applyNumberFormat="1" applyFont="1" applyBorder="1"/>
    <xf numFmtId="3" fontId="8" fillId="0" borderId="15" xfId="0" applyNumberFormat="1" applyFont="1" applyBorder="1"/>
    <xf numFmtId="0" fontId="4" fillId="0" borderId="6" xfId="0" applyFont="1" applyBorder="1"/>
    <xf numFmtId="3" fontId="8" fillId="0" borderId="36" xfId="0" applyNumberFormat="1" applyFont="1" applyBorder="1"/>
    <xf numFmtId="0" fontId="29" fillId="8" borderId="1" xfId="0" applyFont="1" applyFill="1" applyBorder="1" applyAlignment="1">
      <alignment horizontal="centerContinuous"/>
    </xf>
    <xf numFmtId="0" fontId="8" fillId="8" borderId="2" xfId="0" applyFont="1" applyFill="1" applyBorder="1" applyAlignment="1">
      <alignment horizontal="centerContinuous"/>
    </xf>
    <xf numFmtId="14" fontId="29" fillId="8" borderId="2" xfId="0" applyNumberFormat="1" applyFont="1" applyFill="1" applyBorder="1" applyAlignment="1">
      <alignment horizontal="centerContinuous"/>
    </xf>
    <xf numFmtId="0" fontId="29" fillId="0" borderId="6" xfId="0" applyFont="1" applyFill="1" applyBorder="1"/>
    <xf numFmtId="0" fontId="8" fillId="0" borderId="7" xfId="0" applyFont="1" applyFill="1" applyBorder="1"/>
    <xf numFmtId="174" fontId="8" fillId="0" borderId="12" xfId="0" applyNumberFormat="1" applyFont="1" applyBorder="1"/>
    <xf numFmtId="174" fontId="8" fillId="0" borderId="15" xfId="0" applyNumberFormat="1" applyFont="1" applyBorder="1"/>
    <xf numFmtId="0" fontId="4" fillId="8" borderId="9" xfId="0" applyFont="1" applyFill="1" applyBorder="1" applyAlignment="1">
      <alignment horizontal="centerContinuous"/>
    </xf>
    <xf numFmtId="0" fontId="4" fillId="8" borderId="10" xfId="0" applyFont="1" applyFill="1" applyBorder="1" applyAlignment="1">
      <alignment horizontal="centerContinuous"/>
    </xf>
    <xf numFmtId="3" fontId="29" fillId="8" borderId="15" xfId="0" applyNumberFormat="1" applyFont="1" applyFill="1" applyBorder="1" applyAlignment="1">
      <alignment horizontal="center"/>
    </xf>
    <xf numFmtId="0" fontId="29" fillId="0" borderId="4" xfId="0" applyFont="1" applyFill="1" applyBorder="1" applyAlignment="1">
      <alignment horizontal="centerContinuous"/>
    </xf>
    <xf numFmtId="0" fontId="8" fillId="0" borderId="0" xfId="0" applyFont="1" applyFill="1" applyBorder="1" applyAlignment="1">
      <alignment horizontal="centerContinuous"/>
    </xf>
    <xf numFmtId="14" fontId="29" fillId="0" borderId="0" xfId="0" applyNumberFormat="1" applyFont="1" applyFill="1" applyBorder="1" applyAlignment="1">
      <alignment horizontal="centerContinuous"/>
    </xf>
    <xf numFmtId="0" fontId="29" fillId="8" borderId="9" xfId="0" applyFont="1" applyFill="1" applyBorder="1" applyAlignment="1">
      <alignment horizontal="centerContinuous"/>
    </xf>
    <xf numFmtId="0" fontId="8" fillId="8" borderId="10" xfId="0" applyFont="1" applyFill="1" applyBorder="1" applyAlignment="1">
      <alignment horizontal="centerContinuous"/>
    </xf>
    <xf numFmtId="14" fontId="29" fillId="8" borderId="10" xfId="0" applyNumberFormat="1" applyFont="1" applyFill="1" applyBorder="1" applyAlignment="1">
      <alignment horizontal="centerContinuous"/>
    </xf>
    <xf numFmtId="0" fontId="29" fillId="8" borderId="11" xfId="0" applyFont="1" applyFill="1" applyBorder="1" applyAlignment="1">
      <alignment horizontal="centerContinuous"/>
    </xf>
    <xf numFmtId="176" fontId="8" fillId="0" borderId="0" xfId="0" applyNumberFormat="1" applyFont="1"/>
    <xf numFmtId="176" fontId="8" fillId="0" borderId="5" xfId="0" applyNumberFormat="1" applyFont="1" applyBorder="1"/>
    <xf numFmtId="174" fontId="8" fillId="0" borderId="34" xfId="0" applyNumberFormat="1" applyFont="1" applyBorder="1"/>
    <xf numFmtId="0" fontId="0" fillId="0" borderId="2" xfId="0" applyFont="1" applyBorder="1"/>
    <xf numFmtId="0" fontId="0" fillId="0" borderId="35" xfId="0" applyFont="1" applyBorder="1"/>
    <xf numFmtId="0" fontId="0" fillId="0" borderId="36" xfId="0" applyFont="1" applyBorder="1"/>
    <xf numFmtId="0" fontId="0" fillId="0" borderId="7" xfId="0" applyFont="1" applyBorder="1"/>
    <xf numFmtId="0" fontId="0" fillId="0" borderId="3" xfId="0" applyFont="1" applyBorder="1"/>
    <xf numFmtId="0" fontId="0" fillId="0" borderId="11" xfId="0" applyFont="1" applyBorder="1"/>
    <xf numFmtId="0" fontId="0" fillId="0" borderId="6" xfId="0" applyFont="1" applyBorder="1"/>
    <xf numFmtId="0" fontId="0" fillId="0" borderId="8" xfId="0" applyFont="1" applyBorder="1"/>
    <xf numFmtId="0" fontId="0" fillId="0" borderId="1" xfId="0" applyFont="1" applyBorder="1" applyAlignment="1">
      <alignment horizontal="centerContinuous"/>
    </xf>
    <xf numFmtId="0" fontId="0" fillId="0" borderId="2" xfId="0" applyFont="1" applyBorder="1" applyAlignment="1">
      <alignment horizontal="centerContinuous"/>
    </xf>
    <xf numFmtId="0" fontId="0" fillId="0" borderId="9" xfId="0" applyFont="1" applyBorder="1" applyAlignment="1">
      <alignment horizontal="centerContinuous"/>
    </xf>
    <xf numFmtId="0" fontId="0" fillId="0" borderId="10" xfId="0" applyFont="1" applyBorder="1" applyAlignment="1">
      <alignment horizontal="centerContinuous"/>
    </xf>
    <xf numFmtId="0" fontId="18" fillId="0" borderId="0" xfId="0" applyFont="1" applyAlignment="1">
      <alignment horizontal="centerContinuous" vertical="center"/>
    </xf>
    <xf numFmtId="0" fontId="0" fillId="0" borderId="0" xfId="0" applyFont="1" applyAlignment="1">
      <alignment horizontal="centerContinuous" vertical="center"/>
    </xf>
    <xf numFmtId="0" fontId="29" fillId="0" borderId="0" xfId="0" applyFont="1" applyAlignment="1">
      <alignment horizontal="left" vertical="center"/>
    </xf>
    <xf numFmtId="171" fontId="34" fillId="0" borderId="0" xfId="0" applyNumberFormat="1" applyFont="1" applyAlignment="1">
      <alignment horizontal="left"/>
    </xf>
    <xf numFmtId="0" fontId="29" fillId="0" borderId="22" xfId="0" applyFont="1" applyBorder="1" applyAlignment="1">
      <alignment horizontal="left" vertical="center"/>
    </xf>
    <xf numFmtId="0" fontId="0" fillId="0" borderId="22" xfId="0" applyFont="1" applyBorder="1" applyAlignment="1">
      <alignment horizontal="centerContinuous" vertical="center"/>
    </xf>
    <xf numFmtId="0" fontId="0" fillId="0" borderId="22" xfId="0" applyFont="1" applyBorder="1"/>
    <xf numFmtId="0" fontId="36" fillId="0" borderId="0" xfId="0" applyFont="1"/>
    <xf numFmtId="164" fontId="0" fillId="0" borderId="0" xfId="0" applyNumberFormat="1" applyBorder="1" applyAlignment="1">
      <alignment horizontal="left"/>
    </xf>
    <xf numFmtId="164" fontId="0" fillId="0" borderId="7" xfId="0" applyNumberFormat="1" applyBorder="1" applyAlignment="1">
      <alignment horizontal="left"/>
    </xf>
    <xf numFmtId="3" fontId="7" fillId="0" borderId="0" xfId="0" applyNumberFormat="1" applyFont="1" applyBorder="1" applyAlignment="1">
      <alignment horizontal="center"/>
    </xf>
    <xf numFmtId="0" fontId="0" fillId="0" borderId="0" xfId="0" applyAlignment="1"/>
    <xf numFmtId="3" fontId="0" fillId="0" borderId="0" xfId="0" applyNumberFormat="1" applyAlignment="1">
      <alignment horizontal="center"/>
    </xf>
    <xf numFmtId="3" fontId="7" fillId="0" borderId="7" xfId="0" applyNumberFormat="1" applyFont="1" applyBorder="1" applyAlignment="1">
      <alignment horizontal="center"/>
    </xf>
    <xf numFmtId="3" fontId="8" fillId="0" borderId="4" xfId="1" applyNumberFormat="1" applyFont="1" applyBorder="1" applyAlignment="1">
      <alignment horizontal="center"/>
    </xf>
    <xf numFmtId="3" fontId="8" fillId="0" borderId="4" xfId="0" applyNumberFormat="1" applyFont="1" applyBorder="1" applyAlignment="1">
      <alignment horizontal="center"/>
    </xf>
    <xf numFmtId="3" fontId="8" fillId="0" borderId="6" xfId="1" applyNumberFormat="1" applyFont="1" applyBorder="1" applyAlignment="1">
      <alignment horizontal="center"/>
    </xf>
    <xf numFmtId="3" fontId="7" fillId="0" borderId="0" xfId="0" applyNumberFormat="1" applyFont="1" applyAlignment="1">
      <alignment horizontal="center"/>
    </xf>
    <xf numFmtId="3" fontId="8" fillId="0" borderId="13" xfId="0" applyNumberFormat="1" applyFont="1" applyBorder="1" applyAlignment="1">
      <alignment horizontal="center"/>
    </xf>
    <xf numFmtId="3" fontId="8" fillId="0" borderId="14" xfId="0" applyNumberFormat="1" applyFon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xf>
    <xf numFmtId="3" fontId="7" fillId="0" borderId="0" xfId="0" applyNumberFormat="1" applyFont="1" applyFill="1" applyBorder="1" applyAlignment="1">
      <alignment horizontal="center"/>
    </xf>
    <xf numFmtId="3" fontId="0" fillId="0" borderId="10" xfId="0" applyNumberFormat="1" applyBorder="1" applyAlignment="1">
      <alignment horizontal="center"/>
    </xf>
    <xf numFmtId="3" fontId="8" fillId="0" borderId="0" xfId="0" applyNumberFormat="1" applyFont="1" applyAlignment="1">
      <alignment horizontal="center"/>
    </xf>
    <xf numFmtId="3" fontId="4" fillId="0" borderId="10" xfId="0" applyNumberFormat="1" applyFont="1" applyBorder="1"/>
    <xf numFmtId="3" fontId="4" fillId="0" borderId="11" xfId="0" applyNumberFormat="1" applyFont="1" applyBorder="1"/>
    <xf numFmtId="3" fontId="2" fillId="2" borderId="10" xfId="0" applyNumberFormat="1" applyFont="1" applyFill="1" applyBorder="1"/>
    <xf numFmtId="3" fontId="8" fillId="0" borderId="2" xfId="0" applyNumberFormat="1" applyFont="1" applyBorder="1"/>
    <xf numFmtId="3" fontId="29" fillId="0" borderId="10" xfId="1" applyNumberFormat="1" applyFont="1" applyFill="1" applyBorder="1"/>
    <xf numFmtId="0" fontId="2" fillId="2" borderId="1" xfId="0" applyFont="1" applyFill="1" applyBorder="1" applyAlignment="1">
      <alignment horizontal="left"/>
    </xf>
    <xf numFmtId="14" fontId="2" fillId="2" borderId="3" xfId="0" applyNumberFormat="1" applyFont="1" applyFill="1" applyBorder="1" applyAlignment="1">
      <alignment horizontal="center"/>
    </xf>
    <xf numFmtId="174" fontId="4" fillId="0" borderId="11" xfId="0" applyNumberFormat="1" applyFont="1" applyBorder="1"/>
    <xf numFmtId="174" fontId="0" fillId="0" borderId="3" xfId="0" applyNumberFormat="1" applyFont="1" applyBorder="1"/>
    <xf numFmtId="3" fontId="8" fillId="0" borderId="5" xfId="0" applyNumberFormat="1" applyFont="1" applyBorder="1" applyAlignment="1">
      <alignment horizontal="center"/>
    </xf>
    <xf numFmtId="10" fontId="0" fillId="0" borderId="5" xfId="0" applyNumberFormat="1" applyBorder="1" applyAlignment="1">
      <alignment horizontal="center"/>
    </xf>
    <xf numFmtId="170" fontId="0" fillId="0" borderId="5" xfId="0" applyNumberFormat="1" applyBorder="1" applyAlignment="1">
      <alignment horizontal="center"/>
    </xf>
    <xf numFmtId="170" fontId="0" fillId="0" borderId="8" xfId="0" applyNumberFormat="1" applyBorder="1" applyAlignment="1">
      <alignment horizontal="center"/>
    </xf>
    <xf numFmtId="170" fontId="0" fillId="3" borderId="9" xfId="0" applyNumberFormat="1" applyFill="1" applyBorder="1" applyAlignment="1">
      <alignment horizontal="center"/>
    </xf>
    <xf numFmtId="170" fontId="0" fillId="3" borderId="10" xfId="0" applyNumberFormat="1" applyFill="1" applyBorder="1" applyAlignment="1">
      <alignment horizontal="center"/>
    </xf>
    <xf numFmtId="2" fontId="4" fillId="0" borderId="15" xfId="0" applyNumberFormat="1" applyFont="1" applyBorder="1" applyAlignment="1">
      <alignment horizontal="center"/>
    </xf>
    <xf numFmtId="0" fontId="13" fillId="0" borderId="28" xfId="0" applyFont="1" applyFill="1" applyBorder="1" applyAlignment="1">
      <alignment horizontal="center" wrapText="1"/>
    </xf>
    <xf numFmtId="0" fontId="13" fillId="0" borderId="29" xfId="0" applyFont="1" applyFill="1" applyBorder="1" applyAlignment="1">
      <alignment horizontal="center" wrapText="1"/>
    </xf>
    <xf numFmtId="0" fontId="13" fillId="0" borderId="30" xfId="0" applyFont="1" applyFill="1" applyBorder="1" applyAlignment="1">
      <alignment horizontal="center" wrapText="1"/>
    </xf>
    <xf numFmtId="165" fontId="0" fillId="0" borderId="0" xfId="0" applyNumberFormat="1"/>
    <xf numFmtId="2" fontId="0" fillId="0" borderId="0" xfId="0" applyNumberFormat="1" applyAlignment="1">
      <alignment horizontal="center"/>
    </xf>
    <xf numFmtId="2" fontId="4" fillId="0" borderId="14" xfId="0" applyNumberFormat="1" applyFont="1" applyBorder="1" applyAlignment="1">
      <alignment horizontal="center"/>
    </xf>
    <xf numFmtId="170" fontId="0" fillId="0" borderId="11" xfId="0" applyNumberFormat="1" applyFill="1" applyBorder="1" applyAlignment="1">
      <alignment horizontal="center"/>
    </xf>
    <xf numFmtId="169" fontId="20" fillId="8" borderId="0" xfId="0" applyNumberFormat="1" applyFont="1" applyFill="1" applyBorder="1" applyAlignment="1">
      <alignment horizontal="center"/>
    </xf>
    <xf numFmtId="168" fontId="14" fillId="0" borderId="0" xfId="2" applyNumberFormat="1" applyFont="1" applyFill="1" applyBorder="1" applyAlignment="1">
      <alignment horizontal="center"/>
    </xf>
    <xf numFmtId="178" fontId="14" fillId="0" borderId="0" xfId="2" applyNumberFormat="1" applyFont="1" applyBorder="1" applyAlignment="1">
      <alignment horizontal="center"/>
    </xf>
    <xf numFmtId="3" fontId="7" fillId="0" borderId="34" xfId="0" applyNumberFormat="1" applyFont="1" applyBorder="1"/>
    <xf numFmtId="10" fontId="8" fillId="0" borderId="14" xfId="3" applyNumberFormat="1" applyFont="1" applyBorder="1" applyAlignment="1">
      <alignment horizontal="centerContinuous"/>
    </xf>
    <xf numFmtId="164" fontId="6" fillId="0" borderId="0" xfId="0" applyNumberFormat="1" applyFont="1"/>
    <xf numFmtId="169" fontId="8" fillId="5" borderId="4" xfId="0" applyNumberFormat="1" applyFont="1" applyFill="1" applyBorder="1" applyAlignment="1">
      <alignment horizontal="center"/>
    </xf>
    <xf numFmtId="169" fontId="0" fillId="5" borderId="4" xfId="0" applyNumberFormat="1" applyFill="1" applyBorder="1" applyAlignment="1">
      <alignment horizontal="center"/>
    </xf>
    <xf numFmtId="43" fontId="0" fillId="0" borderId="0" xfId="0" applyNumberFormat="1"/>
    <xf numFmtId="38" fontId="0" fillId="0" borderId="0" xfId="0" applyNumberFormat="1"/>
    <xf numFmtId="0" fontId="37" fillId="0" borderId="0" xfId="0" applyFont="1"/>
    <xf numFmtId="3" fontId="0" fillId="0" borderId="9" xfId="0" applyNumberFormat="1" applyBorder="1" applyAlignment="1">
      <alignment horizontal="center"/>
    </xf>
    <xf numFmtId="3" fontId="0" fillId="0" borderId="11" xfId="0" applyNumberFormat="1" applyBorder="1" applyAlignment="1">
      <alignment horizontal="center"/>
    </xf>
    <xf numFmtId="9" fontId="11" fillId="0" borderId="0" xfId="0" applyNumberFormat="1" applyFont="1" applyBorder="1" applyAlignment="1">
      <alignment horizontal="center"/>
    </xf>
    <xf numFmtId="9" fontId="11" fillId="0" borderId="0" xfId="0" applyNumberFormat="1" applyFont="1" applyBorder="1" applyAlignment="1">
      <alignment horizontal="center" wrapText="1"/>
    </xf>
    <xf numFmtId="168" fontId="14" fillId="0" borderId="0" xfId="2" applyNumberFormat="1" applyFont="1" applyBorder="1" applyAlignment="1">
      <alignment horizontal="center"/>
    </xf>
    <xf numFmtId="0" fontId="8" fillId="0" borderId="0" xfId="0" applyFont="1"/>
    <xf numFmtId="174" fontId="0" fillId="0" borderId="0" xfId="0" applyNumberFormat="1"/>
    <xf numFmtId="177" fontId="8" fillId="3" borderId="12" xfId="0" applyNumberFormat="1" applyFont="1" applyFill="1" applyBorder="1" applyAlignment="1">
      <alignment horizontal="center"/>
    </xf>
    <xf numFmtId="177" fontId="8" fillId="3" borderId="15" xfId="0" applyNumberFormat="1" applyFont="1" applyFill="1" applyBorder="1" applyAlignment="1">
      <alignment horizontal="center"/>
    </xf>
    <xf numFmtId="3" fontId="8" fillId="6" borderId="0" xfId="0" applyNumberFormat="1" applyFont="1" applyFill="1" applyBorder="1"/>
    <xf numFmtId="3" fontId="8" fillId="6" borderId="7" xfId="0" applyNumberFormat="1" applyFont="1" applyFill="1" applyBorder="1"/>
    <xf numFmtId="3" fontId="4" fillId="0" borderId="10" xfId="1" applyNumberFormat="1" applyFont="1" applyBorder="1"/>
    <xf numFmtId="0" fontId="37" fillId="0" borderId="17" xfId="0" applyFont="1" applyBorder="1"/>
    <xf numFmtId="0" fontId="38" fillId="0" borderId="0" xfId="0" applyFont="1" applyBorder="1" applyAlignment="1">
      <alignment horizontal="center" wrapText="1"/>
    </xf>
    <xf numFmtId="0" fontId="28" fillId="0" borderId="0" xfId="0" applyFont="1" applyBorder="1" applyAlignment="1">
      <alignment horizontal="center"/>
    </xf>
    <xf numFmtId="0" fontId="38" fillId="0" borderId="20" xfId="0" applyFont="1" applyBorder="1" applyAlignment="1">
      <alignment horizontal="center" wrapText="1"/>
    </xf>
    <xf numFmtId="3" fontId="9" fillId="0" borderId="0" xfId="0" applyNumberFormat="1" applyFont="1" applyBorder="1" applyAlignment="1">
      <alignment horizontal="center" wrapText="1"/>
    </xf>
    <xf numFmtId="3" fontId="9" fillId="0" borderId="20" xfId="0" applyNumberFormat="1" applyFont="1" applyBorder="1" applyAlignment="1">
      <alignment horizontal="center" wrapText="1"/>
    </xf>
    <xf numFmtId="0" fontId="9" fillId="0" borderId="0" xfId="0" applyFont="1" applyBorder="1" applyAlignment="1">
      <alignment wrapText="1"/>
    </xf>
    <xf numFmtId="0" fontId="9" fillId="0" borderId="20" xfId="0" applyFont="1" applyBorder="1" applyAlignment="1">
      <alignment wrapText="1"/>
    </xf>
    <xf numFmtId="173" fontId="37" fillId="0" borderId="19" xfId="0" applyNumberFormat="1" applyFont="1" applyBorder="1" applyAlignment="1">
      <alignment horizontal="center"/>
    </xf>
    <xf numFmtId="41" fontId="4" fillId="0" borderId="0" xfId="0" applyNumberFormat="1" applyFont="1" applyBorder="1" applyAlignment="1">
      <alignment horizontal="center"/>
    </xf>
    <xf numFmtId="41" fontId="4" fillId="0" borderId="20" xfId="0" applyNumberFormat="1" applyFont="1" applyBorder="1" applyAlignment="1">
      <alignment horizontal="center"/>
    </xf>
    <xf numFmtId="0" fontId="37" fillId="0" borderId="21" xfId="0" applyFont="1" applyBorder="1" applyAlignment="1">
      <alignment horizontal="center"/>
    </xf>
    <xf numFmtId="41" fontId="4" fillId="0" borderId="22" xfId="0" applyNumberFormat="1" applyFont="1" applyBorder="1" applyAlignment="1">
      <alignment horizontal="center"/>
    </xf>
    <xf numFmtId="41" fontId="4" fillId="0" borderId="23" xfId="0" applyNumberFormat="1" applyFont="1" applyBorder="1" applyAlignment="1">
      <alignment horizontal="center"/>
    </xf>
    <xf numFmtId="180" fontId="8" fillId="3" borderId="15" xfId="0" applyNumberFormat="1" applyFont="1" applyFill="1" applyBorder="1" applyAlignment="1">
      <alignment horizontal="center"/>
    </xf>
    <xf numFmtId="169" fontId="11" fillId="0" borderId="0" xfId="0" applyNumberFormat="1" applyFont="1" applyFill="1" applyAlignment="1">
      <alignment horizontal="center"/>
    </xf>
    <xf numFmtId="0" fontId="0" fillId="0" borderId="9" xfId="0" applyBorder="1" applyAlignment="1">
      <alignment horizontal="center"/>
    </xf>
    <xf numFmtId="168" fontId="8" fillId="0" borderId="15" xfId="1" applyNumberFormat="1" applyFont="1" applyFill="1" applyBorder="1"/>
    <xf numFmtId="3" fontId="8" fillId="0" borderId="15" xfId="0" applyNumberFormat="1" applyFont="1" applyFill="1" applyBorder="1"/>
    <xf numFmtId="179" fontId="8" fillId="0" borderId="15" xfId="3" applyNumberFormat="1" applyFont="1" applyFill="1" applyBorder="1"/>
    <xf numFmtId="43" fontId="8" fillId="0" borderId="15" xfId="1" applyFont="1" applyFill="1" applyBorder="1"/>
    <xf numFmtId="3" fontId="8" fillId="0" borderId="12" xfId="0" applyNumberFormat="1" applyFont="1" applyFill="1" applyBorder="1"/>
    <xf numFmtId="3" fontId="8" fillId="0" borderId="14" xfId="0" applyNumberFormat="1" applyFont="1" applyFill="1" applyBorder="1"/>
    <xf numFmtId="3" fontId="8" fillId="0" borderId="13" xfId="0" applyNumberFormat="1" applyFont="1" applyFill="1" applyBorder="1"/>
    <xf numFmtId="0" fontId="29" fillId="0" borderId="5" xfId="0" applyFont="1" applyFill="1" applyBorder="1" applyAlignment="1">
      <alignment horizontal="center"/>
    </xf>
    <xf numFmtId="174" fontId="8" fillId="0" borderId="15" xfId="0" applyNumberFormat="1" applyFont="1" applyFill="1" applyBorder="1"/>
    <xf numFmtId="174" fontId="8" fillId="0" borderId="12" xfId="0" applyNumberFormat="1" applyFont="1" applyFill="1" applyBorder="1"/>
    <xf numFmtId="174" fontId="8" fillId="0" borderId="34" xfId="0" applyNumberFormat="1" applyFont="1" applyFill="1" applyBorder="1"/>
    <xf numFmtId="3" fontId="7" fillId="0" borderId="34" xfId="0" applyNumberFormat="1" applyFont="1" applyFill="1" applyBorder="1"/>
    <xf numFmtId="3" fontId="8" fillId="0" borderId="14" xfId="0" applyNumberFormat="1" applyFont="1" applyFill="1" applyBorder="1" applyAlignment="1">
      <alignment horizontal="centerContinuous"/>
    </xf>
    <xf numFmtId="0" fontId="0" fillId="0" borderId="0" xfId="0" applyFont="1" applyFill="1"/>
    <xf numFmtId="0" fontId="29" fillId="0" borderId="3" xfId="0" applyFont="1" applyFill="1" applyBorder="1" applyAlignment="1">
      <alignment horizontal="centerContinuous"/>
    </xf>
    <xf numFmtId="0" fontId="39" fillId="0" borderId="0" xfId="0" applyFont="1" applyAlignment="1">
      <alignment wrapText="1"/>
    </xf>
    <xf numFmtId="0" fontId="40" fillId="0" borderId="0" xfId="0" applyFont="1"/>
    <xf numFmtId="3" fontId="39" fillId="0" borderId="0" xfId="0" applyNumberFormat="1" applyFont="1" applyAlignment="1">
      <alignment wrapText="1"/>
    </xf>
    <xf numFmtId="3" fontId="40" fillId="0" borderId="0" xfId="0" applyNumberFormat="1" applyFont="1"/>
    <xf numFmtId="8" fontId="3" fillId="0" borderId="0" xfId="0" applyNumberFormat="1" applyFont="1"/>
    <xf numFmtId="168" fontId="9" fillId="0" borderId="0" xfId="1" applyNumberFormat="1" applyFont="1" applyAlignment="1">
      <alignment wrapText="1"/>
    </xf>
    <xf numFmtId="0" fontId="41" fillId="0" borderId="0" xfId="0" applyFont="1"/>
    <xf numFmtId="168" fontId="0" fillId="0" borderId="7" xfId="0" applyNumberFormat="1" applyBorder="1"/>
    <xf numFmtId="9" fontId="0" fillId="0" borderId="0" xfId="3" applyFont="1"/>
    <xf numFmtId="44" fontId="3" fillId="0" borderId="0" xfId="0" applyNumberFormat="1" applyFont="1"/>
    <xf numFmtId="0" fontId="42" fillId="0" borderId="0" xfId="0" applyFont="1"/>
    <xf numFmtId="3" fontId="8" fillId="0" borderId="0" xfId="0" applyNumberFormat="1" applyFont="1" applyBorder="1" applyAlignment="1">
      <alignment horizontal="center"/>
    </xf>
    <xf numFmtId="0" fontId="2" fillId="2" borderId="3" xfId="0" applyFont="1" applyFill="1" applyBorder="1" applyAlignment="1">
      <alignment horizontal="center" wrapText="1"/>
    </xf>
    <xf numFmtId="169" fontId="8" fillId="0" borderId="4" xfId="0" applyNumberFormat="1" applyFont="1" applyBorder="1" applyAlignment="1">
      <alignment horizontal="center"/>
    </xf>
    <xf numFmtId="169" fontId="8" fillId="0" borderId="6" xfId="0" applyNumberFormat="1" applyFont="1" applyBorder="1" applyAlignment="1">
      <alignment horizontal="center"/>
    </xf>
    <xf numFmtId="169" fontId="8" fillId="0" borderId="0" xfId="0" applyNumberFormat="1" applyFont="1" applyBorder="1" applyAlignment="1">
      <alignment horizontal="center"/>
    </xf>
    <xf numFmtId="169" fontId="29" fillId="0" borderId="0" xfId="0" applyNumberFormat="1" applyFont="1" applyAlignment="1">
      <alignment horizontal="left"/>
    </xf>
    <xf numFmtId="0" fontId="0" fillId="0" borderId="0" xfId="0" quotePrefix="1"/>
    <xf numFmtId="166" fontId="0" fillId="0" borderId="0" xfId="0" quotePrefix="1" applyNumberFormat="1"/>
    <xf numFmtId="169" fontId="0" fillId="0" borderId="0" xfId="0" applyNumberFormat="1" applyFont="1" applyFill="1" applyAlignment="1">
      <alignment horizontal="center"/>
    </xf>
    <xf numFmtId="169" fontId="8" fillId="0" borderId="4" xfId="0" applyNumberFormat="1" applyFont="1" applyFill="1" applyBorder="1" applyAlignment="1">
      <alignment horizontal="center"/>
    </xf>
    <xf numFmtId="0" fontId="8" fillId="0" borderId="0" xfId="0" quotePrefix="1" applyFont="1"/>
    <xf numFmtId="3" fontId="8" fillId="0" borderId="13" xfId="0" applyNumberFormat="1" applyFont="1" applyFill="1" applyBorder="1" applyAlignment="1">
      <alignment horizontal="center"/>
    </xf>
    <xf numFmtId="182" fontId="0" fillId="3" borderId="10" xfId="0" applyNumberFormat="1" applyFill="1" applyBorder="1" applyAlignment="1">
      <alignment horizontal="center"/>
    </xf>
    <xf numFmtId="182" fontId="0" fillId="3" borderId="11" xfId="0" applyNumberFormat="1" applyFill="1" applyBorder="1" applyAlignment="1">
      <alignment horizontal="center"/>
    </xf>
    <xf numFmtId="182" fontId="4" fillId="0" borderId="8" xfId="0" applyNumberFormat="1" applyFont="1" applyBorder="1" applyAlignment="1">
      <alignment horizontal="center"/>
    </xf>
    <xf numFmtId="182" fontId="8" fillId="0" borderId="5" xfId="0" applyNumberFormat="1" applyFont="1" applyBorder="1" applyAlignment="1">
      <alignment horizontal="center"/>
    </xf>
    <xf numFmtId="182" fontId="8" fillId="0" borderId="0" xfId="0" applyNumberFormat="1" applyFont="1" applyAlignment="1">
      <alignment horizontal="center"/>
    </xf>
    <xf numFmtId="182" fontId="0" fillId="0" borderId="0" xfId="0" applyNumberFormat="1" applyAlignment="1">
      <alignment horizontal="center"/>
    </xf>
    <xf numFmtId="182" fontId="0" fillId="0" borderId="8" xfId="0" applyNumberFormat="1" applyBorder="1" applyAlignment="1">
      <alignment horizontal="center"/>
    </xf>
    <xf numFmtId="182" fontId="4" fillId="0" borderId="14" xfId="0" applyNumberFormat="1" applyFont="1" applyBorder="1" applyAlignment="1">
      <alignment horizontal="center"/>
    </xf>
    <xf numFmtId="182" fontId="3" fillId="0" borderId="0" xfId="0" applyNumberFormat="1" applyFont="1"/>
    <xf numFmtId="168" fontId="0" fillId="0" borderId="0" xfId="0" applyNumberFormat="1" applyFont="1"/>
    <xf numFmtId="3" fontId="0" fillId="0" borderId="0" xfId="0" applyNumberFormat="1" applyFont="1"/>
    <xf numFmtId="0" fontId="0" fillId="0" borderId="0" xfId="0" quotePrefix="1" applyAlignment="1">
      <alignment horizontal="right"/>
    </xf>
    <xf numFmtId="0" fontId="43" fillId="0" borderId="0" xfId="0" applyFont="1"/>
    <xf numFmtId="3" fontId="44" fillId="0" borderId="0" xfId="0" applyNumberFormat="1" applyFont="1"/>
    <xf numFmtId="43" fontId="0" fillId="0" borderId="0" xfId="1" applyFont="1"/>
    <xf numFmtId="0" fontId="18" fillId="0" borderId="0" xfId="0" applyFont="1"/>
    <xf numFmtId="0" fontId="8" fillId="0" borderId="0" xfId="0" applyFont="1" applyFill="1"/>
    <xf numFmtId="0" fontId="0" fillId="0" borderId="0" xfId="0" applyFill="1"/>
    <xf numFmtId="0" fontId="0" fillId="0" borderId="4" xfId="0" applyFill="1" applyBorder="1" applyAlignment="1">
      <alignment horizontal="center"/>
    </xf>
    <xf numFmtId="0" fontId="3" fillId="0" borderId="0" xfId="0" applyFont="1" applyBorder="1"/>
    <xf numFmtId="44" fontId="3" fillId="0" borderId="0" xfId="2" applyNumberFormat="1" applyFont="1"/>
    <xf numFmtId="44" fontId="0" fillId="0" borderId="0" xfId="0" applyNumberFormat="1"/>
    <xf numFmtId="168" fontId="0" fillId="0" borderId="0" xfId="1" applyNumberFormat="1" applyFont="1" applyFill="1"/>
    <xf numFmtId="43" fontId="0" fillId="0" borderId="0" xfId="1" applyFont="1" applyFill="1"/>
    <xf numFmtId="0" fontId="45" fillId="0" borderId="0" xfId="0" applyFont="1"/>
    <xf numFmtId="43" fontId="46" fillId="0" borderId="0" xfId="0" applyNumberFormat="1" applyFont="1"/>
    <xf numFmtId="0" fontId="46" fillId="0" borderId="0" xfId="0" applyFont="1"/>
    <xf numFmtId="43" fontId="46" fillId="0" borderId="0" xfId="1" applyFont="1"/>
    <xf numFmtId="168" fontId="46" fillId="0" borderId="0" xfId="1" applyNumberFormat="1" applyFont="1"/>
    <xf numFmtId="174" fontId="8" fillId="0" borderId="5" xfId="0" applyNumberFormat="1" applyFont="1" applyFill="1" applyBorder="1"/>
    <xf numFmtId="3" fontId="8" fillId="0" borderId="5" xfId="0" applyNumberFormat="1" applyFont="1" applyFill="1" applyBorder="1"/>
    <xf numFmtId="3" fontId="7" fillId="0" borderId="5" xfId="0" applyNumberFormat="1" applyFont="1" applyFill="1" applyBorder="1"/>
    <xf numFmtId="182" fontId="0" fillId="0" borderId="0" xfId="0" applyNumberFormat="1"/>
    <xf numFmtId="170" fontId="0" fillId="9" borderId="9" xfId="0" applyNumberFormat="1" applyFill="1" applyBorder="1" applyAlignment="1">
      <alignment horizontal="center"/>
    </xf>
    <xf numFmtId="170" fontId="0" fillId="9" borderId="10" xfId="0" applyNumberFormat="1" applyFill="1" applyBorder="1" applyAlignment="1">
      <alignment horizontal="center"/>
    </xf>
    <xf numFmtId="182" fontId="0" fillId="9" borderId="10" xfId="0" applyNumberFormat="1" applyFill="1" applyBorder="1" applyAlignment="1">
      <alignment horizontal="center"/>
    </xf>
    <xf numFmtId="182" fontId="0" fillId="9" borderId="11" xfId="0" applyNumberFormat="1" applyFill="1" applyBorder="1" applyAlignment="1">
      <alignment horizontal="center"/>
    </xf>
    <xf numFmtId="43" fontId="4" fillId="0" borderId="0" xfId="0" applyNumberFormat="1" applyFont="1"/>
    <xf numFmtId="165" fontId="7" fillId="0" borderId="0" xfId="0" applyNumberFormat="1" applyFont="1" applyFill="1" applyBorder="1"/>
    <xf numFmtId="0" fontId="0" fillId="0" borderId="5" xfId="0" applyFill="1" applyBorder="1"/>
    <xf numFmtId="165" fontId="0" fillId="0" borderId="0" xfId="0" applyNumberFormat="1" applyFont="1" applyFill="1" applyBorder="1"/>
    <xf numFmtId="43" fontId="0" fillId="0" borderId="0" xfId="0" applyNumberFormat="1" applyFill="1" applyBorder="1"/>
    <xf numFmtId="167" fontId="7" fillId="0" borderId="0" xfId="1" applyNumberFormat="1" applyFont="1" applyFill="1" applyBorder="1"/>
    <xf numFmtId="0" fontId="0" fillId="0" borderId="1" xfId="0" applyFill="1" applyBorder="1" applyAlignment="1">
      <alignment horizontal="center"/>
    </xf>
    <xf numFmtId="0" fontId="0" fillId="0" borderId="3" xfId="0" applyFill="1" applyBorder="1" applyAlignment="1">
      <alignment horizontal="center"/>
    </xf>
    <xf numFmtId="10" fontId="7" fillId="0" borderId="4" xfId="0" applyNumberFormat="1" applyFont="1" applyFill="1" applyBorder="1"/>
    <xf numFmtId="10" fontId="7" fillId="0" borderId="5" xfId="0" applyNumberFormat="1" applyFont="1" applyFill="1" applyBorder="1"/>
    <xf numFmtId="165" fontId="0" fillId="0" borderId="8" xfId="0" applyNumberFormat="1" applyFont="1" applyFill="1" applyBorder="1"/>
    <xf numFmtId="10" fontId="7" fillId="0" borderId="6" xfId="0" applyNumberFormat="1" applyFont="1" applyFill="1" applyBorder="1"/>
    <xf numFmtId="10" fontId="7" fillId="0" borderId="8" xfId="0" applyNumberFormat="1" applyFont="1" applyFill="1" applyBorder="1"/>
    <xf numFmtId="165" fontId="6" fillId="0" borderId="7" xfId="0" applyNumberFormat="1" applyFont="1" applyFill="1" applyBorder="1" applyAlignment="1">
      <alignment horizontal="center"/>
    </xf>
    <xf numFmtId="3" fontId="7" fillId="0" borderId="0" xfId="0" applyNumberFormat="1" applyFont="1" applyFill="1" applyAlignment="1">
      <alignment horizontal="right"/>
    </xf>
    <xf numFmtId="3" fontId="7" fillId="0" borderId="5" xfId="0" applyNumberFormat="1" applyFont="1" applyFill="1" applyBorder="1" applyAlignment="1">
      <alignment horizontal="right"/>
    </xf>
    <xf numFmtId="4" fontId="0" fillId="0" borderId="0" xfId="0" applyNumberFormat="1" applyFont="1" applyFill="1" applyAlignment="1">
      <alignment horizontal="right" vertical="top"/>
    </xf>
    <xf numFmtId="4" fontId="0" fillId="0" borderId="5" xfId="0" applyNumberFormat="1" applyFont="1" applyFill="1" applyBorder="1" applyAlignment="1">
      <alignment horizontal="right" vertical="top"/>
    </xf>
    <xf numFmtId="165" fontId="0" fillId="0" borderId="0" xfId="3" applyNumberFormat="1" applyFont="1" applyFill="1" applyBorder="1" applyAlignment="1">
      <alignment horizontal="right"/>
    </xf>
    <xf numFmtId="165" fontId="0" fillId="0" borderId="5" xfId="3" applyNumberFormat="1" applyFont="1" applyFill="1" applyBorder="1" applyAlignment="1">
      <alignment horizontal="right"/>
    </xf>
    <xf numFmtId="169" fontId="0" fillId="0" borderId="1" xfId="0" applyNumberFormat="1" applyFont="1" applyFill="1" applyBorder="1" applyAlignment="1">
      <alignment horizontal="center"/>
    </xf>
    <xf numFmtId="3" fontId="0" fillId="0" borderId="2" xfId="0" applyNumberFormat="1" applyFont="1" applyFill="1" applyBorder="1" applyAlignment="1">
      <alignment horizontal="center"/>
    </xf>
    <xf numFmtId="3" fontId="0" fillId="0" borderId="3" xfId="0" applyNumberFormat="1" applyFont="1" applyFill="1" applyBorder="1" applyAlignment="1">
      <alignment horizontal="center"/>
    </xf>
    <xf numFmtId="3" fontId="7" fillId="0" borderId="2" xfId="0" applyNumberFormat="1" applyFont="1" applyFill="1" applyBorder="1" applyAlignment="1">
      <alignment horizontal="center"/>
    </xf>
    <xf numFmtId="3" fontId="7" fillId="0" borderId="3" xfId="0" applyNumberFormat="1" applyFont="1" applyFill="1" applyBorder="1" applyAlignment="1">
      <alignment horizontal="center"/>
    </xf>
    <xf numFmtId="3" fontId="0" fillId="0" borderId="0" xfId="0" applyNumberFormat="1" applyFill="1" applyAlignment="1">
      <alignment horizontal="center"/>
    </xf>
    <xf numFmtId="0" fontId="0" fillId="0" borderId="0" xfId="0" applyFill="1" applyAlignment="1">
      <alignment horizontal="center"/>
    </xf>
    <xf numFmtId="168" fontId="4" fillId="0" borderId="0" xfId="0" applyNumberFormat="1" applyFont="1" applyFill="1" applyAlignment="1">
      <alignment horizontal="center"/>
    </xf>
    <xf numFmtId="3" fontId="0" fillId="0" borderId="15" xfId="0" applyNumberFormat="1" applyFill="1" applyBorder="1" applyAlignment="1">
      <alignment horizontal="center"/>
    </xf>
    <xf numFmtId="169" fontId="0" fillId="0" borderId="4" xfId="0" applyNumberFormat="1" applyFont="1" applyFill="1" applyBorder="1" applyAlignment="1">
      <alignment horizontal="center"/>
    </xf>
    <xf numFmtId="3" fontId="0" fillId="0" borderId="0" xfId="0" applyNumberFormat="1" applyFont="1" applyFill="1" applyBorder="1" applyAlignment="1">
      <alignment horizontal="center"/>
    </xf>
    <xf numFmtId="3" fontId="0" fillId="0" borderId="5" xfId="0" applyNumberFormat="1" applyFont="1" applyFill="1" applyBorder="1" applyAlignment="1">
      <alignment horizontal="center"/>
    </xf>
    <xf numFmtId="3" fontId="7" fillId="0" borderId="5" xfId="0" applyNumberFormat="1" applyFont="1" applyFill="1" applyBorder="1" applyAlignment="1">
      <alignment horizontal="center"/>
    </xf>
    <xf numFmtId="3" fontId="0" fillId="0" borderId="0" xfId="0" applyNumberFormat="1" applyFont="1" applyFill="1" applyAlignment="1">
      <alignment horizontal="center"/>
    </xf>
    <xf numFmtId="169" fontId="0" fillId="0" borderId="6" xfId="0" applyNumberFormat="1" applyFont="1" applyFill="1" applyBorder="1" applyAlignment="1">
      <alignment horizontal="center"/>
    </xf>
    <xf numFmtId="3" fontId="0" fillId="0" borderId="7" xfId="0" applyNumberFormat="1" applyFont="1" applyFill="1" applyBorder="1" applyAlignment="1">
      <alignment horizontal="center"/>
    </xf>
    <xf numFmtId="3" fontId="0" fillId="0" borderId="8" xfId="0" applyNumberFormat="1" applyFont="1" applyFill="1" applyBorder="1" applyAlignment="1">
      <alignment horizontal="center"/>
    </xf>
    <xf numFmtId="3" fontId="7" fillId="0" borderId="7" xfId="0" applyNumberFormat="1" applyFont="1" applyFill="1" applyBorder="1" applyAlignment="1">
      <alignment horizontal="center"/>
    </xf>
    <xf numFmtId="3" fontId="7" fillId="0" borderId="8" xfId="0" applyNumberFormat="1" applyFont="1" applyFill="1" applyBorder="1" applyAlignment="1">
      <alignment horizontal="center"/>
    </xf>
    <xf numFmtId="10" fontId="0" fillId="0" borderId="0" xfId="0" applyNumberFormat="1" applyFill="1" applyAlignment="1">
      <alignment horizontal="center"/>
    </xf>
    <xf numFmtId="10" fontId="0" fillId="0" borderId="14" xfId="0" applyNumberFormat="1" applyFill="1" applyBorder="1" applyAlignment="1">
      <alignment horizontal="center"/>
    </xf>
    <xf numFmtId="0" fontId="0" fillId="0" borderId="4" xfId="0" applyBorder="1" applyAlignment="1"/>
    <xf numFmtId="168" fontId="0" fillId="0" borderId="7" xfId="1" applyNumberFormat="1" applyFont="1" applyFill="1" applyBorder="1"/>
    <xf numFmtId="37" fontId="7" fillId="5" borderId="0" xfId="0" applyNumberFormat="1" applyFont="1" applyFill="1" applyAlignment="1">
      <alignment horizontal="center"/>
    </xf>
    <xf numFmtId="0" fontId="29" fillId="0" borderId="4" xfId="0" applyFont="1" applyFill="1" applyBorder="1" applyAlignment="1"/>
    <xf numFmtId="0" fontId="29" fillId="0" borderId="0" xfId="0" applyFont="1" applyFill="1" applyBorder="1" applyAlignment="1"/>
    <xf numFmtId="181" fontId="7" fillId="5" borderId="9" xfId="0" applyNumberFormat="1" applyFont="1" applyFill="1" applyBorder="1" applyAlignment="1">
      <alignment horizontal="center"/>
    </xf>
    <xf numFmtId="170" fontId="0" fillId="5" borderId="11" xfId="0" applyNumberFormat="1" applyFill="1" applyBorder="1" applyAlignment="1">
      <alignment horizontal="center"/>
    </xf>
    <xf numFmtId="3" fontId="7" fillId="3" borderId="0" xfId="0" applyNumberFormat="1" applyFont="1" applyFill="1" applyAlignment="1">
      <alignment horizontal="center"/>
    </xf>
    <xf numFmtId="168" fontId="5" fillId="0" borderId="0" xfId="1" applyNumberFormat="1" applyFont="1"/>
    <xf numFmtId="168" fontId="2" fillId="0" borderId="0" xfId="0" applyNumberFormat="1" applyFont="1"/>
    <xf numFmtId="0" fontId="5" fillId="0" borderId="0" xfId="0" applyFont="1"/>
    <xf numFmtId="0" fontId="47" fillId="0" borderId="0" xfId="0" applyFont="1"/>
    <xf numFmtId="0" fontId="48" fillId="0" borderId="0" xfId="0" applyFont="1"/>
    <xf numFmtId="9" fontId="5" fillId="0" borderId="0" xfId="3" applyFont="1" applyAlignment="1">
      <alignment horizontal="center"/>
    </xf>
    <xf numFmtId="0" fontId="47" fillId="0" borderId="0" xfId="0" applyFont="1" applyFill="1" applyBorder="1"/>
    <xf numFmtId="0" fontId="5" fillId="0" borderId="0" xfId="0" applyFont="1" applyFill="1" applyBorder="1"/>
    <xf numFmtId="9" fontId="5" fillId="0" borderId="0" xfId="0" applyNumberFormat="1" applyFont="1" applyFill="1" applyBorder="1" applyAlignment="1">
      <alignment horizontal="center"/>
    </xf>
    <xf numFmtId="9" fontId="5" fillId="0" borderId="0" xfId="3" applyFont="1" applyFill="1" applyBorder="1" applyAlignment="1">
      <alignment horizontal="center"/>
    </xf>
    <xf numFmtId="43" fontId="0" fillId="0" borderId="0" xfId="0" applyNumberFormat="1" applyFill="1"/>
    <xf numFmtId="0" fontId="12" fillId="4" borderId="0" xfId="0" applyFont="1" applyFill="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2" fillId="4" borderId="0" xfId="0" applyFont="1" applyFill="1" applyAlignment="1">
      <alignment horizontal="center"/>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0" xfId="0" applyFont="1" applyBorder="1" applyAlignment="1">
      <alignment horizontal="center"/>
    </xf>
    <xf numFmtId="0" fontId="10" fillId="0" borderId="5" xfId="0" applyFont="1" applyBorder="1" applyAlignment="1">
      <alignment horizontal="center"/>
    </xf>
  </cellXfs>
  <cellStyles count="8">
    <cellStyle name="Comma" xfId="1" builtinId="3"/>
    <cellStyle name="Currency" xfId="2" builtinId="4"/>
    <cellStyle name="Normal" xfId="0" builtinId="0"/>
    <cellStyle name="Normal 2" xfId="7" xr:uid="{00000000-0005-0000-0000-000003000000}"/>
    <cellStyle name="Normal 3 2" xfId="4" xr:uid="{00000000-0005-0000-0000-000004000000}"/>
    <cellStyle name="Percent" xfId="3" builtinId="5"/>
    <cellStyle name="Percent 4 2" xfId="6" xr:uid="{00000000-0005-0000-0000-000006000000}"/>
    <cellStyle name="Percent 5" xfId="5" xr:uid="{00000000-0005-0000-0000-000007000000}"/>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4</xdr:col>
      <xdr:colOff>652306</xdr:colOff>
      <xdr:row>42</xdr:row>
      <xdr:rowOff>71550</xdr:rowOff>
    </xdr:to>
    <xdr:pic>
      <xdr:nvPicPr>
        <xdr:cNvPr id="3" name="Picture 2">
          <a:extLst>
            <a:ext uri="{FF2B5EF4-FFF2-40B4-BE49-F238E27FC236}">
              <a16:creationId xmlns:a16="http://schemas.microsoft.com/office/drawing/2014/main" id="{AC4DAD84-FE93-4C2B-9F66-2F3E687F50B4}"/>
            </a:ext>
          </a:extLst>
        </xdr:cNvPr>
        <xdr:cNvPicPr>
          <a:picLocks noChangeAspect="1"/>
        </xdr:cNvPicPr>
      </xdr:nvPicPr>
      <xdr:blipFill>
        <a:blip xmlns:r="http://schemas.openxmlformats.org/officeDocument/2006/relationships" r:embed="rId1"/>
        <a:stretch>
          <a:fillRect/>
        </a:stretch>
      </xdr:blipFill>
      <xdr:spPr>
        <a:xfrm>
          <a:off x="0" y="428625"/>
          <a:ext cx="5706271" cy="7630590"/>
        </a:xfrm>
        <a:prstGeom prst="rect">
          <a:avLst/>
        </a:prstGeom>
      </xdr:spPr>
    </xdr:pic>
    <xdr:clientData/>
  </xdr:twoCellAnchor>
  <xdr:twoCellAnchor editAs="oneCell">
    <xdr:from>
      <xdr:col>6</xdr:col>
      <xdr:colOff>9525</xdr:colOff>
      <xdr:row>2</xdr:row>
      <xdr:rowOff>9525</xdr:rowOff>
    </xdr:from>
    <xdr:to>
      <xdr:col>14</xdr:col>
      <xdr:colOff>263712</xdr:colOff>
      <xdr:row>43</xdr:row>
      <xdr:rowOff>39194</xdr:rowOff>
    </xdr:to>
    <xdr:pic>
      <xdr:nvPicPr>
        <xdr:cNvPr id="6" name="Picture 5">
          <a:extLst>
            <a:ext uri="{FF2B5EF4-FFF2-40B4-BE49-F238E27FC236}">
              <a16:creationId xmlns:a16="http://schemas.microsoft.com/office/drawing/2014/main" id="{655EA0D7-B8E9-40B5-A77F-6D290CAA9EAF}"/>
            </a:ext>
          </a:extLst>
        </xdr:cNvPr>
        <xdr:cNvPicPr>
          <a:picLocks noChangeAspect="1"/>
        </xdr:cNvPicPr>
      </xdr:nvPicPr>
      <xdr:blipFill>
        <a:blip xmlns:r="http://schemas.openxmlformats.org/officeDocument/2006/relationships" r:embed="rId2"/>
        <a:stretch>
          <a:fillRect/>
        </a:stretch>
      </xdr:blipFill>
      <xdr:spPr>
        <a:xfrm>
          <a:off x="6800850" y="390525"/>
          <a:ext cx="5887272" cy="7840169"/>
        </a:xfrm>
        <a:prstGeom prst="rect">
          <a:avLst/>
        </a:prstGeom>
      </xdr:spPr>
    </xdr:pic>
    <xdr:clientData/>
  </xdr:twoCellAnchor>
  <xdr:twoCellAnchor editAs="oneCell">
    <xdr:from>
      <xdr:col>15</xdr:col>
      <xdr:colOff>19050</xdr:colOff>
      <xdr:row>2</xdr:row>
      <xdr:rowOff>19050</xdr:rowOff>
    </xdr:from>
    <xdr:to>
      <xdr:col>25</xdr:col>
      <xdr:colOff>848</xdr:colOff>
      <xdr:row>43</xdr:row>
      <xdr:rowOff>147792</xdr:rowOff>
    </xdr:to>
    <xdr:pic>
      <xdr:nvPicPr>
        <xdr:cNvPr id="7" name="Picture 6">
          <a:extLst>
            <a:ext uri="{FF2B5EF4-FFF2-40B4-BE49-F238E27FC236}">
              <a16:creationId xmlns:a16="http://schemas.microsoft.com/office/drawing/2014/main" id="{BE5329FC-1F1B-4E0D-B629-BC976B3A8984}"/>
            </a:ext>
          </a:extLst>
        </xdr:cNvPr>
        <xdr:cNvPicPr>
          <a:picLocks noChangeAspect="1"/>
        </xdr:cNvPicPr>
      </xdr:nvPicPr>
      <xdr:blipFill>
        <a:blip xmlns:r="http://schemas.openxmlformats.org/officeDocument/2006/relationships" r:embed="rId3"/>
        <a:stretch>
          <a:fillRect/>
        </a:stretch>
      </xdr:blipFill>
      <xdr:spPr>
        <a:xfrm>
          <a:off x="12487275" y="400050"/>
          <a:ext cx="6077798" cy="7935432"/>
        </a:xfrm>
        <a:prstGeom prst="rect">
          <a:avLst/>
        </a:prstGeom>
      </xdr:spPr>
    </xdr:pic>
    <xdr:clientData/>
  </xdr:twoCellAnchor>
  <xdr:twoCellAnchor editAs="oneCell">
    <xdr:from>
      <xdr:col>26</xdr:col>
      <xdr:colOff>28575</xdr:colOff>
      <xdr:row>2</xdr:row>
      <xdr:rowOff>19050</xdr:rowOff>
    </xdr:from>
    <xdr:to>
      <xdr:col>35</xdr:col>
      <xdr:colOff>458026</xdr:colOff>
      <xdr:row>41</xdr:row>
      <xdr:rowOff>39140</xdr:rowOff>
    </xdr:to>
    <xdr:pic>
      <xdr:nvPicPr>
        <xdr:cNvPr id="8" name="Picture 7">
          <a:extLst>
            <a:ext uri="{FF2B5EF4-FFF2-40B4-BE49-F238E27FC236}">
              <a16:creationId xmlns:a16="http://schemas.microsoft.com/office/drawing/2014/main" id="{23908AE6-9645-4570-8FCF-D486EB585120}"/>
            </a:ext>
          </a:extLst>
        </xdr:cNvPr>
        <xdr:cNvPicPr>
          <a:picLocks noChangeAspect="1"/>
        </xdr:cNvPicPr>
      </xdr:nvPicPr>
      <xdr:blipFill>
        <a:blip xmlns:r="http://schemas.openxmlformats.org/officeDocument/2006/relationships" r:embed="rId4"/>
        <a:stretch>
          <a:fillRect/>
        </a:stretch>
      </xdr:blipFill>
      <xdr:spPr>
        <a:xfrm>
          <a:off x="19202400" y="400050"/>
          <a:ext cx="5915851" cy="7449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1838324</xdr:colOff>
      <xdr:row>10</xdr:row>
      <xdr:rowOff>180975</xdr:rowOff>
    </xdr:from>
    <xdr:to>
      <xdr:col>12</xdr:col>
      <xdr:colOff>9525</xdr:colOff>
      <xdr:row>16</xdr:row>
      <xdr:rowOff>171450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447924" y="2143125"/>
          <a:ext cx="8896351"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ALLOCATION:</a:t>
          </a:r>
          <a:r>
            <a:rPr lang="en-US" sz="1100"/>
            <a:t>  Costs associated with repaying the securitization bonds shall be allocated to customer SL classes based on the daily allocation of Winter Event cost and is shown in the table below.  The Allocation Percentages below are based on the actual daily kWh usage for each retail SL class for the period of February 7, 2021 to February 21, 2021.  For OG&amp;E’s Flex Pricing (“FP”) and Day Ahead Pricing (“DAP”) customers, the customer baseline (“CBL”) kWh amounts are utilized for calculating the allocation percentages. </a:t>
          </a:r>
        </a:p>
      </xdr:txBody>
    </xdr:sp>
    <xdr:clientData/>
  </xdr:twoCellAnchor>
  <xdr:twoCellAnchor>
    <xdr:from>
      <xdr:col>1</xdr:col>
      <xdr:colOff>1828800</xdr:colOff>
      <xdr:row>17</xdr:row>
      <xdr:rowOff>161926</xdr:rowOff>
    </xdr:from>
    <xdr:to>
      <xdr:col>16</xdr:col>
      <xdr:colOff>9525</xdr:colOff>
      <xdr:row>23</xdr:row>
      <xdr:rowOff>180975</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438400" y="3457576"/>
          <a:ext cx="11572875" cy="1162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STANDARD FACTOR DETERMINATION:  </a:t>
          </a:r>
          <a:r>
            <a:rPr lang="en-US" sz="1100"/>
            <a:t>WES rates will be computed and submitted to the Public Utility Division of the Oklahoma Corporation Commission (“PUD”) and all other parties of record in Oklahoma Corporation Commission (OCC) Cause No. PUD 202100072 on a semi-annual basis.  In each semi-annual submission the Company will provide to PUD and the parties of record the redetermined WES rate, for each SL class, and information and workpapers supporting such re-determined factors.  The initial WES rates will be submitted </a:t>
          </a:r>
          <a:r>
            <a:rPr lang="en-US" sz="1100">
              <a:solidFill>
                <a:schemeClr val="dk1"/>
              </a:solidFill>
              <a:latin typeface="+mn-lt"/>
              <a:ea typeface="+mn-ea"/>
              <a:cs typeface="+mn-cs"/>
            </a:rPr>
            <a:t>on the day following the pricing of the bonds and shall become effective the first billing cycle following the closing of the bonds.  All succeeding factor redetermination submissions and effective dates will be semi-annual (every six months).  WES rates will be submitted at least 30 days’ prior to the proposed effective date.  The Public Utility Division shall endeavor to complete its review, which shall be limited to a review for mathematical corrections or manifest error, within 30 days and make any necessary corrections within such time in order to allow the WES charge to go into effect.  </a:t>
          </a:r>
        </a:p>
      </xdr:txBody>
    </xdr:sp>
    <xdr:clientData/>
  </xdr:twoCellAnchor>
  <xdr:twoCellAnchor editAs="oneCell">
    <xdr:from>
      <xdr:col>12</xdr:col>
      <xdr:colOff>76200</xdr:colOff>
      <xdr:row>10</xdr:row>
      <xdr:rowOff>43850</xdr:rowOff>
    </xdr:from>
    <xdr:to>
      <xdr:col>16</xdr:col>
      <xdr:colOff>0</xdr:colOff>
      <xdr:row>17</xdr:row>
      <xdr:rowOff>152399</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a:srcRect l="67597" t="55216" r="20076" b="28393"/>
        <a:stretch/>
      </xdr:blipFill>
      <xdr:spPr>
        <a:xfrm>
          <a:off x="11410950" y="2006000"/>
          <a:ext cx="2590800" cy="1442049"/>
        </a:xfrm>
        <a:prstGeom prst="rect">
          <a:avLst/>
        </a:prstGeom>
      </xdr:spPr>
    </xdr:pic>
    <xdr:clientData/>
  </xdr:twoCellAnchor>
  <xdr:twoCellAnchor>
    <xdr:from>
      <xdr:col>1</xdr:col>
      <xdr:colOff>1828800</xdr:colOff>
      <xdr:row>32</xdr:row>
      <xdr:rowOff>66675</xdr:rowOff>
    </xdr:from>
    <xdr:to>
      <xdr:col>15</xdr:col>
      <xdr:colOff>828675</xdr:colOff>
      <xdr:row>39</xdr:row>
      <xdr:rowOff>57151</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438400" y="6219825"/>
          <a:ext cx="11553825" cy="1323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t>CLASS REVENUE REQUIREMENT: </a:t>
          </a:r>
        </a:p>
        <a:p>
          <a:r>
            <a:rPr lang="en-US" sz="1100"/>
            <a:t>𝑊𝐸𝑆 𝑅𝑒𝑣𝑒𝑛𝑢𝑒 𝑅𝑒𝑞𝑢𝑖𝑟𝑒𝑚𝑒𝑛𝑡</a:t>
          </a:r>
          <a:r>
            <a:rPr lang="en-US" sz="1100" baseline="-25000"/>
            <a:t>𝑆𝐿 𝐶𝑙𝑎𝑠𝑠</a:t>
          </a:r>
          <a:r>
            <a:rPr lang="en-US" sz="1100"/>
            <a:t> = (𝐴 ∗ </a:t>
          </a:r>
          <a:r>
            <a:rPr lang="en-US" sz="1100" baseline="-25000"/>
            <a:t>𝐵𝑆𝐿 𝐶𝑙𝑎𝑠𝑠</a:t>
          </a:r>
          <a:r>
            <a:rPr lang="en-US" sz="1100"/>
            <a:t>) + 𝐶</a:t>
          </a:r>
          <a:r>
            <a:rPr lang="en-US" sz="1100" baseline="-25000"/>
            <a:t>𝑆𝐿 𝐶𝑙𝑎𝑠𝑠</a:t>
          </a:r>
          <a:r>
            <a:rPr lang="en-US" sz="1100"/>
            <a:t> </a:t>
          </a:r>
        </a:p>
        <a:p>
          <a:r>
            <a:rPr lang="en-US" sz="1100"/>
            <a:t>Where: </a:t>
          </a:r>
        </a:p>
        <a:p>
          <a:r>
            <a:rPr lang="en-US" sz="1100"/>
            <a:t>A = Oklahoma Jurisdictional Winter Event revenue requirement (i.e., debt service and </a:t>
          </a:r>
        </a:p>
        <a:p>
          <a:r>
            <a:rPr lang="en-US" sz="1100"/>
            <a:t>ongoing costs) for the applicable six-month recovery period; </a:t>
          </a:r>
        </a:p>
        <a:p>
          <a:r>
            <a:rPr lang="en-US" sz="1100"/>
            <a:t>B = SL class Energy Allocator </a:t>
          </a:r>
        </a:p>
        <a:p>
          <a:r>
            <a:rPr lang="en-US" sz="1100"/>
            <a:t>C = SL class true-up balance and SL class uncollectible balance</a:t>
          </a:r>
        </a:p>
      </xdr:txBody>
    </xdr:sp>
    <xdr:clientData/>
  </xdr:twoCellAnchor>
  <xdr:twoCellAnchor>
    <xdr:from>
      <xdr:col>1</xdr:col>
      <xdr:colOff>1800225</xdr:colOff>
      <xdr:row>41</xdr:row>
      <xdr:rowOff>19050</xdr:rowOff>
    </xdr:from>
    <xdr:to>
      <xdr:col>15</xdr:col>
      <xdr:colOff>828675</xdr:colOff>
      <xdr:row>57</xdr:row>
      <xdr:rowOff>161925</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2409825" y="7886700"/>
          <a:ext cx="11582400" cy="3190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t>TRANSMISSION (SL 1) and DISTRIBUTION SUBSTATION (SL 2) BILLING:  </a:t>
          </a:r>
          <a:r>
            <a:rPr lang="en-US" sz="1100"/>
            <a:t>The WES mechanism shall be applied to service locations based on the Service Level under which the service location took service during the Weather Event.  Each service location shall be billed a monthly fixed charge for the mechanism. The monthly fixed charge shall be calculated as:</a:t>
          </a:r>
        </a:p>
        <a:p>
          <a:r>
            <a:rPr lang="en-US" sz="1100"/>
            <a:t>  </a:t>
          </a:r>
        </a:p>
        <a:p>
          <a:r>
            <a:rPr lang="en-US" sz="1100"/>
            <a:t>MBRi × Number of Blocks</a:t>
          </a:r>
        </a:p>
        <a:p>
          <a:endParaRPr lang="en-US" sz="1100"/>
        </a:p>
        <a:p>
          <a:r>
            <a:rPr lang="en-US" sz="1100"/>
            <a:t>Where</a:t>
          </a:r>
        </a:p>
        <a:p>
          <a:endParaRPr lang="en-US" sz="1100"/>
        </a:p>
        <a:p>
          <a:r>
            <a:rPr lang="en-US" sz="1100"/>
            <a:t>MBRi = Monthly Block Rate for SL class</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WES revenue requirement</a:t>
          </a:r>
          <a:r>
            <a:rPr lang="en-US" sz="1100" b="0" i="0" u="none" strike="noStrike" baseline="-25000">
              <a:solidFill>
                <a:schemeClr val="dk1"/>
              </a:solidFill>
              <a:effectLst/>
              <a:latin typeface="+mn-lt"/>
              <a:ea typeface="+mn-ea"/>
              <a:cs typeface="+mn-cs"/>
            </a:rPr>
            <a:t>SL Class</a:t>
          </a:r>
          <a:r>
            <a:rPr lang="en-US" sz="1100" b="0" i="0" u="none" strike="noStrike">
              <a:solidFill>
                <a:schemeClr val="dk1"/>
              </a:solidFill>
              <a:effectLst/>
              <a:latin typeface="+mn-lt"/>
              <a:ea typeface="+mn-ea"/>
              <a:cs typeface="+mn-cs"/>
            </a:rPr>
            <a:t> / Blocks</a:t>
          </a:r>
          <a:r>
            <a:rPr lang="en-US" sz="1100" b="0" i="0" u="none" strike="noStrike" baseline="-25000">
              <a:solidFill>
                <a:schemeClr val="dk1"/>
              </a:solidFill>
              <a:effectLst/>
              <a:latin typeface="+mn-lt"/>
              <a:ea typeface="+mn-ea"/>
              <a:cs typeface="+mn-cs"/>
            </a:rPr>
            <a:t>SL Class</a:t>
          </a:r>
          <a:r>
            <a:rPr lang="en-US"/>
            <a:t> </a:t>
          </a:r>
        </a:p>
        <a:p>
          <a:endParaRPr lang="en-US"/>
        </a:p>
        <a:p>
          <a:r>
            <a:rPr lang="en-US"/>
            <a:t>The Number of Blocks each service location shall be billed is calculated as:  Event kWh / 100,000 kWh per Block</a:t>
          </a:r>
        </a:p>
        <a:p>
          <a:endParaRPr lang="en-US"/>
        </a:p>
        <a:p>
          <a:r>
            <a:rPr lang="en-US"/>
            <a:t>Where</a:t>
          </a:r>
        </a:p>
        <a:p>
          <a:endParaRPr lang="en-US" sz="1100"/>
        </a:p>
        <a:p>
          <a:r>
            <a:rPr lang="en-US" sz="1100"/>
            <a:t>Winter Event period kWh usage shall be CBL kWh for DAP and Flex Pricing customers and actual kWh usage for all other SL 1 and 2 customers. </a:t>
          </a:r>
        </a:p>
        <a:p>
          <a:endParaRPr lang="en-US" sz="1100"/>
        </a:p>
        <a:p>
          <a:r>
            <a:rPr lang="en-US" sz="1100"/>
            <a:t>Service locations whose Event kWh is less than 100,000 kWh, including customers who had no usage or zero Event kWh usage, and including any service locations new to OG&amp;E after the Event, shall be deemed to have one (1) block for WES billing purposes. </a:t>
          </a:r>
        </a:p>
      </xdr:txBody>
    </xdr:sp>
    <xdr:clientData/>
  </xdr:twoCellAnchor>
  <xdr:twoCellAnchor>
    <xdr:from>
      <xdr:col>1</xdr:col>
      <xdr:colOff>1800225</xdr:colOff>
      <xdr:row>59</xdr:row>
      <xdr:rowOff>171451</xdr:rowOff>
    </xdr:from>
    <xdr:to>
      <xdr:col>15</xdr:col>
      <xdr:colOff>800100</xdr:colOff>
      <xdr:row>69</xdr:row>
      <xdr:rowOff>57151</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2409825" y="11468101"/>
          <a:ext cx="11553825" cy="179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t>DISTRIBUTION (SL 3, 4, 5) BILLING:</a:t>
          </a:r>
          <a:r>
            <a:rPr lang="en-US" sz="1100" u="none"/>
            <a:t>  </a:t>
          </a:r>
          <a:r>
            <a:rPr lang="en-US" sz="1100"/>
            <a:t>The billing factors for the SL 3, 4, and 5 customer classes shall be computed as follows: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WES revenue requirement</a:t>
          </a:r>
          <a:r>
            <a:rPr lang="en-US" sz="1100" b="0" i="0" baseline="-25000">
              <a:solidFill>
                <a:schemeClr val="dk1"/>
              </a:solidFill>
              <a:effectLst/>
              <a:latin typeface="+mn-lt"/>
              <a:ea typeface="+mn-ea"/>
              <a:cs typeface="+mn-cs"/>
            </a:rPr>
            <a:t>SL Class</a:t>
          </a:r>
          <a:r>
            <a:rPr lang="en-US" sz="1100" b="0" i="0">
              <a:solidFill>
                <a:schemeClr val="dk1"/>
              </a:solidFill>
              <a:effectLst/>
              <a:latin typeface="+mn-lt"/>
              <a:ea typeface="+mn-ea"/>
              <a:cs typeface="+mn-cs"/>
            </a:rPr>
            <a:t> / SL Class kWh</a:t>
          </a:r>
          <a:r>
            <a:rPr lang="en-US"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Where, SL Class kWh are the projected sales for the applicable 6-month recovery period. </a:t>
          </a:r>
          <a:endParaRPr lang="en-US">
            <a:effectLst/>
          </a:endParaRPr>
        </a:p>
        <a:p>
          <a:endParaRPr lang="en-US" sz="1100"/>
        </a:p>
        <a:p>
          <a:r>
            <a:rPr lang="en-US" sz="1100"/>
            <a:t>For customers who take service under the Company’s Net Energy Billing Option (NEBO) and Qualified Facilities (“QF”) schedules, the WES shall apply to the gross kWh of energy the Company delivers to the customers.  For the DAP and FP customers, the WES rate will be calculated using the customer’s kWh energy specified in the CBL or Seasonal CBL defined in the DAP or FP tariffs.  All DAP and FP kWh sales above or below the CBL will be excluded from the WES calculation.  For all other rate schedules, the WES rate shall apply to the total billed kWh. </a:t>
          </a:r>
        </a:p>
      </xdr:txBody>
    </xdr:sp>
    <xdr:clientData/>
  </xdr:twoCellAnchor>
  <xdr:twoCellAnchor>
    <xdr:from>
      <xdr:col>1</xdr:col>
      <xdr:colOff>1819274</xdr:colOff>
      <xdr:row>28</xdr:row>
      <xdr:rowOff>28576</xdr:rowOff>
    </xdr:from>
    <xdr:to>
      <xdr:col>15</xdr:col>
      <xdr:colOff>838199</xdr:colOff>
      <xdr:row>31</xdr:row>
      <xdr:rowOff>142875</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2428874" y="5419726"/>
          <a:ext cx="11572875" cy="685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CLASS REVENUE REQUIREMENT</a:t>
          </a:r>
          <a:r>
            <a:rPr lang="en-US" sz="1100"/>
            <a:t>:   The Revenue Requirement for the WES mechanism shall include the bond payment, associated financing fees (i.e., debt service and ongoing costs), the prior period over/under collected balance by class, and any uncollectible balances by class.  The class over/under balances and class uncollectible balances are not exempt from reallocation to other classes as part of the reallocation treatment provided in the NON-STANDARD FACTOR DETERMINATION.</a:t>
          </a:r>
        </a:p>
      </xdr:txBody>
    </xdr:sp>
    <xdr:clientData/>
  </xdr:twoCellAnchor>
  <xdr:twoCellAnchor>
    <xdr:from>
      <xdr:col>1</xdr:col>
      <xdr:colOff>1800224</xdr:colOff>
      <xdr:row>70</xdr:row>
      <xdr:rowOff>161925</xdr:rowOff>
    </xdr:from>
    <xdr:to>
      <xdr:col>15</xdr:col>
      <xdr:colOff>761999</xdr:colOff>
      <xdr:row>74</xdr:row>
      <xdr:rowOff>28575</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2409824" y="13554075"/>
          <a:ext cx="1151572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TRUE UP</a:t>
          </a:r>
          <a:r>
            <a:rPr lang="en-US" sz="1100"/>
            <a:t>:  The WES mechanism will true up and reconcile semiannually.  OG&amp;E shall periodically receive accounting information (i.e., debt service and other ongoing financing costs) from Oklahoma Development Finance Authority and utilize that updated accounting information to true-up and reconcile its semiannual adjustment of the factors.  Any uncollectible WES Mechanism amounts incurred shall be recorded for each SL class and included for recovery in that SL class true-up calculation for the next factor redetermination. </a:t>
          </a:r>
        </a:p>
      </xdr:txBody>
    </xdr:sp>
    <xdr:clientData/>
  </xdr:twoCellAnchor>
  <xdr:twoCellAnchor>
    <xdr:from>
      <xdr:col>1</xdr:col>
      <xdr:colOff>1800225</xdr:colOff>
      <xdr:row>76</xdr:row>
      <xdr:rowOff>0</xdr:rowOff>
    </xdr:from>
    <xdr:to>
      <xdr:col>15</xdr:col>
      <xdr:colOff>762000</xdr:colOff>
      <xdr:row>77</xdr:row>
      <xdr:rowOff>180975</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2409825" y="14535150"/>
          <a:ext cx="115157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PRICE</a:t>
          </a:r>
          <a:r>
            <a:rPr lang="en-US" sz="1100"/>
            <a:t>:  The WES rate for each SL shall be applied as shown in the table below. </a:t>
          </a:r>
        </a:p>
      </xdr:txBody>
    </xdr:sp>
    <xdr:clientData/>
  </xdr:twoCellAnchor>
  <xdr:twoCellAnchor>
    <xdr:from>
      <xdr:col>17</xdr:col>
      <xdr:colOff>0</xdr:colOff>
      <xdr:row>5</xdr:row>
      <xdr:rowOff>114301</xdr:rowOff>
    </xdr:from>
    <xdr:to>
      <xdr:col>30</xdr:col>
      <xdr:colOff>447675</xdr:colOff>
      <xdr:row>9</xdr:row>
      <xdr:rowOff>9525</xdr:rowOff>
    </xdr:to>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15287625" y="1123951"/>
          <a:ext cx="8172450" cy="657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Adjustment Methodology: Each True-Up Letter and Non-Standard True-Up Letter (as described below), the forms of which are included as Exhibit D and Exhibit E, respectively, to this Financing Order, will  calculate a revised WES Charge for the Bonds in accordance with the Adjustment Calculation Methodology appended as Exhibit B. Generally, the WES Charge will be calculated by the Servicer as follows: </a:t>
          </a:r>
        </a:p>
      </xdr:txBody>
    </xdr:sp>
    <xdr:clientData/>
  </xdr:twoCellAnchor>
  <xdr:twoCellAnchor>
    <xdr:from>
      <xdr:col>16</xdr:col>
      <xdr:colOff>1847850</xdr:colOff>
      <xdr:row>9</xdr:row>
      <xdr:rowOff>85725</xdr:rowOff>
    </xdr:from>
    <xdr:to>
      <xdr:col>30</xdr:col>
      <xdr:colOff>495300</xdr:colOff>
      <xdr:row>18</xdr:row>
      <xdr:rowOff>47625</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15287625" y="1857375"/>
          <a:ext cx="8220075"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First, the Servicer will calculate the Periodic Payment Requirement for the next six-month period, or if shorter the period from the adjustment date to and including the next bond payment date, as well as the Periodic Payment Requirement (as defined below) for the next succeeding six month period ending on the following bond payment date (each, a “Payment Period”). The “Periodic Payment Requirement” or “PPR” covers all scheduled (or legally due) payments of principal (including, if any, prior scheduled but unpaid principal payments), interest, and other ongoing financing costs to be paid with WES Charge revenues during such Payment Period.  The Periodic Billing Requirement will then be calculated, using the most recent information of the Servicer regarding write off, average days sales outstanding data or other collection data, to determine the amount of WES Charge revenue that must be billed during each Payment Period to ensure that sufficient WES Charge revenues will be received to satisfy the Periodic Payment Requirement for such Payment Period. Such amount is referred to as the “Periodic Billing Requirement” or “PBR.” </a:t>
          </a:r>
        </a:p>
      </xdr:txBody>
    </xdr:sp>
    <xdr:clientData/>
  </xdr:twoCellAnchor>
  <xdr:twoCellAnchor>
    <xdr:from>
      <xdr:col>16</xdr:col>
      <xdr:colOff>1285874</xdr:colOff>
      <xdr:row>19</xdr:row>
      <xdr:rowOff>0</xdr:rowOff>
    </xdr:from>
    <xdr:to>
      <xdr:col>30</xdr:col>
      <xdr:colOff>514350</xdr:colOff>
      <xdr:row>28</xdr:row>
      <xdr:rowOff>28575</xdr:rowOff>
    </xdr:to>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15287624" y="3676650"/>
          <a:ext cx="8239126" cy="174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Second, the PBR for each Payment Period is allocated among each customer class using the Energy Allocation Factor (described below) for Service Level (described below);  </a:t>
          </a:r>
        </a:p>
        <a:p>
          <a:pPr marL="171450" indent="-171450">
            <a:buFont typeface="Arial" panose="020B0604020202020204" pitchFamily="34" charset="0"/>
            <a:buChar char="•"/>
          </a:pPr>
          <a:endParaRPr lang="en-US" sz="1100"/>
        </a:p>
        <a:p>
          <a:pPr marL="171450" indent="-171450">
            <a:buFont typeface="Arial" panose="020B0604020202020204" pitchFamily="34" charset="0"/>
            <a:buChar char="•"/>
          </a:pPr>
          <a:r>
            <a:rPr lang="en-US" sz="1100"/>
            <a:t>Third, the WES Charge for each Service Level for each Payment Period is determined by dividing each Service Level’s respective portion of the PBR for the Payment Period by their respective forecasted sales for the Payment Period; and</a:t>
          </a:r>
        </a:p>
        <a:p>
          <a:pPr marL="171450" indent="-171450">
            <a:buFont typeface="Arial" panose="020B0604020202020204" pitchFamily="34" charset="0"/>
            <a:buChar char="•"/>
          </a:pPr>
          <a:endParaRPr lang="en-US" sz="1100"/>
        </a:p>
        <a:p>
          <a:pPr marL="171450" indent="-171450">
            <a:buFont typeface="Arial" panose="020B0604020202020204" pitchFamily="34" charset="0"/>
            <a:buChar char="•"/>
          </a:pPr>
          <a:r>
            <a:rPr lang="en-US" sz="1100"/>
            <a:t>Finally, after such calculations are made, the WES Charge for each Service Level for the next Payment Period and the next succeeding</a:t>
          </a:r>
          <a:r>
            <a:rPr lang="en-US" sz="1100" baseline="0"/>
            <a:t> </a:t>
          </a:r>
          <a:r>
            <a:rPr lang="en-US" sz="1100"/>
            <a:t>Payment Period will be compared and the higher WES Charge will be the WES Charge effective for such Service Level on the next adjustment date.</a:t>
          </a:r>
        </a:p>
      </xdr:txBody>
    </xdr:sp>
    <xdr:clientData/>
  </xdr:twoCellAnchor>
  <xdr:twoCellAnchor>
    <xdr:from>
      <xdr:col>16</xdr:col>
      <xdr:colOff>1276349</xdr:colOff>
      <xdr:row>28</xdr:row>
      <xdr:rowOff>123826</xdr:rowOff>
    </xdr:from>
    <xdr:to>
      <xdr:col>30</xdr:col>
      <xdr:colOff>542924</xdr:colOff>
      <xdr:row>31</xdr:row>
      <xdr:rowOff>28576</xdr:rowOff>
    </xdr:to>
    <xdr:sp macro="" textlink="">
      <xdr:nvSpPr>
        <xdr:cNvPr id="14" name="TextBox 13">
          <a:extLst>
            <a:ext uri="{FF2B5EF4-FFF2-40B4-BE49-F238E27FC236}">
              <a16:creationId xmlns:a16="http://schemas.microsoft.com/office/drawing/2014/main" id="{00000000-0008-0000-0600-00000E000000}"/>
            </a:ext>
          </a:extLst>
        </xdr:cNvPr>
        <xdr:cNvSpPr txBox="1"/>
      </xdr:nvSpPr>
      <xdr:spPr>
        <a:xfrm>
          <a:off x="15278099" y="5514976"/>
          <a:ext cx="827722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Servicer will use its latest forecast of sales, as well as its latest write-off, days sales outstanding and other collection and delinquency experience to calculate the WES Charge.  </a:t>
          </a:r>
        </a:p>
      </xdr:txBody>
    </xdr:sp>
    <xdr:clientData/>
  </xdr:twoCellAnchor>
  <xdr:twoCellAnchor>
    <xdr:from>
      <xdr:col>17</xdr:col>
      <xdr:colOff>0</xdr:colOff>
      <xdr:row>31</xdr:row>
      <xdr:rowOff>133350</xdr:rowOff>
    </xdr:from>
    <xdr:to>
      <xdr:col>30</xdr:col>
      <xdr:colOff>533400</xdr:colOff>
      <xdr:row>35</xdr:row>
      <xdr:rowOff>180975</xdr:rowOff>
    </xdr:to>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15287625" y="6096000"/>
          <a:ext cx="82581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All true-up adjustments to the WES Charges will ensure the billing of WES Charges necessary to satisfy the Periodic Payment Requirement for the Bonds for each Payment Period during such 12-month period (or shorter period) following the adjustment date of the WES Charge.  True-up adjustments will be based upon the cumulative differences, regardless of the reason, between the Periodic Payment Requirement and the actual amount of WES Charge collections remitted to the bond trustee for the Bonds. </a:t>
          </a:r>
        </a:p>
      </xdr:txBody>
    </xdr:sp>
    <xdr:clientData/>
  </xdr:twoCellAnchor>
  <xdr:twoCellAnchor>
    <xdr:from>
      <xdr:col>1</xdr:col>
      <xdr:colOff>1847848</xdr:colOff>
      <xdr:row>5</xdr:row>
      <xdr:rowOff>152400</xdr:rowOff>
    </xdr:from>
    <xdr:to>
      <xdr:col>15</xdr:col>
      <xdr:colOff>838199</xdr:colOff>
      <xdr:row>9</xdr:row>
      <xdr:rowOff>85725</xdr:rowOff>
    </xdr:to>
    <xdr:sp macro="" textlink="">
      <xdr:nvSpPr>
        <xdr:cNvPr id="16" name="TextBox 15">
          <a:extLst>
            <a:ext uri="{FF2B5EF4-FFF2-40B4-BE49-F238E27FC236}">
              <a16:creationId xmlns:a16="http://schemas.microsoft.com/office/drawing/2014/main" id="{00000000-0008-0000-0600-000010000000}"/>
            </a:ext>
          </a:extLst>
        </xdr:cNvPr>
        <xdr:cNvSpPr txBox="1"/>
      </xdr:nvSpPr>
      <xdr:spPr>
        <a:xfrm>
          <a:off x="2457448" y="1162050"/>
          <a:ext cx="11544301"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APPLICABILITY</a:t>
          </a:r>
          <a:r>
            <a:rPr lang="en-US" sz="1100"/>
            <a:t>:  This WES mechanism is applicable to and becomes a part of each Oklahoma retail rate schedule and shall be applicable to the energy (kWh) usage for service level (“SL”) 3, 4, and 5 customers and to blocks of energy (defined below in the STANDARD FACTOR DETERMINATION section) for SL 1 and 2 customers of each respective Oklahoma retail rate schedule.  For service locations that received SL 1 or SL 2 service during the Weather Event, the WES mechanism shall continue to be applied to these service locations at those respective SL WES rates. </a:t>
          </a:r>
        </a:p>
      </xdr:txBody>
    </xdr:sp>
    <xdr:clientData/>
  </xdr:twoCellAnchor>
  <xdr:twoCellAnchor>
    <xdr:from>
      <xdr:col>1</xdr:col>
      <xdr:colOff>1809750</xdr:colOff>
      <xdr:row>24</xdr:row>
      <xdr:rowOff>180976</xdr:rowOff>
    </xdr:from>
    <xdr:to>
      <xdr:col>15</xdr:col>
      <xdr:colOff>828675</xdr:colOff>
      <xdr:row>26</xdr:row>
      <xdr:rowOff>180976</xdr:rowOff>
    </xdr:to>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2419350" y="4810126"/>
          <a:ext cx="1157287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latin typeface="+mn-lt"/>
              <a:ea typeface="+mn-ea"/>
              <a:cs typeface="+mn-cs"/>
            </a:rPr>
            <a:t>A WES rate will be calculated for each SL class for the next two six-month recovery periods.  The WES rate to be implemented for each SL class shall be the higher of these two calculations.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padata\share\GROUP\Stats\2000%20data%20Yearbook\CSR%20861%20worksheets\EIA%20861%202000F%20with%20workshee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padata\share\2001%20ACRA-RACRA\Summary%20to%20PU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padata\share\windows\TEMP\C.Lotus.Notes.Data\Post-Settlement%20-%20Rate%20Design%20(Tem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uritization.vf\SCERF-2021-B\Rating%20Agency\Rating%20Agency%20Data%20Requests\Initial%20Ratings%20Agency%20Package\Initial%20Data%20Request%20Package.11.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padata\share\Data\CPP\LargePower_2003\AG_Accou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ce\workgroup\RPA\REG%20OPS\PRICING\RATE%20DESIGN\Team%20RD\Final%20Rate%20Change%20Models\2019\RD_Model_021519%20-%20Full\RevAllo%20and%20RateDesign_M.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padata\share\DATA\Interim-RD\Interim-Rates(filed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padata\share\Documents%20and%20Settings\tangdc\My%20Documents\2003-GRC%20(Application)\Errata\Marginal%20Customer%20Costs%20UPD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padata\share\DOCUME~1\tangdc\LOCALS~1\Temp\C.Lotus.Notes.Data\NCO%20method%20rebuttal%20with%20new%20cust%20foreca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padata\share\windows\TEMP\C.Lotus.Notes.Data\RC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ed-Excl"/>
      <sheetName val="Proposed-RTP-Scalers"/>
      <sheetName val="RTP-Template"/>
      <sheetName val="Proposed-Distb-Rates"/>
      <sheetName val="Current-RTP-Rates"/>
      <sheetName val="Current-RTP-Excl"/>
      <sheetName val="Proposed-RTP-Excl"/>
      <sheetName val="Proposed-RTP-Rates"/>
      <sheetName val="Proposed-Tariff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3-StL-Summ"/>
      <sheetName val="03-StL-Inv"/>
      <sheetName val="Avg Rate Comp Table"/>
      <sheetName val="Rev-Allo"/>
      <sheetName val="$-Per-kWh-Charges"/>
      <sheetName val="DA CRS"/>
      <sheetName val="DA % Sales"/>
      <sheetName val="2003 Rev Rqmt -Orig"/>
      <sheetName val="RevReq-Detail"/>
      <sheetName val="CurPRR-wo10%"/>
      <sheetName val="CurPRR-w10%"/>
      <sheetName val="Current-Allocators"/>
      <sheetName val="Res-kWh-Distrb"/>
      <sheetName val="03-BDet"/>
      <sheetName val="2003-SalesForecast"/>
      <sheetName val="Current Rates"/>
      <sheetName val="Adjusted-SF"/>
      <sheetName val="Residential"/>
      <sheetName val="Res-RD"/>
      <sheetName val="PRR"/>
      <sheetName val="TOTCA"/>
      <sheetName val="Proposed-TOTCA"/>
      <sheetName val="Post-SettlementRates-2003"/>
      <sheetName val="EndProact-Gen-RD "/>
      <sheetName val="Proact-Adjustments"/>
      <sheetName val="2003 Tariff"/>
      <sheetName val="2003 Tariff-Composite"/>
      <sheetName val="Tariff2003-CraigRev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ip"/>
      <sheetName val="Request Key"/>
      <sheetName val="1.  &gt;&gt;&gt;&gt;"/>
      <sheetName val="Hist. vs Actual Consumption"/>
      <sheetName val="2. &gt;&gt;&gt;&gt;"/>
      <sheetName val="2021 YTD"/>
      <sheetName val="2021"/>
      <sheetName val="2020"/>
      <sheetName val="2019"/>
      <sheetName val="2018"/>
      <sheetName val="2017"/>
      <sheetName val="2016"/>
      <sheetName val="2015"/>
      <sheetName val="2014"/>
      <sheetName val="2013"/>
      <sheetName val="write-off to Rev %"/>
      <sheetName val="Recoveries (Annual)"/>
      <sheetName val="3. &amp; 7. &gt;&gt;&gt;&gt;"/>
      <sheetName val="READ ME"/>
      <sheetName val="Consumption Forecast"/>
      <sheetName val="4. &gt;&gt;&gt;&gt;"/>
      <sheetName val="Data by Cust. Class "/>
      <sheetName val="5. &gt;&gt;&gt;&gt;"/>
      <sheetName val="Q5 Top 50 Accounts"/>
      <sheetName val="6. &gt;&gt;&gt;&gt;"/>
      <sheetName val="See the attached Presentation"/>
      <sheetName val="8. &gt;&gt;&gt;&gt;"/>
      <sheetName val="D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2"/>
      <sheetName val="Summary"/>
      <sheetName val="SummaryPaste"/>
      <sheetName val="Accounts_100_Pct"/>
      <sheetName val="Accounts_80_Pct"/>
      <sheetName val="Accounts_50_Pct"/>
      <sheetName val="Accounts_25_Pct"/>
      <sheetName val="Accounts_0_Pct"/>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Inputs"/>
      <sheetName val="RevRequirement"/>
      <sheetName val="RevAllocator"/>
      <sheetName val="RevAllo-Detail"/>
      <sheetName val="RevAllo_Summary_No_Alloc"/>
      <sheetName val="RevAllo_Summary_No_Alloc_Bun"/>
      <sheetName val="RevAllo_System_WSettlement"/>
      <sheetName val="CappedRates"/>
      <sheetName val="RevAllo_Bundled_NoCap"/>
      <sheetName val="RevAllo_Bundled_Cap"/>
      <sheetName val="RevAllo-Detail (2)"/>
      <sheetName val="RevAllo_System_WSettlement (2)"/>
      <sheetName val="RevAllo_Bundled_NoCap (2)"/>
      <sheetName val="RevAllo_Bundled_Cap (2)"/>
      <sheetName val="RevAllo $-per-kWh"/>
      <sheetName val="Unit-MCosts"/>
      <sheetName val="Marginal Unit Cost"/>
      <sheetName val="RD_FSCharge"/>
      <sheetName val="FSChargeSummary"/>
      <sheetName val="Proposed_Unit_Rates_B"/>
      <sheetName val="PRR Rates"/>
      <sheetName val="Trans Rates"/>
      <sheetName val="DA CRS Table"/>
      <sheetName val="TOTCA"/>
      <sheetName val="CSI-Allocation"/>
      <sheetName val="Residential"/>
      <sheetName val="GS-1"/>
      <sheetName val="TOU-GS-1"/>
      <sheetName val="TOU-EV3"/>
      <sheetName val="TC-1"/>
      <sheetName val="GS-2"/>
      <sheetName val="TOU-GS-2"/>
      <sheetName val="TOU-GS-3"/>
      <sheetName val="TOU-EV4"/>
      <sheetName val="TOU-8-SEC"/>
      <sheetName val="TOU-8-PRI"/>
      <sheetName val="TOU-8-SUB"/>
      <sheetName val="PA-1"/>
      <sheetName val="PA-1_2"/>
      <sheetName val="PA-1_Orig"/>
      <sheetName val="PA-2"/>
      <sheetName val="TOU-8-SEC-S"/>
      <sheetName val="TOU-8-PRI-S"/>
      <sheetName val="TOU-8-SUB-S"/>
      <sheetName val="TOU-PA-2"/>
      <sheetName val="TOU-PA-3"/>
      <sheetName val="StLight"/>
      <sheetName val="AL-2"/>
      <sheetName val="Searles"/>
      <sheetName val="NMDL"/>
      <sheetName val="RevReq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C-Total"/>
      <sheetName val="APS&amp;Int"/>
      <sheetName val="Frozen-Rate-Adjustment"/>
      <sheetName val="1996-Def-Adj"/>
      <sheetName val="1998-Def-Adj"/>
      <sheetName val="Frozen-Rate-PRR"/>
      <sheetName val="Deficiency-RD"/>
      <sheetName val="Interim-Rates (filed)"/>
      <sheetName val="Effective-Rates"/>
      <sheetName val="Residential-RD"/>
      <sheetName val="CTC-RD"/>
      <sheetName val="Revenue-Allo"/>
      <sheetName val="RevReq"/>
      <sheetName val="Forecasted-PX"/>
      <sheetName val="Recorded-PX"/>
      <sheetName val="TRA"/>
      <sheetName val="BDefs"/>
      <sheetName val="2001-Forecas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23"/>
  <sheetViews>
    <sheetView topLeftCell="A108" workbookViewId="0">
      <selection activeCell="I44" sqref="I44"/>
    </sheetView>
  </sheetViews>
  <sheetFormatPr defaultRowHeight="15"/>
  <cols>
    <col min="2" max="2" width="30" customWidth="1"/>
    <col min="3" max="3" width="18" customWidth="1"/>
    <col min="4" max="4" width="16.85546875" customWidth="1"/>
    <col min="5" max="5" width="18" customWidth="1"/>
    <col min="6" max="6" width="18.7109375" customWidth="1"/>
    <col min="7" max="7" width="17.42578125" customWidth="1"/>
    <col min="8" max="8" width="29.7109375" bestFit="1" customWidth="1"/>
    <col min="9" max="9" width="18" customWidth="1"/>
    <col min="10" max="10" width="17.7109375" customWidth="1"/>
    <col min="11" max="11" width="17.28515625" customWidth="1"/>
    <col min="12" max="12" width="13.5703125" customWidth="1"/>
    <col min="13" max="13" width="17.5703125" bestFit="1" customWidth="1"/>
    <col min="14" max="14" width="10.5703125" bestFit="1" customWidth="1"/>
    <col min="15" max="16" width="13.28515625" bestFit="1" customWidth="1"/>
    <col min="19" max="19" width="9.140625" customWidth="1"/>
    <col min="26" max="26" width="13.42578125" bestFit="1" customWidth="1"/>
  </cols>
  <sheetData>
    <row r="1" spans="2:17">
      <c r="B1" s="157"/>
      <c r="C1" s="157"/>
      <c r="D1" s="157"/>
      <c r="E1" s="157"/>
      <c r="F1" s="157"/>
      <c r="G1" s="157"/>
      <c r="H1" s="415"/>
      <c r="I1" s="157"/>
      <c r="J1" s="157"/>
      <c r="K1" s="157"/>
      <c r="L1" s="157"/>
      <c r="M1" s="157"/>
      <c r="N1" s="157"/>
      <c r="O1" s="157"/>
      <c r="P1" s="157"/>
      <c r="Q1" s="157"/>
    </row>
    <row r="2" spans="2:17" s="157" customFormat="1" ht="18.75">
      <c r="B2" s="164" t="s">
        <v>0</v>
      </c>
      <c r="H2" s="415"/>
    </row>
    <row r="3" spans="2:17" s="157" customFormat="1">
      <c r="H3" s="415"/>
    </row>
    <row r="4" spans="2:17">
      <c r="B4" s="3" t="s">
        <v>1</v>
      </c>
      <c r="C4" s="125">
        <v>45519</v>
      </c>
      <c r="D4" s="157"/>
      <c r="E4" s="157"/>
      <c r="F4" s="157"/>
      <c r="G4" s="157"/>
      <c r="H4" s="415"/>
      <c r="I4" s="157"/>
      <c r="J4" s="157"/>
      <c r="K4" s="157"/>
      <c r="L4" s="157"/>
      <c r="M4" s="157"/>
      <c r="N4" s="157"/>
      <c r="O4" s="157"/>
      <c r="P4" s="157"/>
      <c r="Q4" s="157"/>
    </row>
    <row r="5" spans="2:17">
      <c r="B5" s="1"/>
      <c r="C5" s="157"/>
      <c r="D5" s="157"/>
      <c r="E5" s="157"/>
      <c r="F5" s="157"/>
      <c r="G5" s="157"/>
      <c r="H5" s="415"/>
      <c r="I5" s="30"/>
      <c r="J5" s="157"/>
      <c r="K5" s="157"/>
      <c r="L5" s="157"/>
      <c r="M5" s="157"/>
      <c r="N5" s="157"/>
      <c r="O5" s="157"/>
      <c r="P5" s="157"/>
      <c r="Q5" s="157"/>
    </row>
    <row r="6" spans="2:17">
      <c r="B6" s="2"/>
      <c r="C6" s="157"/>
      <c r="D6" s="157"/>
      <c r="E6" s="157"/>
      <c r="F6" s="157"/>
      <c r="G6" s="157"/>
      <c r="H6" s="157"/>
      <c r="I6" s="157"/>
      <c r="J6" s="157"/>
      <c r="K6" s="157"/>
      <c r="L6" s="157"/>
      <c r="M6" s="157"/>
      <c r="N6" s="157"/>
      <c r="O6" s="157"/>
      <c r="P6" s="157"/>
      <c r="Q6" s="157"/>
    </row>
    <row r="7" spans="2:17">
      <c r="B7" s="3" t="s">
        <v>2</v>
      </c>
      <c r="C7" s="4"/>
      <c r="D7" s="4"/>
      <c r="E7" s="5" t="s">
        <v>3</v>
      </c>
      <c r="F7" s="5" t="s">
        <v>4</v>
      </c>
      <c r="G7" s="6" t="s">
        <v>5</v>
      </c>
      <c r="H7" s="157"/>
      <c r="I7" s="157"/>
      <c r="J7" s="157"/>
      <c r="K7" s="157"/>
      <c r="L7" s="157"/>
      <c r="M7" s="157"/>
      <c r="N7" s="157"/>
      <c r="O7" s="157"/>
      <c r="P7" s="157"/>
      <c r="Q7" s="157"/>
    </row>
    <row r="8" spans="2:17">
      <c r="B8" s="76" t="s">
        <v>6</v>
      </c>
      <c r="C8" s="77"/>
      <c r="D8" s="77"/>
      <c r="E8" s="157"/>
      <c r="F8" s="227">
        <v>45566</v>
      </c>
      <c r="G8" s="228">
        <v>45748</v>
      </c>
      <c r="H8" s="157"/>
      <c r="I8" s="118"/>
      <c r="J8" s="157"/>
      <c r="K8" s="157"/>
      <c r="L8" s="157"/>
      <c r="M8" s="157"/>
      <c r="N8" s="157"/>
      <c r="O8" s="157"/>
      <c r="P8" s="157"/>
      <c r="Q8" s="157"/>
    </row>
    <row r="9" spans="2:17">
      <c r="B9" s="7" t="s">
        <v>7</v>
      </c>
      <c r="C9" s="71"/>
      <c r="D9" s="71"/>
      <c r="E9" s="74"/>
      <c r="F9" s="325">
        <v>45689</v>
      </c>
      <c r="G9" s="8">
        <v>45870</v>
      </c>
      <c r="H9" s="157"/>
      <c r="I9" s="118"/>
      <c r="J9" s="157"/>
      <c r="K9" s="157"/>
      <c r="L9" s="157"/>
      <c r="M9" s="157"/>
      <c r="N9" s="157"/>
      <c r="O9" s="157"/>
      <c r="P9" s="157"/>
      <c r="Q9" s="157"/>
    </row>
    <row r="10" spans="2:17">
      <c r="B10" s="7" t="s">
        <v>8</v>
      </c>
      <c r="C10" s="71"/>
      <c r="D10" s="71"/>
      <c r="E10" s="71"/>
      <c r="F10" s="325">
        <v>45505</v>
      </c>
      <c r="G10" s="151">
        <f>F9</f>
        <v>45689</v>
      </c>
      <c r="H10" s="157"/>
      <c r="I10" s="157"/>
      <c r="J10" s="157"/>
      <c r="K10" s="157"/>
      <c r="L10" s="157"/>
      <c r="M10" s="157"/>
      <c r="N10" s="157"/>
      <c r="O10" s="157"/>
      <c r="P10" s="157"/>
      <c r="Q10" s="157"/>
    </row>
    <row r="11" spans="2:17">
      <c r="B11" s="7" t="s">
        <v>9</v>
      </c>
      <c r="C11" s="71"/>
      <c r="D11" s="71"/>
      <c r="E11" s="436">
        <v>1.2899999999999999E-3</v>
      </c>
      <c r="F11" s="73"/>
      <c r="G11" s="437"/>
      <c r="H11" s="157"/>
      <c r="I11" s="316"/>
      <c r="J11" s="157"/>
      <c r="K11" s="157"/>
      <c r="L11" s="157"/>
      <c r="M11" s="157"/>
      <c r="N11" s="157"/>
      <c r="O11" s="157"/>
      <c r="P11" s="157"/>
      <c r="Q11" s="157"/>
    </row>
    <row r="12" spans="2:17">
      <c r="B12" s="7" t="s">
        <v>10</v>
      </c>
      <c r="C12" s="71"/>
      <c r="D12" s="71"/>
      <c r="E12" s="438">
        <f>ROUND(30.4-E15,2)*1/30</f>
        <v>0.38999999999999996</v>
      </c>
      <c r="F12" s="73"/>
      <c r="G12" s="437"/>
      <c r="H12" s="157"/>
      <c r="I12" s="157"/>
      <c r="J12" s="157"/>
      <c r="K12" s="157"/>
      <c r="L12" s="157"/>
      <c r="M12" s="157"/>
      <c r="N12" s="157"/>
      <c r="O12" s="157"/>
      <c r="P12" s="157"/>
      <c r="Q12" s="157"/>
    </row>
    <row r="13" spans="2:17">
      <c r="B13" s="7" t="s">
        <v>11</v>
      </c>
      <c r="C13" s="71"/>
      <c r="D13" s="71"/>
      <c r="E13" s="438">
        <f>1-E12</f>
        <v>0.6100000000000001</v>
      </c>
      <c r="F13" s="439"/>
      <c r="G13" s="437"/>
      <c r="H13" s="157"/>
      <c r="I13" s="157"/>
      <c r="J13" s="157"/>
      <c r="K13" s="157"/>
      <c r="L13" s="157"/>
      <c r="M13" s="157"/>
      <c r="N13" s="157"/>
      <c r="O13" s="157"/>
      <c r="P13" s="157"/>
      <c r="Q13" s="157"/>
    </row>
    <row r="14" spans="2:17">
      <c r="B14" s="7" t="s">
        <v>12</v>
      </c>
      <c r="C14" s="71"/>
      <c r="D14" s="71"/>
      <c r="E14" s="438">
        <f>1-E13-E12</f>
        <v>0</v>
      </c>
      <c r="F14" s="439"/>
      <c r="G14" s="437"/>
      <c r="H14" s="157"/>
      <c r="I14" s="157"/>
      <c r="J14" s="157"/>
      <c r="K14" s="157"/>
      <c r="L14" s="75"/>
      <c r="M14" s="75"/>
      <c r="N14" s="84"/>
      <c r="O14" s="157"/>
      <c r="P14" s="157"/>
      <c r="Q14" s="157"/>
    </row>
    <row r="15" spans="2:17">
      <c r="B15" s="7" t="s">
        <v>13</v>
      </c>
      <c r="C15" s="71"/>
      <c r="D15" s="71"/>
      <c r="E15" s="440">
        <v>18.7</v>
      </c>
      <c r="F15" s="441" t="s">
        <v>14</v>
      </c>
      <c r="G15" s="442" t="s">
        <v>15</v>
      </c>
      <c r="H15" s="157"/>
      <c r="I15" s="157"/>
      <c r="J15" s="157"/>
      <c r="K15" s="157"/>
      <c r="L15" s="75"/>
      <c r="M15" s="75"/>
      <c r="N15" s="84"/>
      <c r="O15" s="157"/>
      <c r="P15" s="157"/>
      <c r="Q15" s="157"/>
    </row>
    <row r="16" spans="2:17">
      <c r="B16" s="72" t="s">
        <v>16</v>
      </c>
      <c r="C16" s="280">
        <f>F8</f>
        <v>45566</v>
      </c>
      <c r="D16" s="71"/>
      <c r="E16" s="438">
        <f>F16*G16</f>
        <v>1</v>
      </c>
      <c r="F16" s="443">
        <v>1</v>
      </c>
      <c r="G16" s="444">
        <v>1</v>
      </c>
      <c r="H16" s="157"/>
      <c r="I16" s="157"/>
      <c r="J16" s="157"/>
      <c r="K16" s="157"/>
      <c r="L16" s="75"/>
      <c r="M16" s="75"/>
      <c r="N16" s="84"/>
      <c r="O16" s="157"/>
      <c r="P16" s="157"/>
      <c r="Q16" s="157"/>
    </row>
    <row r="17" spans="2:14">
      <c r="B17" s="72" t="s">
        <v>17</v>
      </c>
      <c r="C17" s="280">
        <f>EDATE(C16,1)</f>
        <v>45597</v>
      </c>
      <c r="D17" s="71"/>
      <c r="E17" s="438">
        <f>F17*G17</f>
        <v>1</v>
      </c>
      <c r="F17" s="443">
        <v>1</v>
      </c>
      <c r="G17" s="444">
        <v>1</v>
      </c>
      <c r="H17" s="157"/>
      <c r="I17" s="157"/>
      <c r="J17" s="157"/>
      <c r="K17" s="157"/>
      <c r="L17" s="75"/>
      <c r="M17" s="75"/>
      <c r="N17" s="84"/>
    </row>
    <row r="18" spans="2:14" s="157" customFormat="1">
      <c r="B18" s="78" t="s">
        <v>18</v>
      </c>
      <c r="C18" s="281">
        <f>EDATE(C17,1)</f>
        <v>45627</v>
      </c>
      <c r="D18" s="11"/>
      <c r="E18" s="445">
        <f>F18*G18</f>
        <v>1</v>
      </c>
      <c r="F18" s="446">
        <v>1</v>
      </c>
      <c r="G18" s="447">
        <v>1</v>
      </c>
      <c r="L18" s="75"/>
      <c r="M18" s="75"/>
      <c r="N18" s="84"/>
    </row>
    <row r="19" spans="2:14">
      <c r="B19" s="73"/>
      <c r="C19" s="71"/>
      <c r="D19" s="71"/>
      <c r="E19" s="157"/>
      <c r="F19" s="71"/>
      <c r="G19" s="71"/>
      <c r="H19" s="157"/>
      <c r="I19" s="157"/>
      <c r="J19" s="157"/>
      <c r="K19" s="157"/>
      <c r="L19" s="75"/>
      <c r="M19" s="75"/>
      <c r="N19" s="84"/>
    </row>
    <row r="20" spans="2:14" s="157" customFormat="1">
      <c r="B20" s="73"/>
      <c r="C20" s="71"/>
      <c r="D20" s="71"/>
      <c r="F20" s="71"/>
      <c r="G20" s="71"/>
      <c r="L20" s="75"/>
      <c r="M20" s="75"/>
      <c r="N20" s="84"/>
    </row>
    <row r="21" spans="2:14" s="157" customFormat="1">
      <c r="B21" s="3" t="s">
        <v>19</v>
      </c>
      <c r="C21" s="12"/>
      <c r="D21" s="233" t="s">
        <v>20</v>
      </c>
      <c r="E21" s="125" t="s">
        <v>21</v>
      </c>
      <c r="F21" s="71" t="s">
        <v>22</v>
      </c>
      <c r="G21" s="417"/>
      <c r="I21" s="118"/>
      <c r="L21" s="75"/>
      <c r="M21" s="75"/>
      <c r="N21" s="84"/>
    </row>
    <row r="22" spans="2:14" s="157" customFormat="1">
      <c r="B22" s="7" t="s">
        <v>23</v>
      </c>
      <c r="C22" s="71"/>
      <c r="D22" s="71"/>
      <c r="E22" s="429">
        <v>0</v>
      </c>
      <c r="F22" s="71"/>
      <c r="G22" s="71"/>
      <c r="L22" s="75"/>
      <c r="M22" s="75"/>
      <c r="N22" s="84"/>
    </row>
    <row r="23" spans="2:14" s="157" customFormat="1">
      <c r="B23" s="7" t="s">
        <v>24</v>
      </c>
      <c r="C23" s="71"/>
      <c r="D23" s="71"/>
      <c r="E23" s="429">
        <f>'Servicer Certficate'!C54</f>
        <v>4151592.47</v>
      </c>
      <c r="F23" s="71" t="s">
        <v>25</v>
      </c>
      <c r="G23" s="71"/>
      <c r="I23" s="118"/>
      <c r="L23" s="75"/>
      <c r="M23" s="75"/>
      <c r="N23" s="84"/>
    </row>
    <row r="24" spans="2:14" s="157" customFormat="1">
      <c r="B24" s="7" t="s">
        <v>26</v>
      </c>
      <c r="C24" s="71"/>
      <c r="D24" s="71"/>
      <c r="E24" s="429">
        <f>'Servicer Certficate'!C66</f>
        <v>3128204.2299999967</v>
      </c>
      <c r="F24" s="71" t="s">
        <v>25</v>
      </c>
      <c r="G24" s="71"/>
      <c r="I24" s="118"/>
      <c r="L24" s="75"/>
      <c r="M24" s="75"/>
      <c r="N24" s="84"/>
    </row>
    <row r="25" spans="2:14" s="157" customFormat="1">
      <c r="B25" s="16" t="s">
        <v>27</v>
      </c>
      <c r="C25" s="17"/>
      <c r="D25" s="17"/>
      <c r="E25" s="18">
        <f>SUM(E22:E24)</f>
        <v>7279796.6999999974</v>
      </c>
      <c r="F25" s="71"/>
      <c r="G25" s="71"/>
      <c r="L25" s="75"/>
      <c r="M25" s="75"/>
      <c r="N25" s="84"/>
    </row>
    <row r="26" spans="2:14" s="157" customFormat="1">
      <c r="B26" s="73"/>
      <c r="C26" s="71"/>
      <c r="D26" s="71"/>
      <c r="F26" s="71"/>
      <c r="G26" s="71"/>
      <c r="L26" s="75"/>
      <c r="M26" s="75"/>
      <c r="N26" s="84"/>
    </row>
    <row r="27" spans="2:14">
      <c r="B27" s="2"/>
      <c r="C27" s="157"/>
      <c r="D27" s="157"/>
      <c r="E27" s="163"/>
      <c r="F27" s="157"/>
      <c r="G27" s="157"/>
      <c r="H27" s="157"/>
      <c r="I27" s="157"/>
      <c r="J27" s="157"/>
      <c r="K27" s="157"/>
      <c r="L27" s="75"/>
      <c r="M27" s="75"/>
      <c r="N27" s="84"/>
    </row>
    <row r="28" spans="2:14">
      <c r="B28" s="3" t="s">
        <v>28</v>
      </c>
      <c r="C28" s="12"/>
      <c r="D28" s="12"/>
      <c r="E28" s="6" t="s">
        <v>29</v>
      </c>
      <c r="F28" s="157"/>
      <c r="G28" s="9"/>
      <c r="H28" s="157"/>
      <c r="I28" s="118"/>
      <c r="J28" s="157"/>
      <c r="K28" s="157"/>
      <c r="L28" s="75"/>
      <c r="M28" s="75"/>
      <c r="N28" s="84"/>
    </row>
    <row r="29" spans="2:14">
      <c r="B29" s="7" t="s">
        <v>30</v>
      </c>
      <c r="C29" s="71"/>
      <c r="D29" s="71"/>
      <c r="E29" s="429">
        <f>0.0005*'Amortization Schedule'!D10</f>
        <v>380827</v>
      </c>
      <c r="F29" s="14"/>
      <c r="G29" s="157"/>
      <c r="H29" s="157"/>
      <c r="I29" s="157"/>
      <c r="J29" s="157"/>
      <c r="K29" s="157"/>
      <c r="L29" s="75"/>
      <c r="M29" s="75"/>
      <c r="N29" s="84"/>
    </row>
    <row r="30" spans="2:14">
      <c r="B30" s="7" t="s">
        <v>31</v>
      </c>
      <c r="C30" s="71"/>
      <c r="D30" s="71"/>
      <c r="E30" s="429">
        <f>112706.75</f>
        <v>112706.75</v>
      </c>
      <c r="F30" s="15"/>
      <c r="G30" s="157"/>
      <c r="H30" s="157"/>
      <c r="I30" s="157"/>
      <c r="J30" s="157"/>
      <c r="K30" s="157"/>
      <c r="L30" s="75"/>
      <c r="M30" s="75"/>
      <c r="N30" s="84"/>
    </row>
    <row r="31" spans="2:14" s="157" customFormat="1">
      <c r="B31" s="7" t="s">
        <v>32</v>
      </c>
      <c r="C31" s="71"/>
      <c r="D31" s="71"/>
      <c r="E31" s="429">
        <f>75000+30000</f>
        <v>105000</v>
      </c>
      <c r="F31" s="15"/>
      <c r="L31" s="75"/>
      <c r="M31" s="75"/>
      <c r="N31" s="84"/>
    </row>
    <row r="32" spans="2:14">
      <c r="B32" s="7" t="s">
        <v>33</v>
      </c>
      <c r="C32" s="157"/>
      <c r="D32" s="157"/>
      <c r="E32" s="429">
        <v>75000</v>
      </c>
      <c r="F32" s="157"/>
      <c r="G32" s="157"/>
      <c r="H32" s="157"/>
      <c r="I32" s="157"/>
      <c r="J32" s="157"/>
      <c r="K32" s="157"/>
      <c r="L32" s="75"/>
      <c r="M32" s="75"/>
      <c r="N32" s="84"/>
    </row>
    <row r="33" spans="1:16">
      <c r="A33" s="157"/>
      <c r="B33" s="7" t="s">
        <v>34</v>
      </c>
      <c r="C33" s="157"/>
      <c r="D33" s="157"/>
      <c r="E33" s="429">
        <v>7500</v>
      </c>
      <c r="F33" s="157"/>
      <c r="G33" s="157"/>
      <c r="H33" s="157"/>
      <c r="I33" s="157"/>
      <c r="J33" s="157"/>
      <c r="K33" s="157"/>
      <c r="L33" s="75"/>
      <c r="M33" s="75"/>
      <c r="N33" s="84"/>
      <c r="O33" s="157"/>
      <c r="P33" s="157"/>
    </row>
    <row r="34" spans="1:16">
      <c r="A34" s="157"/>
      <c r="B34" s="7" t="s">
        <v>35</v>
      </c>
      <c r="C34" s="157"/>
      <c r="D34" s="157"/>
      <c r="E34" s="429">
        <v>5000</v>
      </c>
      <c r="F34" s="157"/>
      <c r="G34" s="157"/>
      <c r="H34" s="157"/>
      <c r="I34" s="157"/>
      <c r="J34" s="157"/>
      <c r="K34" s="157"/>
      <c r="L34" s="75"/>
      <c r="M34" s="75"/>
      <c r="N34" s="84"/>
      <c r="O34" s="157"/>
      <c r="P34" s="157"/>
    </row>
    <row r="35" spans="1:16">
      <c r="A35" s="157"/>
      <c r="B35" s="7" t="s">
        <v>36</v>
      </c>
      <c r="C35" s="157"/>
      <c r="D35" s="157"/>
      <c r="E35" s="429">
        <v>30000</v>
      </c>
      <c r="F35" s="157"/>
      <c r="G35" s="157"/>
      <c r="H35" s="157"/>
      <c r="I35" s="157"/>
      <c r="J35" s="157"/>
      <c r="K35" s="157"/>
      <c r="L35" s="75"/>
      <c r="M35" s="75"/>
      <c r="N35" s="84"/>
      <c r="O35" s="157"/>
      <c r="P35" s="157"/>
    </row>
    <row r="36" spans="1:16">
      <c r="A36" s="157"/>
      <c r="B36" s="7" t="s">
        <v>37</v>
      </c>
      <c r="C36" s="157"/>
      <c r="D36" s="157"/>
      <c r="E36" s="429">
        <v>4000</v>
      </c>
      <c r="F36" s="157"/>
      <c r="G36" s="157"/>
      <c r="H36" s="157"/>
      <c r="I36" s="157"/>
      <c r="J36" s="157"/>
      <c r="K36" s="157"/>
      <c r="L36" s="75"/>
      <c r="M36" s="75"/>
      <c r="N36" s="84"/>
      <c r="O36" s="157"/>
      <c r="P36" s="157"/>
    </row>
    <row r="37" spans="1:16">
      <c r="A37" s="157"/>
      <c r="B37" s="7" t="s">
        <v>38</v>
      </c>
      <c r="C37" s="157"/>
      <c r="D37" s="157"/>
      <c r="E37" s="429">
        <f>400000-SUM(E30:E36)</f>
        <v>60793.25</v>
      </c>
      <c r="F37" s="15"/>
      <c r="G37" s="157"/>
      <c r="H37" s="157"/>
      <c r="I37" s="157"/>
      <c r="J37" s="157"/>
      <c r="K37" s="157"/>
      <c r="L37" s="157"/>
      <c r="M37" s="157"/>
      <c r="N37" s="157"/>
      <c r="O37" s="157"/>
      <c r="P37" s="157"/>
    </row>
    <row r="38" spans="1:16">
      <c r="A38" s="157"/>
      <c r="B38" s="16" t="s">
        <v>27</v>
      </c>
      <c r="C38" s="17"/>
      <c r="D38" s="17"/>
      <c r="E38" s="18">
        <f>SUM(E29:E37)</f>
        <v>780827</v>
      </c>
      <c r="F38" s="19"/>
      <c r="G38" s="157"/>
      <c r="H38" s="157"/>
      <c r="I38" s="157"/>
      <c r="J38" s="157"/>
      <c r="K38" s="157"/>
      <c r="L38" s="157"/>
      <c r="M38" s="157"/>
      <c r="N38" s="157"/>
      <c r="O38" s="157"/>
      <c r="P38" s="157"/>
    </row>
    <row r="39" spans="1:16">
      <c r="A39" s="157"/>
      <c r="B39" s="157"/>
      <c r="C39" s="20"/>
      <c r="D39" s="20"/>
      <c r="E39" s="20"/>
      <c r="F39" s="20"/>
      <c r="G39" s="20"/>
      <c r="H39" s="20"/>
      <c r="I39" s="20"/>
      <c r="J39" s="20"/>
      <c r="K39" s="20"/>
      <c r="L39" s="157"/>
      <c r="M39" s="157"/>
      <c r="N39" s="157"/>
      <c r="O39" s="157"/>
      <c r="P39" s="157"/>
    </row>
    <row r="40" spans="1:16">
      <c r="A40" s="157"/>
      <c r="B40" s="2" t="s">
        <v>39</v>
      </c>
      <c r="C40" s="21"/>
      <c r="D40" s="21"/>
      <c r="E40" s="21"/>
      <c r="F40" s="21"/>
      <c r="G40" s="21"/>
      <c r="H40" s="21"/>
      <c r="I40" s="21"/>
      <c r="J40" s="21"/>
      <c r="K40" s="21"/>
      <c r="L40" s="21"/>
      <c r="M40" s="157"/>
      <c r="N40" s="157"/>
      <c r="O40" s="157"/>
      <c r="P40" s="157"/>
    </row>
    <row r="41" spans="1:16">
      <c r="A41" s="157"/>
      <c r="B41" s="24" t="s">
        <v>40</v>
      </c>
      <c r="C41" s="5" t="s">
        <v>41</v>
      </c>
      <c r="D41" s="5" t="s">
        <v>42</v>
      </c>
      <c r="E41" s="5" t="s">
        <v>43</v>
      </c>
      <c r="F41" s="5" t="s">
        <v>44</v>
      </c>
      <c r="G41" s="5" t="s">
        <v>45</v>
      </c>
      <c r="H41" s="23" t="s">
        <v>40</v>
      </c>
      <c r="I41" s="24" t="s">
        <v>46</v>
      </c>
      <c r="J41" s="6" t="s">
        <v>47</v>
      </c>
      <c r="K41" s="479"/>
      <c r="L41" s="480"/>
      <c r="M41" s="480"/>
      <c r="N41" s="480"/>
      <c r="O41" s="480"/>
      <c r="P41" s="480"/>
    </row>
    <row r="42" spans="1:16" s="157" customFormat="1">
      <c r="A42" s="414"/>
      <c r="B42" s="326">
        <v>45467</v>
      </c>
      <c r="C42" s="478">
        <v>358.13089999999994</v>
      </c>
      <c r="D42" s="478">
        <v>1520.9413300000001</v>
      </c>
      <c r="E42" s="478">
        <v>174671294</v>
      </c>
      <c r="F42" s="478">
        <v>41341249</v>
      </c>
      <c r="G42" s="478">
        <v>1446114757.3212399</v>
      </c>
      <c r="H42" s="126" t="str">
        <f t="shared" ref="H42:H58" si="0">TEXT(B42,"mmmm")</f>
        <v>June</v>
      </c>
      <c r="I42" s="286">
        <f t="shared" ref="I42:I43" si="1">SUM(E42:G42)</f>
        <v>1662127300.3212399</v>
      </c>
      <c r="J42" s="225">
        <f t="shared" ref="J42:J43" si="2">I42/$I$60</f>
        <v>5.8200045666694497E-2</v>
      </c>
      <c r="K42" s="412"/>
      <c r="L42" s="412"/>
      <c r="M42" s="412"/>
      <c r="N42" s="412"/>
      <c r="O42" s="412"/>
      <c r="P42" s="435"/>
    </row>
    <row r="43" spans="1:16" s="157" customFormat="1">
      <c r="A43" s="414"/>
      <c r="B43" s="326">
        <v>45497</v>
      </c>
      <c r="C43" s="478">
        <v>358.13089999999994</v>
      </c>
      <c r="D43" s="478">
        <v>1520.9413300000001</v>
      </c>
      <c r="E43" s="478">
        <v>180771611</v>
      </c>
      <c r="F43" s="478">
        <v>44453921</v>
      </c>
      <c r="G43" s="478">
        <v>1840247757.6182942</v>
      </c>
      <c r="H43" s="126" t="str">
        <f t="shared" si="0"/>
        <v>July</v>
      </c>
      <c r="I43" s="286">
        <f t="shared" si="1"/>
        <v>2065473289.6182942</v>
      </c>
      <c r="J43" s="225">
        <f t="shared" si="2"/>
        <v>7.2323365217507277E-2</v>
      </c>
      <c r="K43" s="412"/>
      <c r="L43" s="412"/>
      <c r="M43" s="412"/>
      <c r="N43" s="412"/>
      <c r="O43" s="412"/>
      <c r="P43" s="435"/>
    </row>
    <row r="44" spans="1:16">
      <c r="A44" s="414"/>
      <c r="B44" s="326">
        <f>EOMONTH(F10,0)</f>
        <v>45535</v>
      </c>
      <c r="C44" s="478">
        <v>358.13089999999994</v>
      </c>
      <c r="D44" s="478">
        <v>1520.9413300000001</v>
      </c>
      <c r="E44" s="478">
        <v>177262251</v>
      </c>
      <c r="F44" s="478">
        <v>42367626</v>
      </c>
      <c r="G44" s="478">
        <v>1754063705.7836466</v>
      </c>
      <c r="H44" s="126" t="str">
        <f t="shared" si="0"/>
        <v>August</v>
      </c>
      <c r="I44" s="286">
        <f>SUM(E44:G44)</f>
        <v>1973693582.7836466</v>
      </c>
      <c r="J44" s="225">
        <f t="shared" ref="J44:J56" si="3">I44/$I$60</f>
        <v>6.910966243552423E-2</v>
      </c>
      <c r="K44" s="412"/>
      <c r="L44" s="412"/>
      <c r="M44" s="412"/>
      <c r="N44" s="412"/>
      <c r="O44" s="412"/>
      <c r="P44" s="435"/>
    </row>
    <row r="45" spans="1:16">
      <c r="A45" s="157"/>
      <c r="B45" s="327">
        <f>EDATE(B44,1)</f>
        <v>45565</v>
      </c>
      <c r="C45" s="478">
        <v>358.13089999999994</v>
      </c>
      <c r="D45" s="478">
        <v>1520.9413300000001</v>
      </c>
      <c r="E45" s="478">
        <v>196923628</v>
      </c>
      <c r="F45" s="478">
        <v>44741668</v>
      </c>
      <c r="G45" s="478">
        <v>1708068384.5552499</v>
      </c>
      <c r="H45" s="126" t="str">
        <f t="shared" si="0"/>
        <v>September</v>
      </c>
      <c r="I45" s="286">
        <f t="shared" ref="I45:I55" si="4">SUM(E45:G45)</f>
        <v>1949733680.5552499</v>
      </c>
      <c r="J45" s="225">
        <f t="shared" si="3"/>
        <v>6.8270696970248068E-2</v>
      </c>
      <c r="K45" s="412"/>
      <c r="L45" s="412"/>
      <c r="M45" s="412"/>
      <c r="N45" s="412"/>
      <c r="O45" s="412"/>
      <c r="P45" s="435"/>
    </row>
    <row r="46" spans="1:16">
      <c r="A46" s="157"/>
      <c r="B46" s="327">
        <f t="shared" ref="B46:B57" si="5">EDATE(B45,1)</f>
        <v>45595</v>
      </c>
      <c r="C46" s="478">
        <v>359.13089999999994</v>
      </c>
      <c r="D46" s="478">
        <v>1522.9413300000001</v>
      </c>
      <c r="E46" s="478">
        <v>166979740</v>
      </c>
      <c r="F46" s="478">
        <v>37737699</v>
      </c>
      <c r="G46" s="478">
        <v>1238760541.908345</v>
      </c>
      <c r="H46" s="126" t="str">
        <f t="shared" si="0"/>
        <v>October</v>
      </c>
      <c r="I46" s="286">
        <f t="shared" si="4"/>
        <v>1443477980.908345</v>
      </c>
      <c r="J46" s="225">
        <f t="shared" si="3"/>
        <v>5.0543953156594511E-2</v>
      </c>
      <c r="K46" s="412"/>
      <c r="L46" s="412"/>
      <c r="M46" s="412"/>
      <c r="N46" s="412"/>
      <c r="O46" s="412"/>
      <c r="P46" s="435"/>
    </row>
    <row r="47" spans="1:16">
      <c r="A47" s="157"/>
      <c r="B47" s="327">
        <f t="shared" si="5"/>
        <v>45626</v>
      </c>
      <c r="C47" s="478">
        <v>359.13089999999994</v>
      </c>
      <c r="D47" s="478">
        <v>1522.9413300000001</v>
      </c>
      <c r="E47" s="478">
        <v>167058296</v>
      </c>
      <c r="F47" s="478">
        <v>35570796</v>
      </c>
      <c r="G47" s="478">
        <v>1129437598.2346365</v>
      </c>
      <c r="H47" s="126" t="str">
        <f t="shared" si="0"/>
        <v>November</v>
      </c>
      <c r="I47" s="286">
        <f t="shared" si="4"/>
        <v>1332066690.2346365</v>
      </c>
      <c r="J47" s="225">
        <f t="shared" si="3"/>
        <v>4.6642842691865354E-2</v>
      </c>
      <c r="K47" s="412"/>
      <c r="L47" s="412"/>
      <c r="M47" s="412"/>
      <c r="N47" s="412"/>
      <c r="O47" s="412"/>
      <c r="P47" s="435"/>
    </row>
    <row r="48" spans="1:16">
      <c r="A48" s="157"/>
      <c r="B48" s="327">
        <f t="shared" si="5"/>
        <v>45656</v>
      </c>
      <c r="C48" s="478">
        <v>359.13089999999994</v>
      </c>
      <c r="D48" s="478">
        <v>1522.9413300000001</v>
      </c>
      <c r="E48" s="478">
        <v>162594595</v>
      </c>
      <c r="F48" s="478">
        <v>34115713</v>
      </c>
      <c r="G48" s="478">
        <v>1321431259.573719</v>
      </c>
      <c r="H48" s="126" t="str">
        <f t="shared" si="0"/>
        <v>December</v>
      </c>
      <c r="I48" s="286">
        <f t="shared" si="4"/>
        <v>1518141567.573719</v>
      </c>
      <c r="J48" s="225">
        <f t="shared" si="3"/>
        <v>5.3158328212418532E-2</v>
      </c>
      <c r="K48" s="412"/>
      <c r="L48" s="412"/>
      <c r="M48" s="412"/>
      <c r="N48" s="412"/>
      <c r="O48" s="412"/>
      <c r="P48" s="435"/>
    </row>
    <row r="49" spans="2:16">
      <c r="B49" s="327">
        <f t="shared" si="5"/>
        <v>45687</v>
      </c>
      <c r="C49" s="478">
        <v>359.13089999999994</v>
      </c>
      <c r="D49" s="478">
        <v>1522.9413300000001</v>
      </c>
      <c r="E49" s="478">
        <v>172491485</v>
      </c>
      <c r="F49" s="478">
        <v>35428288</v>
      </c>
      <c r="G49" s="478">
        <v>1471055748.6132283</v>
      </c>
      <c r="H49" s="126" t="str">
        <f t="shared" si="0"/>
        <v>January</v>
      </c>
      <c r="I49" s="286">
        <f t="shared" si="4"/>
        <v>1678975521.6132283</v>
      </c>
      <c r="J49" s="225">
        <f t="shared" si="3"/>
        <v>5.8789992807570399E-2</v>
      </c>
      <c r="K49" s="412"/>
      <c r="L49" s="412"/>
      <c r="M49" s="412"/>
      <c r="N49" s="412"/>
      <c r="O49" s="412"/>
      <c r="P49" s="435"/>
    </row>
    <row r="50" spans="2:16">
      <c r="B50" s="327">
        <f t="shared" si="5"/>
        <v>45716</v>
      </c>
      <c r="C50" s="478">
        <v>359.13089999999994</v>
      </c>
      <c r="D50" s="478">
        <v>1522.9413300000001</v>
      </c>
      <c r="E50" s="478">
        <v>179534221</v>
      </c>
      <c r="F50" s="478">
        <v>34096499</v>
      </c>
      <c r="G50" s="478">
        <v>1407230683.8339107</v>
      </c>
      <c r="H50" s="126" t="str">
        <f t="shared" si="0"/>
        <v>February</v>
      </c>
      <c r="I50" s="286">
        <f t="shared" si="4"/>
        <v>1620861403.8339107</v>
      </c>
      <c r="J50" s="225">
        <f t="shared" si="3"/>
        <v>5.6755103958814793E-2</v>
      </c>
      <c r="K50" s="412"/>
      <c r="L50" s="412"/>
      <c r="M50" s="412"/>
      <c r="N50" s="412"/>
      <c r="O50" s="412"/>
      <c r="P50" s="435"/>
    </row>
    <row r="51" spans="2:16">
      <c r="B51" s="327">
        <f t="shared" si="5"/>
        <v>45744</v>
      </c>
      <c r="C51" s="478">
        <v>359.13089999999994</v>
      </c>
      <c r="D51" s="478">
        <v>1522.9413300000001</v>
      </c>
      <c r="E51" s="478">
        <v>172730922</v>
      </c>
      <c r="F51" s="478">
        <v>33707983</v>
      </c>
      <c r="G51" s="478">
        <v>1218973854.21662</v>
      </c>
      <c r="H51" s="126" t="str">
        <f t="shared" si="0"/>
        <v>March</v>
      </c>
      <c r="I51" s="286">
        <f t="shared" si="4"/>
        <v>1425412759.21662</v>
      </c>
      <c r="J51" s="225">
        <f t="shared" si="3"/>
        <v>4.9911392264757791E-2</v>
      </c>
      <c r="K51" s="412"/>
      <c r="L51" s="412"/>
      <c r="M51" s="412"/>
      <c r="N51" s="412"/>
      <c r="O51" s="412"/>
      <c r="P51" s="435"/>
    </row>
    <row r="52" spans="2:16">
      <c r="B52" s="327">
        <f t="shared" si="5"/>
        <v>45775</v>
      </c>
      <c r="C52" s="478">
        <v>359.13089999999994</v>
      </c>
      <c r="D52" s="478">
        <v>1522.9413300000001</v>
      </c>
      <c r="E52" s="478">
        <v>173732506</v>
      </c>
      <c r="F52" s="478">
        <v>35019844</v>
      </c>
      <c r="G52" s="478">
        <v>1126592308.3507383</v>
      </c>
      <c r="H52" s="126" t="str">
        <f t="shared" si="0"/>
        <v>April</v>
      </c>
      <c r="I52" s="286">
        <f t="shared" si="4"/>
        <v>1335344658.3507383</v>
      </c>
      <c r="J52" s="225">
        <f t="shared" si="3"/>
        <v>4.6757622043611891E-2</v>
      </c>
      <c r="K52" s="412"/>
      <c r="L52" s="412"/>
      <c r="M52" s="412"/>
      <c r="N52" s="412"/>
      <c r="O52" s="412"/>
      <c r="P52" s="435"/>
    </row>
    <row r="53" spans="2:16">
      <c r="B53" s="327">
        <f t="shared" si="5"/>
        <v>45805</v>
      </c>
      <c r="C53" s="478">
        <v>359.13089999999994</v>
      </c>
      <c r="D53" s="478">
        <v>1522.9413300000001</v>
      </c>
      <c r="E53" s="478">
        <v>186555814</v>
      </c>
      <c r="F53" s="478">
        <v>36667226</v>
      </c>
      <c r="G53" s="478">
        <v>1135605811.4275689</v>
      </c>
      <c r="H53" s="126" t="str">
        <f t="shared" si="0"/>
        <v>May</v>
      </c>
      <c r="I53" s="286">
        <f t="shared" si="4"/>
        <v>1358828851.4275689</v>
      </c>
      <c r="J53" s="225">
        <f t="shared" si="3"/>
        <v>4.7579930364552679E-2</v>
      </c>
      <c r="K53" s="412"/>
      <c r="L53" s="412"/>
      <c r="M53" s="412"/>
      <c r="N53" s="412"/>
      <c r="O53" s="412"/>
      <c r="P53" s="435"/>
    </row>
    <row r="54" spans="2:16">
      <c r="B54" s="327">
        <f t="shared" si="5"/>
        <v>45836</v>
      </c>
      <c r="C54" s="478">
        <v>359.13089999999994</v>
      </c>
      <c r="D54" s="478">
        <v>1522.9413300000001</v>
      </c>
      <c r="E54" s="478">
        <v>191803430</v>
      </c>
      <c r="F54" s="478">
        <v>39971456</v>
      </c>
      <c r="G54" s="478">
        <v>1459995399.6408403</v>
      </c>
      <c r="H54" s="126" t="str">
        <f t="shared" si="0"/>
        <v>June</v>
      </c>
      <c r="I54" s="286">
        <f t="shared" si="4"/>
        <v>1691770285.6408403</v>
      </c>
      <c r="J54" s="225">
        <f t="shared" si="3"/>
        <v>5.9238006537058914E-2</v>
      </c>
      <c r="K54" s="412"/>
      <c r="L54" s="412"/>
      <c r="M54" s="412"/>
      <c r="N54" s="412"/>
      <c r="O54" s="412"/>
      <c r="P54" s="435"/>
    </row>
    <row r="55" spans="2:16">
      <c r="B55" s="327">
        <f t="shared" si="5"/>
        <v>45866</v>
      </c>
      <c r="C55" s="478">
        <v>359.13089999999994</v>
      </c>
      <c r="D55" s="478">
        <v>1522.9413300000001</v>
      </c>
      <c r="E55" s="478">
        <v>193171323</v>
      </c>
      <c r="F55" s="478">
        <v>41828636</v>
      </c>
      <c r="G55" s="478">
        <v>1857911515.4726591</v>
      </c>
      <c r="H55" s="126" t="str">
        <f t="shared" si="0"/>
        <v>July</v>
      </c>
      <c r="I55" s="286">
        <f t="shared" si="4"/>
        <v>2092911474.4726591</v>
      </c>
      <c r="J55" s="225">
        <f t="shared" si="3"/>
        <v>7.3284124126422739E-2</v>
      </c>
      <c r="K55" s="412"/>
      <c r="L55" s="412"/>
      <c r="M55" s="412"/>
      <c r="N55" s="412"/>
      <c r="O55" s="412"/>
      <c r="P55" s="435"/>
    </row>
    <row r="56" spans="2:16">
      <c r="B56" s="327">
        <f>EDATE(B55,1)</f>
        <v>45897</v>
      </c>
      <c r="C56" s="478">
        <v>359.13089999999994</v>
      </c>
      <c r="D56" s="478">
        <v>1522.9413300000001</v>
      </c>
      <c r="E56" s="478">
        <v>177262251</v>
      </c>
      <c r="F56" s="478">
        <v>42367626</v>
      </c>
      <c r="G56" s="478">
        <v>1770900219.471451</v>
      </c>
      <c r="H56" s="126" t="str">
        <f t="shared" si="0"/>
        <v>August</v>
      </c>
      <c r="I56" s="286">
        <f>SUM(E56:G56)</f>
        <v>1990530096.471451</v>
      </c>
      <c r="J56" s="225">
        <f t="shared" si="3"/>
        <v>6.9699199630003122E-2</v>
      </c>
      <c r="K56" s="412"/>
      <c r="L56" s="412"/>
      <c r="M56" s="412"/>
      <c r="N56" s="412"/>
      <c r="O56" s="412"/>
      <c r="P56" s="435"/>
    </row>
    <row r="57" spans="2:16" s="157" customFormat="1">
      <c r="B57" s="327">
        <f t="shared" si="5"/>
        <v>45928</v>
      </c>
      <c r="C57" s="478">
        <v>359.13089999999994</v>
      </c>
      <c r="D57" s="478">
        <v>1522.9413300000001</v>
      </c>
      <c r="E57" s="478">
        <v>196923628</v>
      </c>
      <c r="F57" s="478">
        <v>44741668</v>
      </c>
      <c r="G57" s="478">
        <v>1724463408.6592479</v>
      </c>
      <c r="H57" s="126" t="str">
        <f t="shared" si="0"/>
        <v>September</v>
      </c>
      <c r="I57" s="286">
        <f t="shared" ref="I57:I58" si="6">SUM(E57:G57)</f>
        <v>1966128704.6592479</v>
      </c>
      <c r="J57" s="225">
        <f t="shared" ref="J57:J58" si="7">I57/$I$60</f>
        <v>6.8844775232108538E-2</v>
      </c>
      <c r="K57" s="412"/>
      <c r="L57" s="412"/>
      <c r="M57" s="412"/>
      <c r="N57" s="412"/>
      <c r="O57" s="412"/>
      <c r="P57" s="435"/>
    </row>
    <row r="58" spans="2:16" s="157" customFormat="1">
      <c r="B58" s="327">
        <f>EDATE(B57,1)</f>
        <v>45958</v>
      </c>
      <c r="C58" s="478">
        <v>359.13089999999994</v>
      </c>
      <c r="D58" s="478">
        <v>1522.9413300000001</v>
      </c>
      <c r="E58" s="478">
        <f>E46</f>
        <v>166979740</v>
      </c>
      <c r="F58" s="478">
        <f>F46</f>
        <v>37737699</v>
      </c>
      <c r="G58" s="478">
        <v>1248670626.2436118</v>
      </c>
      <c r="H58" s="126" t="str">
        <f t="shared" si="0"/>
        <v>October</v>
      </c>
      <c r="I58" s="286">
        <f t="shared" si="6"/>
        <v>1453388065.2436118</v>
      </c>
      <c r="J58" s="225">
        <f t="shared" si="7"/>
        <v>5.089095868424684E-2</v>
      </c>
      <c r="K58" s="412"/>
      <c r="L58" s="412"/>
      <c r="M58" s="412"/>
      <c r="N58" s="412"/>
      <c r="O58" s="412"/>
      <c r="P58" s="435"/>
    </row>
    <row r="59" spans="2:16">
      <c r="B59" s="7"/>
      <c r="C59" s="283"/>
      <c r="D59" s="283"/>
      <c r="E59" s="283"/>
      <c r="F59" s="283"/>
      <c r="G59" s="283"/>
      <c r="H59" s="127"/>
      <c r="I59" s="287"/>
      <c r="J59" s="128"/>
      <c r="K59" s="157"/>
      <c r="L59" s="157"/>
      <c r="M59" s="157"/>
      <c r="N59" s="157"/>
      <c r="O59" s="157"/>
      <c r="P59" s="2"/>
    </row>
    <row r="60" spans="2:16">
      <c r="B60" s="10" t="s">
        <v>48</v>
      </c>
      <c r="C60" s="448">
        <v>2.01E-2</v>
      </c>
      <c r="D60" s="448">
        <v>9.06E-2</v>
      </c>
      <c r="E60" s="448">
        <v>4.07E-2</v>
      </c>
      <c r="F60" s="448">
        <v>1.18E-2</v>
      </c>
      <c r="G60" s="448">
        <v>0.83679999999999999</v>
      </c>
      <c r="H60" s="129"/>
      <c r="I60" s="288">
        <f>SUM(I42:I58)</f>
        <v>28558865912.925003</v>
      </c>
      <c r="J60" s="226">
        <f>SUM(J42:J58)</f>
        <v>1.0000000000000002</v>
      </c>
      <c r="K60" s="157"/>
      <c r="L60" s="157"/>
      <c r="M60" s="157"/>
      <c r="N60" s="157"/>
      <c r="O60" s="157"/>
      <c r="P60" s="2"/>
    </row>
    <row r="62" spans="2:16">
      <c r="B62" s="2"/>
      <c r="C62" s="157"/>
      <c r="D62" s="157"/>
      <c r="E62" s="157"/>
      <c r="F62" s="157"/>
      <c r="G62" s="157"/>
      <c r="H62" s="157"/>
      <c r="I62" s="157"/>
      <c r="J62" s="157"/>
      <c r="K62" s="157"/>
      <c r="L62" s="157"/>
      <c r="M62" s="157"/>
      <c r="N62" s="157"/>
      <c r="O62" s="157"/>
      <c r="P62" s="157"/>
    </row>
    <row r="63" spans="2:16">
      <c r="B63" s="3" t="s">
        <v>49</v>
      </c>
      <c r="C63" s="5" t="s">
        <v>50</v>
      </c>
      <c r="D63" s="5" t="s">
        <v>51</v>
      </c>
      <c r="E63" s="6" t="s">
        <v>52</v>
      </c>
      <c r="F63" s="157"/>
      <c r="G63" s="26"/>
      <c r="H63" s="157"/>
      <c r="I63" s="157"/>
      <c r="J63" s="157"/>
      <c r="K63" s="157"/>
      <c r="L63" s="157"/>
      <c r="M63" s="157"/>
      <c r="N63" s="157"/>
      <c r="O63" s="157"/>
      <c r="P63" s="157"/>
    </row>
    <row r="64" spans="2:16">
      <c r="B64" s="72" t="s">
        <v>53</v>
      </c>
      <c r="C64" s="449">
        <v>155689628</v>
      </c>
      <c r="D64" s="449">
        <v>300000000</v>
      </c>
      <c r="E64" s="450">
        <v>300000000</v>
      </c>
      <c r="F64" s="157"/>
      <c r="G64" s="26"/>
      <c r="H64" s="157"/>
      <c r="I64" s="157"/>
      <c r="J64" s="157"/>
      <c r="K64" s="157"/>
      <c r="L64" s="157"/>
      <c r="M64" s="157"/>
      <c r="N64" s="157"/>
      <c r="O64" s="157"/>
      <c r="P64" s="157"/>
    </row>
    <row r="65" spans="2:13">
      <c r="B65" s="72" t="s">
        <v>54</v>
      </c>
      <c r="C65" s="451">
        <v>5.3607583033997166</v>
      </c>
      <c r="D65" s="451">
        <v>15.692794552222221</v>
      </c>
      <c r="E65" s="452">
        <v>24.441061757222222</v>
      </c>
      <c r="F65" s="157"/>
      <c r="G65" s="26"/>
      <c r="H65" s="157"/>
      <c r="I65" s="157"/>
      <c r="J65" s="157"/>
      <c r="K65" s="157"/>
      <c r="L65" s="157"/>
      <c r="M65" s="157"/>
    </row>
    <row r="66" spans="2:13">
      <c r="B66" s="72" t="s">
        <v>55</v>
      </c>
      <c r="C66" s="453">
        <v>4.2849999999999999E-2</v>
      </c>
      <c r="D66" s="453">
        <v>4.8509999999999998E-2</v>
      </c>
      <c r="E66" s="454">
        <v>5.0869999999999999E-2</v>
      </c>
      <c r="F66" s="229" t="s">
        <v>50</v>
      </c>
      <c r="G66" s="230" t="s">
        <v>51</v>
      </c>
      <c r="H66" s="231" t="s">
        <v>52</v>
      </c>
      <c r="I66" s="157"/>
      <c r="J66" s="157"/>
      <c r="K66" s="157"/>
      <c r="L66" s="157"/>
      <c r="M66" s="23" t="s">
        <v>56</v>
      </c>
    </row>
    <row r="67" spans="2:13">
      <c r="B67" s="27" t="s">
        <v>57</v>
      </c>
      <c r="C67" s="28"/>
      <c r="D67" s="28"/>
      <c r="E67" s="29"/>
      <c r="F67" s="29" t="s">
        <v>58</v>
      </c>
      <c r="G67" s="29"/>
      <c r="H67" s="29"/>
      <c r="I67" s="6" t="s">
        <v>59</v>
      </c>
      <c r="J67" s="6" t="s">
        <v>60</v>
      </c>
      <c r="K67" s="6" t="s">
        <v>61</v>
      </c>
      <c r="L67" s="5" t="s">
        <v>49</v>
      </c>
      <c r="M67" s="232" t="s">
        <v>62</v>
      </c>
    </row>
    <row r="68" spans="2:13">
      <c r="B68" s="455">
        <v>44762</v>
      </c>
      <c r="C68" s="456">
        <v>161654000</v>
      </c>
      <c r="D68" s="456">
        <v>300000000</v>
      </c>
      <c r="E68" s="457">
        <v>300000000</v>
      </c>
      <c r="F68" s="458">
        <v>161654000</v>
      </c>
      <c r="G68" s="458">
        <v>300000000</v>
      </c>
      <c r="H68" s="459">
        <v>300000000</v>
      </c>
      <c r="I68" s="460">
        <f>SUM(F68:H68)</f>
        <v>761654000</v>
      </c>
      <c r="J68" s="460"/>
      <c r="K68" s="461"/>
      <c r="L68" s="462"/>
      <c r="M68" s="463">
        <f>SUM(M69:M123)</f>
        <v>0</v>
      </c>
    </row>
    <row r="69" spans="2:13">
      <c r="B69" s="464">
        <v>44958</v>
      </c>
      <c r="C69" s="465">
        <v>155689628</v>
      </c>
      <c r="D69" s="465">
        <v>300000000</v>
      </c>
      <c r="E69" s="466">
        <v>300000000</v>
      </c>
      <c r="F69" s="294">
        <v>155689628</v>
      </c>
      <c r="G69" s="294">
        <v>300000000</v>
      </c>
      <c r="H69" s="467">
        <v>300000000</v>
      </c>
      <c r="I69" s="460">
        <f>SUM(F69:H69)</f>
        <v>755689628</v>
      </c>
      <c r="J69" s="460">
        <f>IF(H69&gt;0,I68-I69,"")</f>
        <v>5964372</v>
      </c>
      <c r="K69" s="460">
        <f>IF(H69&gt;0,DAYS360($B68,$B69)/360*F68*C$66+DAYS360($B68,$B69)/360*G68*D$66+DAYS360($B68,$B69)/360*H68*E$66,0)</f>
        <v>19493074.763611108</v>
      </c>
      <c r="L69" s="468">
        <f>SUM(J69:K69)</f>
        <v>25457446.763611108</v>
      </c>
      <c r="M69" s="460">
        <f>IF(B69='Aug. 1, 2024 Payment Date'!$E$6,SUM(C69:E69)-SUM(F69:H69),0)</f>
        <v>0</v>
      </c>
    </row>
    <row r="70" spans="2:13">
      <c r="B70" s="464">
        <v>45139</v>
      </c>
      <c r="C70" s="465">
        <v>148474831</v>
      </c>
      <c r="D70" s="465">
        <v>300000000</v>
      </c>
      <c r="E70" s="466">
        <v>300000000</v>
      </c>
      <c r="F70" s="294">
        <v>148474831</v>
      </c>
      <c r="G70" s="294">
        <v>300000000</v>
      </c>
      <c r="H70" s="467">
        <v>300000000</v>
      </c>
      <c r="I70" s="460">
        <f>SUM(F70:H70)</f>
        <v>748474831</v>
      </c>
      <c r="J70" s="460">
        <f t="shared" ref="J70:J123" si="8">IF(H70&gt;0,I69-I70,0)</f>
        <v>7214797</v>
      </c>
      <c r="K70" s="460">
        <f>IF(H70&gt;0,DAYS360($B69,$B70)/360*F69*C$66+DAYS360($B69,$B70)/360*G69*D$66+DAYS360($B69,$B70)/360*H69*E$66,0)</f>
        <v>18242650.279899999</v>
      </c>
      <c r="L70" s="468">
        <f t="shared" ref="L70:L123" si="9">SUM(J70:K70)</f>
        <v>25457447.279899999</v>
      </c>
      <c r="M70" s="460">
        <f>IF(B70='Aug. 1, 2024 Payment Date'!$E$6,SUM(C70:E70)-SUM(F70:H70),0)</f>
        <v>0</v>
      </c>
    </row>
    <row r="71" spans="2:13">
      <c r="B71" s="464">
        <v>45323</v>
      </c>
      <c r="C71" s="465">
        <v>141105458</v>
      </c>
      <c r="D71" s="465">
        <v>300000000</v>
      </c>
      <c r="E71" s="466">
        <v>300000000</v>
      </c>
      <c r="F71" s="294">
        <v>141105458</v>
      </c>
      <c r="G71" s="294">
        <v>300000000</v>
      </c>
      <c r="H71" s="467">
        <v>300000000</v>
      </c>
      <c r="I71" s="460">
        <f>SUM(F71:H71)</f>
        <v>741105458</v>
      </c>
      <c r="J71" s="460">
        <f t="shared" si="8"/>
        <v>7369373</v>
      </c>
      <c r="K71" s="460">
        <f>IF(H71&gt;0,DAYS360($B70,$B71)/360*F70*C$66+DAYS360($B70,$B71)/360*G70*D$66+DAYS360($B70,$B71)/360*H70*E$66,0)</f>
        <v>18088073.254175</v>
      </c>
      <c r="L71" s="468">
        <f t="shared" si="9"/>
        <v>25457446.254175</v>
      </c>
      <c r="M71" s="460">
        <f>IF(B71='Aug. 1, 2024 Payment Date'!$E$6,SUM(C71:E71)-SUM(F71:H71),0)</f>
        <v>0</v>
      </c>
    </row>
    <row r="72" spans="2:13">
      <c r="B72" s="464">
        <v>45505</v>
      </c>
      <c r="C72" s="465">
        <v>133578195</v>
      </c>
      <c r="D72" s="465">
        <v>300000000</v>
      </c>
      <c r="E72" s="466">
        <v>300000000</v>
      </c>
      <c r="F72" s="294">
        <v>133578195</v>
      </c>
      <c r="G72" s="294">
        <v>300000000</v>
      </c>
      <c r="H72" s="467">
        <v>300000000</v>
      </c>
      <c r="I72" s="460">
        <f t="shared" ref="I72:I123" si="10">SUM(F72:H72)</f>
        <v>733578195</v>
      </c>
      <c r="J72" s="460">
        <f t="shared" si="8"/>
        <v>7527263</v>
      </c>
      <c r="K72" s="460">
        <f t="shared" ref="K72:K123" si="11">IF(H72&gt;0,DAYS360($B71,$B72)/360*F71*C$66+DAYS360($B71,$B72)/360*G71*D$66+DAYS360($B71,$B72)/360*H71*E$66,0)</f>
        <v>17930184.437649999</v>
      </c>
      <c r="L72" s="468">
        <f t="shared" si="9"/>
        <v>25457447.437649999</v>
      </c>
      <c r="M72" s="460">
        <f>IF(B72='Aug. 1, 2024 Payment Date'!$E$6,SUM(C72:E72)-SUM(F72:H72),0)</f>
        <v>0</v>
      </c>
    </row>
    <row r="73" spans="2:13">
      <c r="B73" s="464">
        <v>45689</v>
      </c>
      <c r="C73" s="465">
        <v>125889661</v>
      </c>
      <c r="D73" s="465">
        <v>300000000</v>
      </c>
      <c r="E73" s="466">
        <v>300000000</v>
      </c>
      <c r="F73" s="294">
        <v>125889661</v>
      </c>
      <c r="G73" s="294">
        <v>300000000</v>
      </c>
      <c r="H73" s="467">
        <v>300000000</v>
      </c>
      <c r="I73" s="460">
        <f t="shared" si="10"/>
        <v>725889661</v>
      </c>
      <c r="J73" s="460">
        <f t="shared" si="8"/>
        <v>7688534</v>
      </c>
      <c r="K73" s="460">
        <f t="shared" si="11"/>
        <v>17768912.827874999</v>
      </c>
      <c r="L73" s="468">
        <f t="shared" si="9"/>
        <v>25457446.827874999</v>
      </c>
      <c r="M73" s="460">
        <f>IF(B73='Aug. 1, 2024 Payment Date'!$E$6,SUM(C73:E73)-SUM(F73:H73),0)</f>
        <v>0</v>
      </c>
    </row>
    <row r="74" spans="2:13">
      <c r="B74" s="464">
        <v>45870</v>
      </c>
      <c r="C74" s="465">
        <v>118036400</v>
      </c>
      <c r="D74" s="465">
        <v>300000000</v>
      </c>
      <c r="E74" s="466">
        <v>300000000</v>
      </c>
      <c r="F74" s="294">
        <v>118036400</v>
      </c>
      <c r="G74" s="294">
        <v>300000000</v>
      </c>
      <c r="H74" s="467">
        <v>300000000</v>
      </c>
      <c r="I74" s="460">
        <f t="shared" si="10"/>
        <v>718036400</v>
      </c>
      <c r="J74" s="460">
        <f t="shared" si="8"/>
        <v>7853261</v>
      </c>
      <c r="K74" s="460">
        <f t="shared" si="11"/>
        <v>17604185.986924998</v>
      </c>
      <c r="L74" s="468">
        <f t="shared" si="9"/>
        <v>25457446.986924998</v>
      </c>
      <c r="M74" s="460">
        <f>IF(B74='Aug. 1, 2024 Payment Date'!$E$6,SUM(C74:E74)-SUM(F74:H74),0)</f>
        <v>0</v>
      </c>
    </row>
    <row r="75" spans="2:13">
      <c r="B75" s="464">
        <v>46054</v>
      </c>
      <c r="C75" s="465">
        <v>110014883</v>
      </c>
      <c r="D75" s="465">
        <v>300000000</v>
      </c>
      <c r="E75" s="466">
        <v>300000000</v>
      </c>
      <c r="F75" s="294">
        <v>110014883</v>
      </c>
      <c r="G75" s="294">
        <v>300000000</v>
      </c>
      <c r="H75" s="467">
        <v>300000000</v>
      </c>
      <c r="I75" s="460">
        <f t="shared" si="10"/>
        <v>710014883</v>
      </c>
      <c r="J75" s="460">
        <f t="shared" si="8"/>
        <v>8021517</v>
      </c>
      <c r="K75" s="460">
        <f t="shared" si="11"/>
        <v>17435929.870000001</v>
      </c>
      <c r="L75" s="468">
        <f t="shared" si="9"/>
        <v>25457446.870000001</v>
      </c>
      <c r="M75" s="460">
        <f>IF(B75='Aug. 1, 2024 Payment Date'!$E$6,SUM(C75:E75)-SUM(F75:H75),0)</f>
        <v>0</v>
      </c>
    </row>
    <row r="76" spans="2:13">
      <c r="B76" s="464">
        <v>46235</v>
      </c>
      <c r="C76" s="465">
        <v>101821505</v>
      </c>
      <c r="D76" s="465">
        <v>300000000</v>
      </c>
      <c r="E76" s="466">
        <v>300000000</v>
      </c>
      <c r="F76" s="294">
        <v>101821505</v>
      </c>
      <c r="G76" s="294">
        <v>300000000</v>
      </c>
      <c r="H76" s="467">
        <v>300000000</v>
      </c>
      <c r="I76" s="460">
        <f t="shared" si="10"/>
        <v>701821505</v>
      </c>
      <c r="J76" s="460">
        <f t="shared" si="8"/>
        <v>8193378</v>
      </c>
      <c r="K76" s="460">
        <f t="shared" si="11"/>
        <v>17264068.868275002</v>
      </c>
      <c r="L76" s="468">
        <f t="shared" si="9"/>
        <v>25457446.868275002</v>
      </c>
      <c r="M76" s="460">
        <f>IF(B76='Aug. 1, 2024 Payment Date'!$E$6,SUM(C76:E76)-SUM(F76:H76),0)</f>
        <v>0</v>
      </c>
    </row>
    <row r="77" spans="2:13">
      <c r="B77" s="464">
        <v>46419</v>
      </c>
      <c r="C77" s="465">
        <v>93452584</v>
      </c>
      <c r="D77" s="465">
        <v>300000000</v>
      </c>
      <c r="E77" s="466">
        <v>300000000</v>
      </c>
      <c r="F77" s="294">
        <v>93452584</v>
      </c>
      <c r="G77" s="294">
        <v>300000000</v>
      </c>
      <c r="H77" s="467">
        <v>300000000</v>
      </c>
      <c r="I77" s="460">
        <f t="shared" si="10"/>
        <v>693452584</v>
      </c>
      <c r="J77" s="460">
        <f t="shared" si="8"/>
        <v>8368921</v>
      </c>
      <c r="K77" s="460">
        <f t="shared" si="11"/>
        <v>17088525.744625002</v>
      </c>
      <c r="L77" s="468">
        <f t="shared" si="9"/>
        <v>25457446.744625002</v>
      </c>
      <c r="M77" s="460">
        <f>IF(B77='Aug. 1, 2024 Payment Date'!$E$6,SUM(C77:E77)-SUM(F77:H77),0)</f>
        <v>0</v>
      </c>
    </row>
    <row r="78" spans="2:13">
      <c r="B78" s="464">
        <v>46600</v>
      </c>
      <c r="C78" s="465">
        <v>84904359</v>
      </c>
      <c r="D78" s="465">
        <v>300000000</v>
      </c>
      <c r="E78" s="466">
        <v>300000000</v>
      </c>
      <c r="F78" s="294">
        <v>84904359</v>
      </c>
      <c r="G78" s="294">
        <v>300000000</v>
      </c>
      <c r="H78" s="467">
        <v>300000000</v>
      </c>
      <c r="I78" s="460">
        <f t="shared" si="10"/>
        <v>684904359</v>
      </c>
      <c r="J78" s="460">
        <f t="shared" si="8"/>
        <v>8548225</v>
      </c>
      <c r="K78" s="460">
        <f t="shared" si="11"/>
        <v>16909221.612199999</v>
      </c>
      <c r="L78" s="468">
        <f t="shared" si="9"/>
        <v>25457446.612199999</v>
      </c>
      <c r="M78" s="460">
        <f>IF(B78='Aug. 1, 2024 Payment Date'!$E$6,SUM(C78:E78)-SUM(F78:H78),0)</f>
        <v>0</v>
      </c>
    </row>
    <row r="79" spans="2:13">
      <c r="B79" s="464">
        <v>46784</v>
      </c>
      <c r="C79" s="465">
        <v>76172988</v>
      </c>
      <c r="D79" s="465">
        <v>300000000</v>
      </c>
      <c r="E79" s="466">
        <v>300000000</v>
      </c>
      <c r="F79" s="294">
        <v>76172988</v>
      </c>
      <c r="G79" s="294">
        <v>300000000</v>
      </c>
      <c r="H79" s="467">
        <v>300000000</v>
      </c>
      <c r="I79" s="460">
        <f t="shared" si="10"/>
        <v>676172988</v>
      </c>
      <c r="J79" s="460">
        <f t="shared" si="8"/>
        <v>8731371</v>
      </c>
      <c r="K79" s="460">
        <f t="shared" si="11"/>
        <v>16726075.891574999</v>
      </c>
      <c r="L79" s="468">
        <f t="shared" si="9"/>
        <v>25457446.891575001</v>
      </c>
      <c r="M79" s="460">
        <f>IF(B79='Aug. 1, 2024 Payment Date'!$E$6,SUM(C79:E79)-SUM(F79:H79),0)</f>
        <v>0</v>
      </c>
    </row>
    <row r="80" spans="2:13">
      <c r="B80" s="464">
        <v>46966</v>
      </c>
      <c r="C80" s="465">
        <v>67254547</v>
      </c>
      <c r="D80" s="465">
        <v>300000000</v>
      </c>
      <c r="E80" s="466">
        <v>300000000</v>
      </c>
      <c r="F80" s="294">
        <v>67254547</v>
      </c>
      <c r="G80" s="294">
        <v>300000000</v>
      </c>
      <c r="H80" s="467">
        <v>300000000</v>
      </c>
      <c r="I80" s="460">
        <f t="shared" si="10"/>
        <v>667254547</v>
      </c>
      <c r="J80" s="460">
        <f t="shared" si="8"/>
        <v>8918441</v>
      </c>
      <c r="K80" s="460">
        <f t="shared" si="11"/>
        <v>16539006.267899999</v>
      </c>
      <c r="L80" s="468">
        <f t="shared" si="9"/>
        <v>25457447.267899998</v>
      </c>
      <c r="M80" s="460">
        <f>IF(B80='Aug. 1, 2024 Payment Date'!$E$6,SUM(C80:E80)-SUM(F80:H80),0)</f>
        <v>0</v>
      </c>
    </row>
    <row r="81" spans="2:13">
      <c r="B81" s="464">
        <v>47150</v>
      </c>
      <c r="C81" s="465">
        <v>58145029</v>
      </c>
      <c r="D81" s="465">
        <v>300000000</v>
      </c>
      <c r="E81" s="466">
        <v>300000000</v>
      </c>
      <c r="F81" s="294">
        <v>58145029</v>
      </c>
      <c r="G81" s="294">
        <v>300000000</v>
      </c>
      <c r="H81" s="467">
        <v>300000000</v>
      </c>
      <c r="I81" s="460">
        <f t="shared" si="10"/>
        <v>658145029</v>
      </c>
      <c r="J81" s="460">
        <f t="shared" si="8"/>
        <v>9109518</v>
      </c>
      <c r="K81" s="460">
        <f t="shared" si="11"/>
        <v>16347928.669475</v>
      </c>
      <c r="L81" s="468">
        <f t="shared" si="9"/>
        <v>25457446.669475</v>
      </c>
      <c r="M81" s="460">
        <f>IF(B81='Aug. 1, 2024 Payment Date'!$E$6,SUM(C81:E81)-SUM(F81:H81),0)</f>
        <v>0</v>
      </c>
    </row>
    <row r="82" spans="2:13">
      <c r="B82" s="464">
        <v>47331</v>
      </c>
      <c r="C82" s="465">
        <v>48840339</v>
      </c>
      <c r="D82" s="465">
        <v>300000000</v>
      </c>
      <c r="E82" s="466">
        <v>300000000</v>
      </c>
      <c r="F82" s="294">
        <v>48840339</v>
      </c>
      <c r="G82" s="294">
        <v>300000000</v>
      </c>
      <c r="H82" s="467">
        <v>300000000</v>
      </c>
      <c r="I82" s="460">
        <f t="shared" si="10"/>
        <v>648840339</v>
      </c>
      <c r="J82" s="460">
        <f t="shared" si="8"/>
        <v>9304690</v>
      </c>
      <c r="K82" s="460">
        <f t="shared" si="11"/>
        <v>16152757.246324999</v>
      </c>
      <c r="L82" s="468">
        <f t="shared" si="9"/>
        <v>25457447.246325001</v>
      </c>
      <c r="M82" s="460">
        <f>IF(B82='Aug. 1, 2024 Payment Date'!$E$6,SUM(C82:E82)-SUM(F82:H82),0)</f>
        <v>0</v>
      </c>
    </row>
    <row r="83" spans="2:13">
      <c r="B83" s="464">
        <v>47515</v>
      </c>
      <c r="C83" s="465">
        <v>39336297</v>
      </c>
      <c r="D83" s="465">
        <v>300000000</v>
      </c>
      <c r="E83" s="466">
        <v>300000000</v>
      </c>
      <c r="F83" s="294">
        <v>39336297</v>
      </c>
      <c r="G83" s="294">
        <v>300000000</v>
      </c>
      <c r="H83" s="467">
        <v>300000000</v>
      </c>
      <c r="I83" s="460">
        <f t="shared" si="10"/>
        <v>639336297</v>
      </c>
      <c r="J83" s="460">
        <f t="shared" si="8"/>
        <v>9504042</v>
      </c>
      <c r="K83" s="460">
        <f t="shared" si="11"/>
        <v>15953404.263075</v>
      </c>
      <c r="L83" s="468">
        <f t="shared" si="9"/>
        <v>25457446.263075002</v>
      </c>
      <c r="M83" s="460">
        <f>IF(B83='Aug. 1, 2024 Payment Date'!$E$6,SUM(C83:E83)-SUM(F83:H83),0)</f>
        <v>0</v>
      </c>
    </row>
    <row r="84" spans="2:13">
      <c r="B84" s="464">
        <v>47696</v>
      </c>
      <c r="C84" s="465">
        <v>29628630</v>
      </c>
      <c r="D84" s="465">
        <v>300000000</v>
      </c>
      <c r="E84" s="466">
        <v>300000000</v>
      </c>
      <c r="F84" s="294">
        <v>29628630</v>
      </c>
      <c r="G84" s="294">
        <v>300000000</v>
      </c>
      <c r="H84" s="467">
        <v>300000000</v>
      </c>
      <c r="I84" s="460">
        <f t="shared" si="10"/>
        <v>629628630</v>
      </c>
      <c r="J84" s="460">
        <f t="shared" si="8"/>
        <v>9707667</v>
      </c>
      <c r="K84" s="460">
        <f t="shared" si="11"/>
        <v>15749780.163224999</v>
      </c>
      <c r="L84" s="468">
        <f t="shared" si="9"/>
        <v>25457447.163224999</v>
      </c>
      <c r="M84" s="460">
        <f>IF(B84='Aug. 1, 2024 Payment Date'!$E$6,SUM(C84:E84)-SUM(F84:H84),0)</f>
        <v>0</v>
      </c>
    </row>
    <row r="85" spans="2:13">
      <c r="B85" s="464">
        <v>47880</v>
      </c>
      <c r="C85" s="465">
        <v>19712976</v>
      </c>
      <c r="D85" s="465">
        <v>300000000</v>
      </c>
      <c r="E85" s="466">
        <v>300000000</v>
      </c>
      <c r="F85" s="294">
        <v>19712976</v>
      </c>
      <c r="G85" s="294">
        <v>300000000</v>
      </c>
      <c r="H85" s="467">
        <v>300000000</v>
      </c>
      <c r="I85" s="460">
        <f t="shared" si="10"/>
        <v>619712976</v>
      </c>
      <c r="J85" s="460">
        <f t="shared" si="8"/>
        <v>9915654</v>
      </c>
      <c r="K85" s="460">
        <f t="shared" si="11"/>
        <v>15541793.39775</v>
      </c>
      <c r="L85" s="468">
        <f t="shared" si="9"/>
        <v>25457447.397749998</v>
      </c>
      <c r="M85" s="460">
        <f>IF(B85='Aug. 1, 2024 Payment Date'!$E$6,SUM(C85:E85)-SUM(F85:H85),0)</f>
        <v>0</v>
      </c>
    </row>
    <row r="86" spans="2:13">
      <c r="B86" s="464">
        <v>48061</v>
      </c>
      <c r="C86" s="465">
        <v>9584880</v>
      </c>
      <c r="D86" s="465">
        <v>300000000</v>
      </c>
      <c r="E86" s="466">
        <v>300000000</v>
      </c>
      <c r="F86" s="294">
        <v>9584880</v>
      </c>
      <c r="G86" s="294">
        <v>300000000</v>
      </c>
      <c r="H86" s="467">
        <v>300000000</v>
      </c>
      <c r="I86" s="460">
        <f t="shared" si="10"/>
        <v>609584880</v>
      </c>
      <c r="J86" s="460">
        <f t="shared" si="8"/>
        <v>10128096</v>
      </c>
      <c r="K86" s="460">
        <f t="shared" si="11"/>
        <v>15329350.5108</v>
      </c>
      <c r="L86" s="468">
        <f t="shared" si="9"/>
        <v>25457446.5108</v>
      </c>
      <c r="M86" s="460">
        <f>IF(B86='Aug. 1, 2024 Payment Date'!$E$6,SUM(C86:E86)-SUM(F86:H86),0)</f>
        <v>0</v>
      </c>
    </row>
    <row r="87" spans="2:13">
      <c r="B87" s="464">
        <v>48245</v>
      </c>
      <c r="C87" s="465">
        <v>0</v>
      </c>
      <c r="D87" s="465">
        <v>299239789</v>
      </c>
      <c r="E87" s="466">
        <v>300000000</v>
      </c>
      <c r="F87" s="294">
        <v>0</v>
      </c>
      <c r="G87" s="294">
        <v>299239789</v>
      </c>
      <c r="H87" s="467">
        <v>300000000</v>
      </c>
      <c r="I87" s="460">
        <f t="shared" si="10"/>
        <v>599239789</v>
      </c>
      <c r="J87" s="460">
        <f t="shared" si="8"/>
        <v>10345091</v>
      </c>
      <c r="K87" s="460">
        <f t="shared" si="11"/>
        <v>15112356.054</v>
      </c>
      <c r="L87" s="468">
        <f t="shared" si="9"/>
        <v>25457447.053999998</v>
      </c>
      <c r="M87" s="460">
        <f>IF(B87='Aug. 1, 2024 Payment Date'!$E$6,SUM(C87:E87)-SUM(F87:H87),0)</f>
        <v>0</v>
      </c>
    </row>
    <row r="88" spans="2:13">
      <c r="B88" s="464">
        <v>48427</v>
      </c>
      <c r="C88" s="465">
        <v>0</v>
      </c>
      <c r="D88" s="465">
        <v>288670903</v>
      </c>
      <c r="E88" s="466">
        <v>300000000</v>
      </c>
      <c r="F88" s="294">
        <v>0</v>
      </c>
      <c r="G88" s="294">
        <v>288670903</v>
      </c>
      <c r="H88" s="467">
        <v>300000000</v>
      </c>
      <c r="I88" s="460">
        <f t="shared" si="10"/>
        <v>588670903</v>
      </c>
      <c r="J88" s="460">
        <f t="shared" si="8"/>
        <v>10568886</v>
      </c>
      <c r="K88" s="460">
        <f t="shared" si="11"/>
        <v>14888561.082194999</v>
      </c>
      <c r="L88" s="468">
        <f t="shared" si="9"/>
        <v>25457447.082194999</v>
      </c>
      <c r="M88" s="460">
        <f>IF(B88='Aug. 1, 2024 Payment Date'!$E$6,SUM(C88:E88)-SUM(F88:H88),0)</f>
        <v>0</v>
      </c>
    </row>
    <row r="89" spans="2:13">
      <c r="B89" s="464">
        <v>48611</v>
      </c>
      <c r="C89" s="465">
        <v>0</v>
      </c>
      <c r="D89" s="465">
        <v>277845669</v>
      </c>
      <c r="E89" s="466">
        <v>300000000</v>
      </c>
      <c r="F89" s="294">
        <v>0</v>
      </c>
      <c r="G89" s="294">
        <v>277845669</v>
      </c>
      <c r="H89" s="467">
        <v>300000000</v>
      </c>
      <c r="I89" s="460">
        <f t="shared" si="10"/>
        <v>577845669</v>
      </c>
      <c r="J89" s="460">
        <f t="shared" si="8"/>
        <v>10825234</v>
      </c>
      <c r="K89" s="460">
        <f t="shared" si="11"/>
        <v>14632212.752264999</v>
      </c>
      <c r="L89" s="468">
        <f t="shared" si="9"/>
        <v>25457446.752264999</v>
      </c>
      <c r="M89" s="460">
        <f>IF(B89='Aug. 1, 2024 Payment Date'!$E$6,SUM(C89:E89)-SUM(F89:H89),0)</f>
        <v>0</v>
      </c>
    </row>
    <row r="90" spans="2:13">
      <c r="B90" s="464">
        <v>48792</v>
      </c>
      <c r="C90" s="465">
        <v>0</v>
      </c>
      <c r="D90" s="465">
        <v>266757869</v>
      </c>
      <c r="E90" s="466">
        <v>300000000</v>
      </c>
      <c r="F90" s="294">
        <v>0</v>
      </c>
      <c r="G90" s="294">
        <v>266757869</v>
      </c>
      <c r="H90" s="467">
        <v>300000000</v>
      </c>
      <c r="I90" s="460">
        <f t="shared" si="10"/>
        <v>566757869</v>
      </c>
      <c r="J90" s="460">
        <f t="shared" si="8"/>
        <v>11087800</v>
      </c>
      <c r="K90" s="460">
        <f t="shared" si="11"/>
        <v>14369646.701595001</v>
      </c>
      <c r="L90" s="468">
        <f t="shared" si="9"/>
        <v>25457446.701595001</v>
      </c>
      <c r="M90" s="460">
        <f>IF(B90='Aug. 1, 2024 Payment Date'!$E$6,SUM(C90:E90)-SUM(F90:H90),0)</f>
        <v>0</v>
      </c>
    </row>
    <row r="91" spans="2:13">
      <c r="B91" s="464">
        <v>48976</v>
      </c>
      <c r="C91" s="465">
        <v>0</v>
      </c>
      <c r="D91" s="465">
        <v>255401134</v>
      </c>
      <c r="E91" s="466">
        <v>300000000</v>
      </c>
      <c r="F91" s="294">
        <v>0</v>
      </c>
      <c r="G91" s="294">
        <v>255401134</v>
      </c>
      <c r="H91" s="467">
        <v>300000000</v>
      </c>
      <c r="I91" s="460">
        <f t="shared" si="10"/>
        <v>555401134</v>
      </c>
      <c r="J91" s="460">
        <f t="shared" si="8"/>
        <v>11356735</v>
      </c>
      <c r="K91" s="460">
        <f t="shared" si="11"/>
        <v>14100712.112594999</v>
      </c>
      <c r="L91" s="468">
        <f t="shared" si="9"/>
        <v>25457447.112594999</v>
      </c>
      <c r="M91" s="460">
        <f>IF(B91='Aug. 1, 2024 Payment Date'!$E$6,SUM(C91:E91)-SUM(F91:H91),0)</f>
        <v>0</v>
      </c>
    </row>
    <row r="92" spans="2:13">
      <c r="B92" s="464">
        <v>49157</v>
      </c>
      <c r="C92" s="465">
        <v>0</v>
      </c>
      <c r="D92" s="465">
        <v>243768942</v>
      </c>
      <c r="E92" s="466">
        <v>300000000</v>
      </c>
      <c r="F92" s="294">
        <v>0</v>
      </c>
      <c r="G92" s="294">
        <v>243768942</v>
      </c>
      <c r="H92" s="467">
        <v>300000000</v>
      </c>
      <c r="I92" s="460">
        <f t="shared" si="10"/>
        <v>543768942</v>
      </c>
      <c r="J92" s="460">
        <f t="shared" si="8"/>
        <v>11632192</v>
      </c>
      <c r="K92" s="460">
        <f t="shared" si="11"/>
        <v>13825254.505169999</v>
      </c>
      <c r="L92" s="468">
        <f t="shared" si="9"/>
        <v>25457446.505169999</v>
      </c>
      <c r="M92" s="460">
        <f>IF(B92='Aug. 1, 2024 Payment Date'!$E$6,SUM(C92:E92)-SUM(F92:H92),0)</f>
        <v>0</v>
      </c>
    </row>
    <row r="93" spans="2:13">
      <c r="B93" s="464">
        <v>49341</v>
      </c>
      <c r="C93" s="465">
        <v>0</v>
      </c>
      <c r="D93" s="465">
        <v>231854611</v>
      </c>
      <c r="E93" s="466">
        <v>300000000</v>
      </c>
      <c r="F93" s="294">
        <v>0</v>
      </c>
      <c r="G93" s="294">
        <v>231854611</v>
      </c>
      <c r="H93" s="467">
        <v>300000000</v>
      </c>
      <c r="I93" s="460">
        <f t="shared" si="10"/>
        <v>531854611</v>
      </c>
      <c r="J93" s="460">
        <f t="shared" si="8"/>
        <v>11914331</v>
      </c>
      <c r="K93" s="460">
        <f t="shared" si="11"/>
        <v>13543115.688209999</v>
      </c>
      <c r="L93" s="468">
        <f t="shared" si="9"/>
        <v>25457446.688209999</v>
      </c>
      <c r="M93" s="460">
        <f>IF(B93='Aug. 1, 2024 Payment Date'!$E$6,SUM(C93:E93)-SUM(F93:H93),0)</f>
        <v>0</v>
      </c>
    </row>
    <row r="94" spans="2:13">
      <c r="B94" s="464">
        <v>49522</v>
      </c>
      <c r="C94" s="465">
        <v>0</v>
      </c>
      <c r="D94" s="465">
        <v>219651297</v>
      </c>
      <c r="E94" s="466">
        <v>300000000</v>
      </c>
      <c r="F94" s="294">
        <v>0</v>
      </c>
      <c r="G94" s="294">
        <v>219651297</v>
      </c>
      <c r="H94" s="467">
        <v>300000000</v>
      </c>
      <c r="I94" s="460">
        <f t="shared" si="10"/>
        <v>519651297</v>
      </c>
      <c r="J94" s="460">
        <f t="shared" si="8"/>
        <v>12203314</v>
      </c>
      <c r="K94" s="460">
        <f t="shared" si="11"/>
        <v>13254133.589805</v>
      </c>
      <c r="L94" s="468">
        <f t="shared" si="9"/>
        <v>25457447.589805</v>
      </c>
      <c r="M94" s="460">
        <f>IF(B94='Aug. 1, 2024 Payment Date'!$E$6,SUM(C94:E94)-SUM(F94:H94),0)</f>
        <v>0</v>
      </c>
    </row>
    <row r="95" spans="2:13">
      <c r="B95" s="464">
        <v>49706</v>
      </c>
      <c r="C95" s="465">
        <v>0</v>
      </c>
      <c r="D95" s="465">
        <v>207151993</v>
      </c>
      <c r="E95" s="466">
        <v>300000000</v>
      </c>
      <c r="F95" s="294">
        <v>0</v>
      </c>
      <c r="G95" s="294">
        <v>207151993</v>
      </c>
      <c r="H95" s="467">
        <v>300000000</v>
      </c>
      <c r="I95" s="460">
        <f t="shared" si="10"/>
        <v>507151993</v>
      </c>
      <c r="J95" s="460">
        <f t="shared" si="8"/>
        <v>12499304</v>
      </c>
      <c r="K95" s="460">
        <f t="shared" si="11"/>
        <v>12958142.208735</v>
      </c>
      <c r="L95" s="468">
        <f t="shared" si="9"/>
        <v>25457446.208735</v>
      </c>
      <c r="M95" s="460">
        <f>IF(B95='Aug. 1, 2024 Payment Date'!$E$6,SUM(C95:E95)-SUM(F95:H95),0)</f>
        <v>0</v>
      </c>
    </row>
    <row r="96" spans="2:13">
      <c r="B96" s="464">
        <v>49888</v>
      </c>
      <c r="C96" s="465">
        <v>0</v>
      </c>
      <c r="D96" s="465">
        <v>194349517</v>
      </c>
      <c r="E96" s="466">
        <v>300000000</v>
      </c>
      <c r="F96" s="294">
        <v>0</v>
      </c>
      <c r="G96" s="294">
        <v>194349517</v>
      </c>
      <c r="H96" s="467">
        <v>300000000</v>
      </c>
      <c r="I96" s="460">
        <f t="shared" si="10"/>
        <v>494349517</v>
      </c>
      <c r="J96" s="460">
        <f t="shared" si="8"/>
        <v>12802476</v>
      </c>
      <c r="K96" s="460">
        <f t="shared" si="11"/>
        <v>12654971.590214999</v>
      </c>
      <c r="L96" s="468">
        <f t="shared" si="9"/>
        <v>25457447.590214998</v>
      </c>
      <c r="M96" s="460">
        <f>IF(B96='Aug. 1, 2024 Payment Date'!$E$6,SUM(C96:E96)-SUM(F96:H96),0)</f>
        <v>0</v>
      </c>
    </row>
    <row r="97" spans="2:13">
      <c r="B97" s="464">
        <v>50072</v>
      </c>
      <c r="C97" s="465">
        <v>0</v>
      </c>
      <c r="D97" s="465">
        <v>181236518</v>
      </c>
      <c r="E97" s="466">
        <v>300000000</v>
      </c>
      <c r="F97" s="294">
        <v>0</v>
      </c>
      <c r="G97" s="294">
        <v>181236518</v>
      </c>
      <c r="H97" s="467">
        <v>300000000</v>
      </c>
      <c r="I97" s="460">
        <f t="shared" si="10"/>
        <v>481236518</v>
      </c>
      <c r="J97" s="460">
        <f t="shared" si="8"/>
        <v>13112999</v>
      </c>
      <c r="K97" s="460">
        <f t="shared" si="11"/>
        <v>12344447.534835</v>
      </c>
      <c r="L97" s="468">
        <f t="shared" si="9"/>
        <v>25457446.534835</v>
      </c>
      <c r="M97" s="460">
        <f>IF(B97='Aug. 1, 2024 Payment Date'!$E$6,SUM(C97:E97)-SUM(F97:H97),0)</f>
        <v>0</v>
      </c>
    </row>
    <row r="98" spans="2:13">
      <c r="B98" s="464">
        <v>50253</v>
      </c>
      <c r="C98" s="465">
        <v>0</v>
      </c>
      <c r="D98" s="465">
        <v>167805463</v>
      </c>
      <c r="E98" s="466">
        <v>300000000</v>
      </c>
      <c r="F98" s="294">
        <v>0</v>
      </c>
      <c r="G98" s="294">
        <v>167805463</v>
      </c>
      <c r="H98" s="467">
        <v>300000000</v>
      </c>
      <c r="I98" s="460">
        <f t="shared" si="10"/>
        <v>467805463</v>
      </c>
      <c r="J98" s="460">
        <f t="shared" si="8"/>
        <v>13431055</v>
      </c>
      <c r="K98" s="460">
        <f t="shared" si="11"/>
        <v>12026391.74409</v>
      </c>
      <c r="L98" s="468">
        <f t="shared" si="9"/>
        <v>25457446.744089998</v>
      </c>
      <c r="M98" s="460">
        <f>IF(B98='Aug. 1, 2024 Payment Date'!$E$6,SUM(C98:E98)-SUM(F98:H98),0)</f>
        <v>0</v>
      </c>
    </row>
    <row r="99" spans="2:13">
      <c r="B99" s="464">
        <v>50437</v>
      </c>
      <c r="C99" s="465">
        <v>0</v>
      </c>
      <c r="D99" s="465">
        <v>154048637</v>
      </c>
      <c r="E99" s="466">
        <v>300000000</v>
      </c>
      <c r="F99" s="294">
        <v>0</v>
      </c>
      <c r="G99" s="294">
        <v>154048637</v>
      </c>
      <c r="H99" s="467">
        <v>300000000</v>
      </c>
      <c r="I99" s="460">
        <f t="shared" si="10"/>
        <v>454048637</v>
      </c>
      <c r="J99" s="460">
        <f t="shared" si="8"/>
        <v>13756826</v>
      </c>
      <c r="K99" s="460">
        <f t="shared" si="11"/>
        <v>11700621.505065</v>
      </c>
      <c r="L99" s="468">
        <f t="shared" si="9"/>
        <v>25457447.505065002</v>
      </c>
      <c r="M99" s="460">
        <f>IF(B99='Aug. 1, 2024 Payment Date'!$E$6,SUM(C99:E99)-SUM(F99:H99),0)</f>
        <v>0</v>
      </c>
    </row>
    <row r="100" spans="2:13">
      <c r="B100" s="464">
        <v>50618</v>
      </c>
      <c r="C100" s="465">
        <v>0</v>
      </c>
      <c r="D100" s="465">
        <v>139958140</v>
      </c>
      <c r="E100" s="466">
        <v>300000000</v>
      </c>
      <c r="F100" s="294">
        <v>0</v>
      </c>
      <c r="G100" s="294">
        <v>139958140</v>
      </c>
      <c r="H100" s="467">
        <v>300000000</v>
      </c>
      <c r="I100" s="460">
        <f t="shared" si="10"/>
        <v>439958140</v>
      </c>
      <c r="J100" s="460">
        <f t="shared" si="8"/>
        <v>14090497</v>
      </c>
      <c r="K100" s="460">
        <f t="shared" si="11"/>
        <v>11366949.690435</v>
      </c>
      <c r="L100" s="468">
        <f t="shared" si="9"/>
        <v>25457446.690435</v>
      </c>
      <c r="M100" s="460">
        <f>IF(B100='Aug. 1, 2024 Payment Date'!$E$6,SUM(C100:E100)-SUM(F100:H100),0)</f>
        <v>0</v>
      </c>
    </row>
    <row r="101" spans="2:13">
      <c r="B101" s="464">
        <v>50802</v>
      </c>
      <c r="C101" s="465">
        <v>0</v>
      </c>
      <c r="D101" s="465">
        <v>125525878</v>
      </c>
      <c r="E101" s="466">
        <v>300000000</v>
      </c>
      <c r="F101" s="294">
        <v>0</v>
      </c>
      <c r="G101" s="294">
        <v>125525878</v>
      </c>
      <c r="H101" s="467">
        <v>300000000</v>
      </c>
      <c r="I101" s="460">
        <f t="shared" si="10"/>
        <v>425525878</v>
      </c>
      <c r="J101" s="460">
        <f t="shared" si="8"/>
        <v>14432262</v>
      </c>
      <c r="K101" s="460">
        <f t="shared" si="11"/>
        <v>11025184.685699999</v>
      </c>
      <c r="L101" s="468">
        <f t="shared" si="9"/>
        <v>25457446.685699999</v>
      </c>
      <c r="M101" s="460">
        <f>IF(B101='Aug. 1, 2024 Payment Date'!$E$6,SUM(C101:E101)-SUM(F101:H101),0)</f>
        <v>0</v>
      </c>
    </row>
    <row r="102" spans="2:13">
      <c r="B102" s="464">
        <v>50983</v>
      </c>
      <c r="C102" s="465">
        <v>0</v>
      </c>
      <c r="D102" s="465">
        <v>110743561</v>
      </c>
      <c r="E102" s="466">
        <v>300000000</v>
      </c>
      <c r="F102" s="294">
        <v>0</v>
      </c>
      <c r="G102" s="294">
        <v>110743561</v>
      </c>
      <c r="H102" s="467">
        <v>300000000</v>
      </c>
      <c r="I102" s="460">
        <f t="shared" si="10"/>
        <v>410743561</v>
      </c>
      <c r="J102" s="460">
        <f t="shared" si="8"/>
        <v>14782317</v>
      </c>
      <c r="K102" s="460">
        <f t="shared" si="11"/>
        <v>10675130.17089</v>
      </c>
      <c r="L102" s="468">
        <f t="shared" si="9"/>
        <v>25457447.17089</v>
      </c>
      <c r="M102" s="460">
        <f>IF(B102='Aug. 1, 2024 Payment Date'!$E$6,SUM(C102:E102)-SUM(F102:H102),0)</f>
        <v>0</v>
      </c>
    </row>
    <row r="103" spans="2:13">
      <c r="B103" s="464">
        <v>51167</v>
      </c>
      <c r="C103" s="465">
        <v>0</v>
      </c>
      <c r="D103" s="465">
        <v>95602699</v>
      </c>
      <c r="E103" s="466">
        <v>300000000</v>
      </c>
      <c r="F103" s="294">
        <v>0</v>
      </c>
      <c r="G103" s="294">
        <v>95602699</v>
      </c>
      <c r="H103" s="467">
        <v>300000000</v>
      </c>
      <c r="I103" s="460">
        <f t="shared" si="10"/>
        <v>395602699</v>
      </c>
      <c r="J103" s="460">
        <f t="shared" si="8"/>
        <v>15140862</v>
      </c>
      <c r="K103" s="460">
        <f t="shared" si="11"/>
        <v>10316585.072055001</v>
      </c>
      <c r="L103" s="468">
        <f t="shared" si="9"/>
        <v>25457447.072055001</v>
      </c>
      <c r="M103" s="460">
        <f>IF(B103='Aug. 1, 2024 Payment Date'!$E$6,SUM(C103:E103)-SUM(F103:H103),0)</f>
        <v>0</v>
      </c>
    </row>
    <row r="104" spans="2:13">
      <c r="B104" s="464">
        <v>51349</v>
      </c>
      <c r="C104" s="465">
        <v>0</v>
      </c>
      <c r="D104" s="465">
        <v>80094596</v>
      </c>
      <c r="E104" s="466">
        <v>300000000</v>
      </c>
      <c r="F104" s="294">
        <v>0</v>
      </c>
      <c r="G104" s="294">
        <v>80094596</v>
      </c>
      <c r="H104" s="467">
        <v>300000000</v>
      </c>
      <c r="I104" s="460">
        <f t="shared" si="10"/>
        <v>380094596</v>
      </c>
      <c r="J104" s="460">
        <f t="shared" si="8"/>
        <v>15508103</v>
      </c>
      <c r="K104" s="460">
        <f t="shared" si="11"/>
        <v>9949343.464244999</v>
      </c>
      <c r="L104" s="468">
        <f t="shared" si="9"/>
        <v>25457446.464244999</v>
      </c>
      <c r="M104" s="460">
        <f>IF(B104='Aug. 1, 2024 Payment Date'!$E$6,SUM(C104:E104)-SUM(F104:H104),0)</f>
        <v>0</v>
      </c>
    </row>
    <row r="105" spans="2:13">
      <c r="B105" s="464">
        <v>51533</v>
      </c>
      <c r="C105" s="465">
        <v>0</v>
      </c>
      <c r="D105" s="465">
        <v>64210343</v>
      </c>
      <c r="E105" s="466">
        <v>300000000</v>
      </c>
      <c r="F105" s="294">
        <v>0</v>
      </c>
      <c r="G105" s="294">
        <v>64210343</v>
      </c>
      <c r="H105" s="467">
        <v>300000000</v>
      </c>
      <c r="I105" s="460">
        <f t="shared" si="10"/>
        <v>364210343</v>
      </c>
      <c r="J105" s="460">
        <f t="shared" si="8"/>
        <v>15884253</v>
      </c>
      <c r="K105" s="460">
        <f t="shared" si="11"/>
        <v>9573194.4259799998</v>
      </c>
      <c r="L105" s="468">
        <f t="shared" si="9"/>
        <v>25457447.425980002</v>
      </c>
      <c r="M105" s="460">
        <f>IF(B105='Aug. 1, 2024 Payment Date'!$E$6,SUM(C105:E105)-SUM(F105:H105),0)</f>
        <v>0</v>
      </c>
    </row>
    <row r="106" spans="2:13">
      <c r="B106" s="464">
        <v>51714</v>
      </c>
      <c r="C106" s="465">
        <v>0</v>
      </c>
      <c r="D106" s="465">
        <v>47940818</v>
      </c>
      <c r="E106" s="466">
        <v>300000000</v>
      </c>
      <c r="F106" s="294">
        <v>0</v>
      </c>
      <c r="G106" s="294">
        <v>47940818</v>
      </c>
      <c r="H106" s="467">
        <v>300000000</v>
      </c>
      <c r="I106" s="460">
        <f t="shared" si="10"/>
        <v>347940818</v>
      </c>
      <c r="J106" s="460">
        <f t="shared" si="8"/>
        <v>16269525</v>
      </c>
      <c r="K106" s="460">
        <f t="shared" si="11"/>
        <v>9187921.8694650009</v>
      </c>
      <c r="L106" s="468">
        <f t="shared" si="9"/>
        <v>25457446.869465001</v>
      </c>
      <c r="M106" s="460">
        <f>IF(B106='Aug. 1, 2024 Payment Date'!$E$6,SUM(C106:E106)-SUM(F106:H106),0)</f>
        <v>0</v>
      </c>
    </row>
    <row r="107" spans="2:13">
      <c r="B107" s="464">
        <v>51898</v>
      </c>
      <c r="C107" s="465">
        <v>0</v>
      </c>
      <c r="D107" s="465">
        <v>31276676</v>
      </c>
      <c r="E107" s="466">
        <v>300000000</v>
      </c>
      <c r="F107" s="294">
        <v>0</v>
      </c>
      <c r="G107" s="294">
        <v>31276676</v>
      </c>
      <c r="H107" s="467">
        <v>300000000</v>
      </c>
      <c r="I107" s="460">
        <f t="shared" si="10"/>
        <v>331276676</v>
      </c>
      <c r="J107" s="460">
        <f t="shared" si="8"/>
        <v>16664142</v>
      </c>
      <c r="K107" s="460">
        <f t="shared" si="11"/>
        <v>8793304.5405899994</v>
      </c>
      <c r="L107" s="468">
        <f t="shared" si="9"/>
        <v>25457446.540589999</v>
      </c>
      <c r="M107" s="460">
        <f>IF(B107='Aug. 1, 2024 Payment Date'!$E$6,SUM(C107:E107)-SUM(F107:H107),0)</f>
        <v>0</v>
      </c>
    </row>
    <row r="108" spans="2:13">
      <c r="B108" s="464">
        <v>52079</v>
      </c>
      <c r="C108" s="465">
        <v>0</v>
      </c>
      <c r="D108" s="465">
        <v>14208345</v>
      </c>
      <c r="E108" s="466">
        <v>300000000</v>
      </c>
      <c r="F108" s="294">
        <v>0</v>
      </c>
      <c r="G108" s="294">
        <v>14208345</v>
      </c>
      <c r="H108" s="467">
        <v>300000000</v>
      </c>
      <c r="I108" s="460">
        <f t="shared" si="10"/>
        <v>314208345</v>
      </c>
      <c r="J108" s="460">
        <f t="shared" si="8"/>
        <v>17068331</v>
      </c>
      <c r="K108" s="460">
        <f t="shared" si="11"/>
        <v>8389115.7763800006</v>
      </c>
      <c r="L108" s="468">
        <f t="shared" si="9"/>
        <v>25457446.776380002</v>
      </c>
      <c r="M108" s="460">
        <f>IF(B108='Aug. 1, 2024 Payment Date'!$E$6,SUM(C108:E108)-SUM(F108:H108),0)</f>
        <v>0</v>
      </c>
    </row>
    <row r="109" spans="2:13">
      <c r="B109" s="464">
        <v>52263</v>
      </c>
      <c r="C109" s="465">
        <v>0</v>
      </c>
      <c r="D109" s="465">
        <v>0</v>
      </c>
      <c r="E109" s="466">
        <v>296726021</v>
      </c>
      <c r="F109" s="294">
        <v>0</v>
      </c>
      <c r="G109" s="294">
        <v>0</v>
      </c>
      <c r="H109" s="467">
        <v>296726021</v>
      </c>
      <c r="I109" s="460">
        <f t="shared" si="10"/>
        <v>296726021</v>
      </c>
      <c r="J109" s="460">
        <f t="shared" si="8"/>
        <v>17482324</v>
      </c>
      <c r="K109" s="460">
        <f t="shared" si="11"/>
        <v>7975123.4079750003</v>
      </c>
      <c r="L109" s="468">
        <f t="shared" si="9"/>
        <v>25457447.407974999</v>
      </c>
      <c r="M109" s="460">
        <f>IF(B109='Aug. 1, 2024 Payment Date'!$E$6,SUM(C109:E109)-SUM(F109:H109),0)</f>
        <v>0</v>
      </c>
    </row>
    <row r="110" spans="2:13">
      <c r="B110" s="464">
        <v>52444</v>
      </c>
      <c r="C110" s="465">
        <v>0</v>
      </c>
      <c r="D110" s="465">
        <v>0</v>
      </c>
      <c r="E110" s="466">
        <v>278815801</v>
      </c>
      <c r="F110" s="294">
        <v>0</v>
      </c>
      <c r="G110" s="294">
        <v>0</v>
      </c>
      <c r="H110" s="467">
        <v>278815801</v>
      </c>
      <c r="I110" s="460">
        <f t="shared" si="10"/>
        <v>278815801</v>
      </c>
      <c r="J110" s="460">
        <f t="shared" si="8"/>
        <v>17910220</v>
      </c>
      <c r="K110" s="460">
        <f t="shared" si="11"/>
        <v>7547226.3441349994</v>
      </c>
      <c r="L110" s="468">
        <f t="shared" si="9"/>
        <v>25457446.344135001</v>
      </c>
      <c r="M110" s="460">
        <f>IF(B110='Aug. 1, 2024 Payment Date'!$E$6,SUM(C110:E110)-SUM(F110:H110),0)</f>
        <v>0</v>
      </c>
    </row>
    <row r="111" spans="2:13">
      <c r="B111" s="464">
        <v>52628</v>
      </c>
      <c r="C111" s="465">
        <v>0</v>
      </c>
      <c r="D111" s="465">
        <v>0</v>
      </c>
      <c r="E111" s="466">
        <v>260450034</v>
      </c>
      <c r="F111" s="294">
        <v>0</v>
      </c>
      <c r="G111" s="294">
        <v>0</v>
      </c>
      <c r="H111" s="467">
        <v>260450034</v>
      </c>
      <c r="I111" s="460">
        <f t="shared" si="10"/>
        <v>260450034</v>
      </c>
      <c r="J111" s="460">
        <f t="shared" si="8"/>
        <v>18365767</v>
      </c>
      <c r="K111" s="460">
        <f t="shared" si="11"/>
        <v>7091679.8984349994</v>
      </c>
      <c r="L111" s="468">
        <f t="shared" si="9"/>
        <v>25457446.898435</v>
      </c>
      <c r="M111" s="460">
        <f>IF(B111='Aug. 1, 2024 Payment Date'!$E$6,SUM(C111:E111)-SUM(F111:H111),0)</f>
        <v>0</v>
      </c>
    </row>
    <row r="112" spans="2:13">
      <c r="B112" s="464">
        <v>52810</v>
      </c>
      <c r="C112" s="465">
        <v>0</v>
      </c>
      <c r="D112" s="465">
        <v>0</v>
      </c>
      <c r="E112" s="466">
        <v>241617134</v>
      </c>
      <c r="F112" s="294">
        <v>0</v>
      </c>
      <c r="G112" s="294">
        <v>0</v>
      </c>
      <c r="H112" s="467">
        <v>241617134</v>
      </c>
      <c r="I112" s="460">
        <f t="shared" si="10"/>
        <v>241617134</v>
      </c>
      <c r="J112" s="460">
        <f t="shared" si="8"/>
        <v>18832900</v>
      </c>
      <c r="K112" s="460">
        <f t="shared" si="11"/>
        <v>6624546.61479</v>
      </c>
      <c r="L112" s="468">
        <f t="shared" si="9"/>
        <v>25457446.61479</v>
      </c>
      <c r="M112" s="460">
        <f>IF(B112='Aug. 1, 2024 Payment Date'!$E$6,SUM(C112:E112)-SUM(F112:H112),0)</f>
        <v>0</v>
      </c>
    </row>
    <row r="113" spans="2:13">
      <c r="B113" s="464">
        <v>52994</v>
      </c>
      <c r="C113" s="465">
        <v>0</v>
      </c>
      <c r="D113" s="465">
        <v>0</v>
      </c>
      <c r="E113" s="466">
        <v>222305219</v>
      </c>
      <c r="F113" s="294">
        <v>0</v>
      </c>
      <c r="G113" s="294">
        <v>0</v>
      </c>
      <c r="H113" s="467">
        <v>222305219</v>
      </c>
      <c r="I113" s="460">
        <f t="shared" si="10"/>
        <v>222305219</v>
      </c>
      <c r="J113" s="460">
        <f t="shared" si="8"/>
        <v>19311915</v>
      </c>
      <c r="K113" s="460">
        <f t="shared" si="11"/>
        <v>6145531.8032900002</v>
      </c>
      <c r="L113" s="468">
        <f t="shared" si="9"/>
        <v>25457446.803290002</v>
      </c>
      <c r="M113" s="460">
        <f>IF(B113='Aug. 1, 2024 Payment Date'!$E$6,SUM(C113:E113)-SUM(F113:H113),0)</f>
        <v>0</v>
      </c>
    </row>
    <row r="114" spans="2:13">
      <c r="B114" s="464">
        <v>53175</v>
      </c>
      <c r="C114" s="465">
        <v>0</v>
      </c>
      <c r="D114" s="465">
        <v>0</v>
      </c>
      <c r="E114" s="466">
        <v>202502105</v>
      </c>
      <c r="F114" s="294">
        <v>0</v>
      </c>
      <c r="G114" s="294">
        <v>0</v>
      </c>
      <c r="H114" s="467">
        <v>202502105</v>
      </c>
      <c r="I114" s="460">
        <f t="shared" si="10"/>
        <v>202502105</v>
      </c>
      <c r="J114" s="460">
        <f t="shared" si="8"/>
        <v>19803114</v>
      </c>
      <c r="K114" s="460">
        <f t="shared" si="11"/>
        <v>5654333.2452649996</v>
      </c>
      <c r="L114" s="468">
        <f t="shared" si="9"/>
        <v>25457447.245265</v>
      </c>
      <c r="M114" s="460">
        <f>IF(B114='Aug. 1, 2024 Payment Date'!$E$6,SUM(C114:E114)-SUM(F114:H114),0)</f>
        <v>0</v>
      </c>
    </row>
    <row r="115" spans="2:13" s="157" customFormat="1">
      <c r="B115" s="464">
        <v>53359</v>
      </c>
      <c r="C115" s="465">
        <v>0</v>
      </c>
      <c r="D115" s="465">
        <v>0</v>
      </c>
      <c r="E115" s="466">
        <v>182195299</v>
      </c>
      <c r="F115" s="294">
        <v>0</v>
      </c>
      <c r="G115" s="294">
        <v>0</v>
      </c>
      <c r="H115" s="467">
        <v>182195299</v>
      </c>
      <c r="I115" s="460">
        <f t="shared" si="10"/>
        <v>182195299</v>
      </c>
      <c r="J115" s="460">
        <f t="shared" si="8"/>
        <v>20306806</v>
      </c>
      <c r="K115" s="460">
        <f t="shared" si="11"/>
        <v>5150641.0406750003</v>
      </c>
      <c r="L115" s="468">
        <f t="shared" si="9"/>
        <v>25457447.040674999</v>
      </c>
      <c r="M115" s="460">
        <f>IF(B115='Aug. 1, 2024 Payment Date'!$E$6,SUM(C115:E115)-SUM(F115:H115),0)</f>
        <v>0</v>
      </c>
    </row>
    <row r="116" spans="2:13" s="157" customFormat="1">
      <c r="B116" s="464">
        <v>53540</v>
      </c>
      <c r="C116" s="465">
        <v>0</v>
      </c>
      <c r="D116" s="465">
        <v>0</v>
      </c>
      <c r="E116" s="466">
        <v>161371990</v>
      </c>
      <c r="F116" s="294">
        <v>0</v>
      </c>
      <c r="G116" s="294">
        <v>0</v>
      </c>
      <c r="H116" s="467">
        <v>161371990</v>
      </c>
      <c r="I116" s="460">
        <f t="shared" si="10"/>
        <v>161371990</v>
      </c>
      <c r="J116" s="460">
        <f t="shared" si="8"/>
        <v>20823309</v>
      </c>
      <c r="K116" s="460">
        <f t="shared" si="11"/>
        <v>4634137.4300649995</v>
      </c>
      <c r="L116" s="468">
        <f t="shared" si="9"/>
        <v>25457446.430064999</v>
      </c>
      <c r="M116" s="460">
        <f>IF(B116='Aug. 1, 2024 Payment Date'!$E$6,SUM(C116:E116)-SUM(F116:H116),0)</f>
        <v>0</v>
      </c>
    </row>
    <row r="117" spans="2:13" s="157" customFormat="1">
      <c r="B117" s="464">
        <v>53724</v>
      </c>
      <c r="C117" s="465">
        <v>0</v>
      </c>
      <c r="D117" s="465">
        <v>0</v>
      </c>
      <c r="E117" s="466">
        <v>140019039</v>
      </c>
      <c r="F117" s="294">
        <v>0</v>
      </c>
      <c r="G117" s="294">
        <v>0</v>
      </c>
      <c r="H117" s="467">
        <v>140019039</v>
      </c>
      <c r="I117" s="460">
        <f t="shared" si="10"/>
        <v>140019039</v>
      </c>
      <c r="J117" s="460">
        <f t="shared" si="8"/>
        <v>21352951</v>
      </c>
      <c r="K117" s="460">
        <f t="shared" si="11"/>
        <v>4104496.5656499998</v>
      </c>
      <c r="L117" s="468">
        <f t="shared" si="9"/>
        <v>25457447.565650001</v>
      </c>
      <c r="M117" s="460">
        <f>IF(B117='Aug. 1, 2024 Payment Date'!$E$6,SUM(C117:E117)-SUM(F117:H117),0)</f>
        <v>0</v>
      </c>
    </row>
    <row r="118" spans="2:13" s="157" customFormat="1">
      <c r="B118" s="464">
        <v>53905</v>
      </c>
      <c r="C118" s="465">
        <v>0</v>
      </c>
      <c r="D118" s="465">
        <v>0</v>
      </c>
      <c r="E118" s="466">
        <v>118122977</v>
      </c>
      <c r="F118" s="294">
        <v>0</v>
      </c>
      <c r="G118" s="294">
        <v>0</v>
      </c>
      <c r="H118" s="467">
        <v>118122977</v>
      </c>
      <c r="I118" s="460">
        <f t="shared" si="10"/>
        <v>118122977</v>
      </c>
      <c r="J118" s="460">
        <f t="shared" si="8"/>
        <v>21896062</v>
      </c>
      <c r="K118" s="460">
        <f t="shared" si="11"/>
        <v>3561384.2569649997</v>
      </c>
      <c r="L118" s="468">
        <f t="shared" si="9"/>
        <v>25457446.256965</v>
      </c>
      <c r="M118" s="460">
        <f>IF(B118='Aug. 1, 2024 Payment Date'!$E$6,SUM(C118:E118)-SUM(F118:H118),0)</f>
        <v>0</v>
      </c>
    </row>
    <row r="119" spans="2:13" s="157" customFormat="1">
      <c r="B119" s="464">
        <v>54089</v>
      </c>
      <c r="C119" s="465">
        <v>0</v>
      </c>
      <c r="D119" s="465">
        <v>0</v>
      </c>
      <c r="E119" s="466">
        <v>95669988</v>
      </c>
      <c r="F119" s="294">
        <v>0</v>
      </c>
      <c r="G119" s="294">
        <v>0</v>
      </c>
      <c r="H119" s="467">
        <v>95669988</v>
      </c>
      <c r="I119" s="460">
        <f t="shared" si="10"/>
        <v>95669988</v>
      </c>
      <c r="J119" s="460">
        <f t="shared" si="8"/>
        <v>22452989</v>
      </c>
      <c r="K119" s="460">
        <f t="shared" si="11"/>
        <v>3004457.9199950001</v>
      </c>
      <c r="L119" s="468">
        <f t="shared" si="9"/>
        <v>25457446.919994999</v>
      </c>
      <c r="M119" s="460">
        <f>IF(B119='Aug. 1, 2024 Payment Date'!$E$6,SUM(C119:E119)-SUM(F119:H119),0)</f>
        <v>0</v>
      </c>
    </row>
    <row r="120" spans="2:13" s="157" customFormat="1">
      <c r="B120" s="464">
        <v>54271</v>
      </c>
      <c r="C120" s="465">
        <v>0</v>
      </c>
      <c r="D120" s="465">
        <v>0</v>
      </c>
      <c r="E120" s="466">
        <v>72645907</v>
      </c>
      <c r="F120" s="294">
        <v>0</v>
      </c>
      <c r="G120" s="294">
        <v>0</v>
      </c>
      <c r="H120" s="467">
        <v>72645907</v>
      </c>
      <c r="I120" s="460">
        <f t="shared" si="10"/>
        <v>72645907</v>
      </c>
      <c r="J120" s="460">
        <f t="shared" si="8"/>
        <v>23024081</v>
      </c>
      <c r="K120" s="460">
        <f t="shared" si="11"/>
        <v>2433366.1447799997</v>
      </c>
      <c r="L120" s="468">
        <f t="shared" si="9"/>
        <v>25457447.144779999</v>
      </c>
      <c r="M120" s="460">
        <f>IF(B120='Aug. 1, 2024 Payment Date'!$E$6,SUM(C120:E120)-SUM(F120:H120),0)</f>
        <v>0</v>
      </c>
    </row>
    <row r="121" spans="2:13" s="157" customFormat="1">
      <c r="B121" s="464">
        <v>54455</v>
      </c>
      <c r="C121" s="465">
        <v>0</v>
      </c>
      <c r="D121" s="465">
        <v>0</v>
      </c>
      <c r="E121" s="466">
        <v>49036209</v>
      </c>
      <c r="F121" s="294">
        <v>0</v>
      </c>
      <c r="G121" s="294">
        <v>0</v>
      </c>
      <c r="H121" s="467">
        <v>49036209</v>
      </c>
      <c r="I121" s="460">
        <f t="shared" si="10"/>
        <v>49036209</v>
      </c>
      <c r="J121" s="460">
        <f t="shared" si="8"/>
        <v>23609698</v>
      </c>
      <c r="K121" s="460">
        <f t="shared" si="11"/>
        <v>1847748.644545</v>
      </c>
      <c r="L121" s="468">
        <f t="shared" si="9"/>
        <v>25457446.644545</v>
      </c>
      <c r="M121" s="460">
        <f>IF(B121='Aug. 1, 2024 Payment Date'!$E$6,SUM(C121:E121)-SUM(F121:H121),0)</f>
        <v>0</v>
      </c>
    </row>
    <row r="122" spans="2:13">
      <c r="B122" s="464">
        <v>54636</v>
      </c>
      <c r="C122" s="465">
        <v>0</v>
      </c>
      <c r="D122" s="465">
        <v>0</v>
      </c>
      <c r="E122" s="466">
        <v>24825998</v>
      </c>
      <c r="F122" s="294">
        <v>0</v>
      </c>
      <c r="G122" s="294">
        <v>0</v>
      </c>
      <c r="H122" s="467">
        <v>24825998</v>
      </c>
      <c r="I122" s="460">
        <f t="shared" si="10"/>
        <v>24825998</v>
      </c>
      <c r="J122" s="460">
        <f t="shared" si="8"/>
        <v>24210211</v>
      </c>
      <c r="K122" s="460">
        <f t="shared" si="11"/>
        <v>1247235.9759150001</v>
      </c>
      <c r="L122" s="468">
        <f t="shared" si="9"/>
        <v>25457446.975915</v>
      </c>
      <c r="M122" s="460">
        <f>IF(B122='Aug. 1, 2024 Payment Date'!$E$6,SUM(C122:E122)-SUM(F122:H122),0)</f>
        <v>0</v>
      </c>
    </row>
    <row r="123" spans="2:13">
      <c r="B123" s="469">
        <v>54820</v>
      </c>
      <c r="C123" s="470">
        <v>0</v>
      </c>
      <c r="D123" s="470">
        <v>0</v>
      </c>
      <c r="E123" s="471">
        <v>0</v>
      </c>
      <c r="F123" s="472">
        <v>0</v>
      </c>
      <c r="G123" s="472">
        <v>0</v>
      </c>
      <c r="H123" s="473">
        <v>0</v>
      </c>
      <c r="I123" s="460">
        <f t="shared" si="10"/>
        <v>0</v>
      </c>
      <c r="J123" s="460">
        <f t="shared" si="8"/>
        <v>0</v>
      </c>
      <c r="K123" s="460">
        <f t="shared" si="11"/>
        <v>0</v>
      </c>
      <c r="L123" s="468">
        <f t="shared" si="9"/>
        <v>0</v>
      </c>
      <c r="M123" s="460">
        <f>IF(B123='Aug. 1, 2024 Payment Date'!$E$6,SUM(C123:E123)-SUM(F123:H123),0)</f>
        <v>0</v>
      </c>
    </row>
  </sheetData>
  <sheetProtection formatCells="0" formatColumns="0" formatRows="0" insertColumns="0" insertRows="0" insertHyperlinks="0" deleteColumns="0" deleteRows="0" sort="0" autoFilter="0" pivotTables="0"/>
  <pageMargins left="0.7" right="0.7" top="0.75" bottom="0.75" header="0.3" footer="0.3"/>
  <pageSetup scale="37" orientation="portrait" r:id="rId1"/>
  <ignoredErrors>
    <ignoredError sqref="I44:I5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AA93"/>
  <sheetViews>
    <sheetView tabSelected="1" topLeftCell="A54" workbookViewId="0">
      <selection activeCell="H73" sqref="H73"/>
    </sheetView>
  </sheetViews>
  <sheetFormatPr defaultRowHeight="15"/>
  <cols>
    <col min="1" max="1" width="8.42578125" customWidth="1"/>
    <col min="2" max="2" width="37.85546875" customWidth="1"/>
    <col min="3" max="3" width="18.42578125" customWidth="1"/>
    <col min="4" max="4" width="21.85546875" customWidth="1"/>
    <col min="5" max="5" width="18.5703125" customWidth="1"/>
    <col min="6" max="7" width="17" customWidth="1"/>
    <col min="8" max="8" width="22.140625" customWidth="1"/>
    <col min="9" max="9" width="12" customWidth="1"/>
    <col min="10" max="10" width="18.85546875" customWidth="1"/>
    <col min="11" max="11" width="12.42578125" bestFit="1" customWidth="1"/>
    <col min="12" max="13" width="11.42578125" customWidth="1"/>
    <col min="14" max="14" width="13.42578125" customWidth="1"/>
    <col min="15" max="15" width="10.5703125" bestFit="1" customWidth="1"/>
  </cols>
  <sheetData>
    <row r="2" spans="2:8" ht="18.75">
      <c r="B2" s="164" t="s">
        <v>63</v>
      </c>
      <c r="C2" s="157"/>
      <c r="D2" s="157"/>
      <c r="E2" s="157"/>
      <c r="F2" s="118" t="s">
        <v>64</v>
      </c>
      <c r="G2" s="157"/>
      <c r="H2" s="157"/>
    </row>
    <row r="3" spans="2:8">
      <c r="B3" s="157"/>
      <c r="C3" s="157"/>
      <c r="D3" s="157"/>
      <c r="E3" s="157"/>
      <c r="F3" s="118" t="s">
        <v>65</v>
      </c>
      <c r="G3" s="157"/>
      <c r="H3" s="157"/>
    </row>
    <row r="4" spans="2:8">
      <c r="B4" s="3" t="s">
        <v>66</v>
      </c>
      <c r="C4" s="124"/>
      <c r="D4" s="124"/>
      <c r="E4" s="303"/>
      <c r="F4" s="157"/>
      <c r="G4" s="157"/>
      <c r="H4" s="157"/>
    </row>
    <row r="5" spans="2:8">
      <c r="B5" s="7" t="s">
        <v>67</v>
      </c>
      <c r="C5" s="157"/>
      <c r="D5" s="157"/>
      <c r="E5" s="8">
        <v>45323</v>
      </c>
      <c r="F5" s="157"/>
      <c r="G5" s="118"/>
      <c r="H5" s="157"/>
    </row>
    <row r="6" spans="2:8">
      <c r="B6" s="7" t="s">
        <v>68</v>
      </c>
      <c r="C6" s="157"/>
      <c r="D6" s="157"/>
      <c r="E6" s="151">
        <f>Inputs!F10</f>
        <v>45505</v>
      </c>
      <c r="F6" s="157"/>
      <c r="G6" s="118"/>
      <c r="H6" s="157"/>
    </row>
    <row r="7" spans="2:8">
      <c r="B7" s="7" t="s">
        <v>69</v>
      </c>
      <c r="C7" s="157"/>
      <c r="D7" s="157"/>
      <c r="E7" s="33">
        <f>VLOOKUP(E6,Inputs!$B$68:$L$123,9,FALSE)</f>
        <v>7527263</v>
      </c>
      <c r="F7" s="157"/>
      <c r="G7" s="157"/>
      <c r="H7" s="157"/>
    </row>
    <row r="8" spans="2:8">
      <c r="B8" s="7" t="s">
        <v>70</v>
      </c>
      <c r="C8" s="157"/>
      <c r="D8" s="157"/>
      <c r="E8" s="33">
        <f>VLOOKUP(E6,Inputs!$B$68:$L$123,10,FALSE)</f>
        <v>17930184.437649999</v>
      </c>
      <c r="F8" s="157"/>
      <c r="G8" s="157"/>
      <c r="H8" s="157"/>
    </row>
    <row r="9" spans="2:8">
      <c r="B9" s="7" t="s">
        <v>71</v>
      </c>
      <c r="C9" s="157"/>
      <c r="D9" s="157"/>
      <c r="E9" s="33">
        <f>'Aug. 1, 2024 Payment Date'!E23</f>
        <v>490943.68</v>
      </c>
      <c r="F9" s="157"/>
      <c r="G9" s="157"/>
      <c r="H9" s="157"/>
    </row>
    <row r="10" spans="2:8">
      <c r="B10" s="16" t="s">
        <v>72</v>
      </c>
      <c r="C10" s="17"/>
      <c r="D10" s="17"/>
      <c r="E10" s="304">
        <f>SUM(E7:E9)</f>
        <v>25948391.117649999</v>
      </c>
      <c r="F10" s="157"/>
      <c r="G10" s="34"/>
      <c r="H10" s="157"/>
    </row>
    <row r="11" spans="2:8">
      <c r="B11" s="157"/>
      <c r="C11" s="157"/>
      <c r="D11" s="157"/>
      <c r="E11" s="19"/>
      <c r="F11" s="157"/>
      <c r="G11" s="157"/>
      <c r="H11" s="157"/>
    </row>
    <row r="12" spans="2:8" s="157" customFormat="1">
      <c r="E12" s="379"/>
    </row>
    <row r="13" spans="2:8">
      <c r="B13" s="3" t="s">
        <v>73</v>
      </c>
      <c r="C13" s="12"/>
      <c r="D13" s="12"/>
      <c r="E13" s="303">
        <f>Inputs!F10</f>
        <v>45505</v>
      </c>
      <c r="F13" s="157"/>
      <c r="G13" s="130">
        <v>191</v>
      </c>
      <c r="H13" s="2" t="s">
        <v>74</v>
      </c>
    </row>
    <row r="14" spans="2:8">
      <c r="B14" s="7" t="s">
        <v>30</v>
      </c>
      <c r="C14" s="157"/>
      <c r="D14" s="157"/>
      <c r="E14" s="427">
        <v>190414</v>
      </c>
      <c r="F14" s="157"/>
      <c r="G14" s="118"/>
      <c r="H14" s="157"/>
    </row>
    <row r="15" spans="2:8">
      <c r="B15" s="7" t="s">
        <v>75</v>
      </c>
      <c r="C15" s="157"/>
      <c r="D15" s="157"/>
      <c r="E15" s="428">
        <v>55529.68</v>
      </c>
      <c r="F15" s="157"/>
      <c r="G15" s="118"/>
      <c r="H15" s="157"/>
    </row>
    <row r="16" spans="2:8" s="157" customFormat="1">
      <c r="B16" s="7" t="s">
        <v>32</v>
      </c>
      <c r="E16" s="428">
        <f>75000+50000</f>
        <v>125000</v>
      </c>
    </row>
    <row r="17" spans="2:12">
      <c r="B17" s="7" t="s">
        <v>33</v>
      </c>
      <c r="C17" s="157"/>
      <c r="D17" s="157"/>
      <c r="E17" s="428">
        <v>75000</v>
      </c>
      <c r="F17" s="157"/>
      <c r="G17" s="157"/>
      <c r="H17" s="157"/>
      <c r="I17" s="157"/>
      <c r="J17" s="157"/>
      <c r="K17" s="157"/>
      <c r="L17" s="157"/>
    </row>
    <row r="18" spans="2:12">
      <c r="B18" s="7" t="s">
        <v>34</v>
      </c>
      <c r="C18" s="157"/>
      <c r="D18" s="157"/>
      <c r="E18" s="428">
        <f>7500+2500</f>
        <v>10000</v>
      </c>
      <c r="F18" s="157"/>
      <c r="G18" s="157"/>
      <c r="H18" s="157"/>
      <c r="I18" s="157"/>
      <c r="J18" s="157"/>
      <c r="K18" s="157"/>
      <c r="L18" s="157"/>
    </row>
    <row r="19" spans="2:12">
      <c r="B19" s="7" t="s">
        <v>35</v>
      </c>
      <c r="C19" s="157"/>
      <c r="D19" s="157"/>
      <c r="E19" s="428">
        <v>5000</v>
      </c>
      <c r="F19" s="157"/>
      <c r="G19" s="157"/>
      <c r="H19" s="157"/>
      <c r="I19" s="157"/>
      <c r="J19" s="157"/>
      <c r="K19" s="157"/>
      <c r="L19" s="157"/>
    </row>
    <row r="20" spans="2:12">
      <c r="B20" s="7" t="s">
        <v>36</v>
      </c>
      <c r="C20" s="157"/>
      <c r="D20" s="157"/>
      <c r="E20" s="428">
        <f>10000+20000</f>
        <v>30000</v>
      </c>
      <c r="F20" s="157"/>
      <c r="G20" s="157"/>
      <c r="H20" s="157"/>
      <c r="I20" s="157"/>
      <c r="J20" s="157"/>
      <c r="K20" s="157"/>
      <c r="L20" s="157"/>
    </row>
    <row r="21" spans="2:12">
      <c r="B21" s="7" t="s">
        <v>37</v>
      </c>
      <c r="C21" s="157"/>
      <c r="D21" s="157"/>
      <c r="E21" s="428"/>
      <c r="F21" s="157"/>
      <c r="G21" s="157"/>
      <c r="H21" s="157"/>
      <c r="I21" s="157"/>
      <c r="J21" s="157"/>
      <c r="K21" s="157"/>
      <c r="L21" s="157"/>
    </row>
    <row r="22" spans="2:12">
      <c r="B22" s="7" t="s">
        <v>38</v>
      </c>
      <c r="C22" s="157"/>
      <c r="D22" s="157"/>
      <c r="E22" s="428"/>
      <c r="F22" s="157"/>
      <c r="G22" s="157"/>
      <c r="H22" s="157"/>
      <c r="I22" s="157"/>
      <c r="J22" s="157"/>
      <c r="K22" s="157"/>
      <c r="L22" s="157"/>
    </row>
    <row r="23" spans="2:12">
      <c r="B23" s="16" t="s">
        <v>27</v>
      </c>
      <c r="C23" s="17"/>
      <c r="D23" s="17"/>
      <c r="E23" s="304">
        <f>SUM(E14:E22)</f>
        <v>490943.68</v>
      </c>
      <c r="F23" s="392" t="s">
        <v>76</v>
      </c>
      <c r="G23" s="157"/>
      <c r="H23" s="157"/>
      <c r="I23" s="157"/>
      <c r="J23" s="157"/>
      <c r="K23" s="157"/>
      <c r="L23" s="157"/>
    </row>
    <row r="24" spans="2:12" s="157" customFormat="1">
      <c r="E24" s="19">
        <v>0</v>
      </c>
    </row>
    <row r="25" spans="2:12" s="157" customFormat="1">
      <c r="E25" s="19"/>
    </row>
    <row r="26" spans="2:12">
      <c r="B26" s="101" t="s">
        <v>77</v>
      </c>
      <c r="C26" s="102"/>
      <c r="D26" s="102"/>
      <c r="E26" s="103"/>
      <c r="F26" s="157"/>
      <c r="G26" s="157"/>
      <c r="H26" s="157"/>
      <c r="I26" s="157"/>
      <c r="J26" s="157"/>
      <c r="K26" s="157"/>
      <c r="L26" s="157"/>
    </row>
    <row r="27" spans="2:12" s="157" customFormat="1">
      <c r="B27" s="105" t="s">
        <v>72</v>
      </c>
      <c r="C27" s="185"/>
      <c r="D27" s="185"/>
      <c r="E27" s="305">
        <f>E10</f>
        <v>25948391.117649999</v>
      </c>
    </row>
    <row r="28" spans="2:12" s="157" customFormat="1">
      <c r="B28" s="105" t="s">
        <v>78</v>
      </c>
      <c r="C28" s="185"/>
      <c r="D28" s="185"/>
      <c r="E28" s="33">
        <v>0</v>
      </c>
      <c r="G28" s="118"/>
    </row>
    <row r="29" spans="2:12">
      <c r="B29" s="105" t="s">
        <v>79</v>
      </c>
      <c r="C29" s="185"/>
      <c r="D29" s="185"/>
      <c r="E29" s="33">
        <f>-Inputs!E22</f>
        <v>0</v>
      </c>
      <c r="F29" s="157" t="s">
        <v>80</v>
      </c>
      <c r="G29" s="157"/>
      <c r="H29" s="157"/>
      <c r="I29" s="157"/>
      <c r="J29" s="157"/>
      <c r="K29" s="157"/>
      <c r="L29" s="157"/>
    </row>
    <row r="30" spans="2:12" s="157" customFormat="1">
      <c r="B30" s="105" t="s">
        <v>81</v>
      </c>
      <c r="C30" s="185"/>
      <c r="D30" s="185"/>
      <c r="E30" s="33">
        <v>0</v>
      </c>
      <c r="F30" s="157" t="s">
        <v>80</v>
      </c>
    </row>
    <row r="31" spans="2:12">
      <c r="B31" s="105" t="s">
        <v>82</v>
      </c>
      <c r="C31" s="185"/>
      <c r="D31" s="185"/>
      <c r="E31" s="13">
        <v>0</v>
      </c>
      <c r="F31" s="157"/>
      <c r="G31" s="118"/>
      <c r="H31" s="157"/>
      <c r="I31" s="157"/>
      <c r="J31" s="157"/>
      <c r="K31" s="157"/>
      <c r="L31" s="157"/>
    </row>
    <row r="32" spans="2:12">
      <c r="B32" s="107" t="s">
        <v>83</v>
      </c>
      <c r="C32" s="17"/>
      <c r="D32" s="17"/>
      <c r="E32" s="122">
        <f>SUM(E27:E31)</f>
        <v>25948391.117649999</v>
      </c>
      <c r="F32" s="392" t="s">
        <v>76</v>
      </c>
      <c r="G32" s="157"/>
      <c r="H32" s="35"/>
      <c r="I32" s="157"/>
      <c r="J32" s="380"/>
      <c r="K32" s="157"/>
      <c r="L32" s="21"/>
    </row>
    <row r="33" spans="1:27" ht="15" customHeight="1">
      <c r="A33" s="157"/>
      <c r="B33" s="105" t="s">
        <v>84</v>
      </c>
      <c r="C33" s="185"/>
      <c r="D33" s="185"/>
      <c r="E33" s="122">
        <f>H77</f>
        <v>29076595.350000005</v>
      </c>
      <c r="F33" s="392" t="s">
        <v>76</v>
      </c>
      <c r="G33" s="413"/>
      <c r="H33" s="157"/>
      <c r="I33" s="157"/>
      <c r="J33" s="14"/>
      <c r="K33" s="337"/>
      <c r="L33" s="119"/>
      <c r="M33" s="157"/>
      <c r="N33" s="157"/>
      <c r="O33" s="157"/>
      <c r="P33" s="157"/>
      <c r="Q33" s="157"/>
      <c r="R33" s="157"/>
      <c r="S33" s="157"/>
      <c r="T33" s="157"/>
      <c r="U33" s="157"/>
      <c r="V33" s="157"/>
      <c r="W33" s="157"/>
      <c r="X33" s="157"/>
      <c r="Y33" s="157"/>
      <c r="Z33" s="157"/>
      <c r="AA33" s="157"/>
    </row>
    <row r="34" spans="1:27" s="157" customFormat="1" ht="15" customHeight="1">
      <c r="B34" s="16" t="s">
        <v>85</v>
      </c>
      <c r="C34" s="186"/>
      <c r="D34" s="186"/>
      <c r="E34" s="304">
        <f>E33-E32</f>
        <v>3128204.2323500067</v>
      </c>
      <c r="F34" s="393" t="s">
        <v>76</v>
      </c>
      <c r="G34" s="413"/>
      <c r="H34" s="337"/>
      <c r="J34" s="21"/>
      <c r="L34" s="119"/>
      <c r="M34" s="21"/>
    </row>
    <row r="35" spans="1:27">
      <c r="A35" s="157"/>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row>
    <row r="36" spans="1:27">
      <c r="A36" s="157"/>
      <c r="B36" s="2" t="s">
        <v>86</v>
      </c>
      <c r="C36" s="157"/>
      <c r="D36" s="157"/>
      <c r="E36" s="157"/>
      <c r="F36" s="157"/>
      <c r="G36" s="157"/>
      <c r="H36" s="157"/>
      <c r="I36" s="157"/>
      <c r="J36" s="14"/>
      <c r="K36" s="157"/>
      <c r="L36" s="157"/>
      <c r="M36" s="157"/>
      <c r="N36" s="157"/>
      <c r="O36" s="157"/>
      <c r="P36" s="157"/>
      <c r="Q36" s="157"/>
      <c r="R36" s="157"/>
      <c r="S36" s="157"/>
      <c r="T36" s="157"/>
      <c r="U36" s="157"/>
      <c r="V36" s="157"/>
      <c r="W36" s="157"/>
      <c r="X36" s="157"/>
      <c r="Y36" s="157"/>
      <c r="Z36" s="157"/>
      <c r="AA36" s="157"/>
    </row>
    <row r="37" spans="1:27">
      <c r="A37" s="157"/>
      <c r="B37" s="24"/>
      <c r="C37" s="22" t="str">
        <f>Inputs!C41</f>
        <v>SL 1 (Blocks)</v>
      </c>
      <c r="D37" s="22" t="str">
        <f>Inputs!D41</f>
        <v>SL 2 (Blocks)</v>
      </c>
      <c r="E37" s="22" t="s">
        <v>43</v>
      </c>
      <c r="F37" s="22" t="s">
        <v>44</v>
      </c>
      <c r="G37" s="22" t="s">
        <v>45</v>
      </c>
      <c r="H37" s="22" t="s">
        <v>27</v>
      </c>
      <c r="I37" s="157"/>
      <c r="J37" s="14"/>
      <c r="K37" s="157"/>
      <c r="L37" s="157"/>
      <c r="M37" s="157"/>
      <c r="N37" s="157"/>
      <c r="O37" s="157"/>
      <c r="P37" s="157"/>
      <c r="Q37" s="157"/>
      <c r="R37" s="157"/>
      <c r="S37" s="157"/>
      <c r="T37" s="157"/>
      <c r="U37" s="157"/>
      <c r="V37" s="157"/>
      <c r="W37" s="157"/>
      <c r="X37" s="157"/>
      <c r="Y37" s="157"/>
      <c r="Z37" s="157"/>
      <c r="AA37" s="157"/>
    </row>
    <row r="38" spans="1:27">
      <c r="A38" s="157"/>
      <c r="B38" s="7" t="s">
        <v>87</v>
      </c>
      <c r="C38" s="296">
        <f>C77</f>
        <v>560485.34884408594</v>
      </c>
      <c r="D38" s="296">
        <f t="shared" ref="D38:F38" si="0">D77</f>
        <v>2649607.0231647668</v>
      </c>
      <c r="E38" s="296">
        <f t="shared" si="0"/>
        <v>1133354.6954273542</v>
      </c>
      <c r="F38" s="296">
        <f t="shared" si="0"/>
        <v>358244.71904604195</v>
      </c>
      <c r="G38" s="296">
        <f>G77</f>
        <v>24374903.563517753</v>
      </c>
      <c r="H38" s="290">
        <f>SUM(C38:G38)</f>
        <v>29076595.350000001</v>
      </c>
      <c r="I38" s="157"/>
      <c r="J38" s="9"/>
      <c r="K38" s="157"/>
      <c r="L38" s="157"/>
      <c r="M38" s="157"/>
      <c r="N38" s="157"/>
      <c r="O38" s="157"/>
      <c r="P38" s="157"/>
      <c r="Q38" s="157"/>
      <c r="R38" s="157"/>
      <c r="S38" s="157"/>
      <c r="T38" s="157"/>
      <c r="U38" s="157"/>
      <c r="V38" s="157"/>
      <c r="W38" s="157"/>
      <c r="X38" s="157"/>
      <c r="Y38" s="157"/>
      <c r="Z38" s="157"/>
      <c r="AA38" s="157"/>
    </row>
    <row r="39" spans="1:27">
      <c r="A39" s="157"/>
      <c r="B39" s="7" t="s">
        <v>88</v>
      </c>
      <c r="C39" s="474">
        <f>Inputs!C60</f>
        <v>2.01E-2</v>
      </c>
      <c r="D39" s="474">
        <f>Inputs!D60</f>
        <v>9.06E-2</v>
      </c>
      <c r="E39" s="474">
        <f>Inputs!E60</f>
        <v>4.07E-2</v>
      </c>
      <c r="F39" s="474">
        <f>Inputs!F60</f>
        <v>1.18E-2</v>
      </c>
      <c r="G39" s="474">
        <f>Inputs!G60</f>
        <v>0.83679999999999999</v>
      </c>
      <c r="H39" s="475">
        <f>SUM(C39:G39)</f>
        <v>1</v>
      </c>
      <c r="I39" s="157"/>
      <c r="J39" s="9"/>
      <c r="K39" s="157"/>
      <c r="L39" s="157"/>
      <c r="M39" s="157"/>
      <c r="N39" s="157"/>
      <c r="O39" s="157"/>
      <c r="P39" s="157"/>
      <c r="Q39" s="157"/>
      <c r="R39" s="157"/>
      <c r="S39" s="157"/>
      <c r="T39" s="157"/>
      <c r="U39" s="157"/>
      <c r="V39" s="157"/>
      <c r="W39" s="157"/>
      <c r="X39" s="157"/>
      <c r="Y39" s="157"/>
      <c r="Z39" s="157"/>
      <c r="AA39" s="157"/>
    </row>
    <row r="40" spans="1:27">
      <c r="A40" s="157"/>
      <c r="B40" s="10" t="s">
        <v>89</v>
      </c>
      <c r="C40" s="481">
        <v>219.29</v>
      </c>
      <c r="D40" s="481">
        <v>241.79</v>
      </c>
      <c r="E40" s="481">
        <v>7.1456000000000004E-4</v>
      </c>
      <c r="F40" s="481">
        <v>1.1172699999999999E-3</v>
      </c>
      <c r="G40" s="481">
        <v>2.0263099999999999E-3</v>
      </c>
      <c r="H40" s="482"/>
      <c r="I40" s="157"/>
      <c r="J40" s="157"/>
      <c r="K40" s="157"/>
      <c r="L40" s="157"/>
      <c r="M40" s="157"/>
      <c r="N40" s="157"/>
      <c r="O40" s="157"/>
      <c r="P40" s="157"/>
      <c r="Q40" s="157"/>
      <c r="R40" s="157"/>
      <c r="S40" s="157"/>
      <c r="T40" s="157"/>
      <c r="U40" s="157"/>
      <c r="V40" s="157"/>
      <c r="W40" s="157"/>
      <c r="X40" s="157"/>
      <c r="Y40" s="157"/>
      <c r="Z40" s="157"/>
      <c r="AA40" s="157"/>
    </row>
    <row r="41" spans="1:27">
      <c r="A41" s="157"/>
      <c r="B41" s="37" t="s">
        <v>90</v>
      </c>
      <c r="C41" s="221">
        <f>ROUNDUP(SUMPRODUCT(E40:G40,E38:G38)/SUM(E38:G38),3)</f>
        <v>2E-3</v>
      </c>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row>
    <row r="43" spans="1:27">
      <c r="A43" s="157"/>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row>
    <row r="44" spans="1:27">
      <c r="A44" s="157"/>
      <c r="B44" s="2" t="s">
        <v>91</v>
      </c>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row>
    <row r="45" spans="1:27">
      <c r="A45" s="157"/>
      <c r="B45" s="24" t="s">
        <v>40</v>
      </c>
      <c r="C45" s="22" t="str">
        <f>Inputs!C$41</f>
        <v>SL 1 (Blocks)</v>
      </c>
      <c r="D45" s="22" t="str">
        <f>Inputs!D$41</f>
        <v>SL 2 (Blocks)</v>
      </c>
      <c r="E45" s="22" t="str">
        <f>Inputs!E$41</f>
        <v>SL 3 (KWH)</v>
      </c>
      <c r="F45" s="22" t="str">
        <f>Inputs!F$41</f>
        <v>SL 4 (KWH)</v>
      </c>
      <c r="G45" s="22" t="str">
        <f>Inputs!G$41</f>
        <v>SL 5 (KWH)</v>
      </c>
      <c r="H45" s="22" t="s">
        <v>27</v>
      </c>
      <c r="I45" s="157"/>
      <c r="J45" s="157"/>
      <c r="K45" s="157"/>
      <c r="L45" s="157"/>
      <c r="M45" s="157"/>
      <c r="N45" s="157"/>
      <c r="O45" s="157"/>
      <c r="P45" s="157"/>
      <c r="Q45" s="157"/>
      <c r="R45" s="157"/>
      <c r="S45" s="157"/>
      <c r="T45" s="157"/>
      <c r="U45" s="157"/>
      <c r="V45" s="157"/>
      <c r="W45" s="157"/>
      <c r="X45" s="157"/>
      <c r="Y45" s="157"/>
      <c r="Z45" s="157"/>
      <c r="AA45" s="157"/>
    </row>
    <row r="46" spans="1:27">
      <c r="A46" s="415"/>
      <c r="B46" s="152">
        <v>45292</v>
      </c>
      <c r="C46" s="289"/>
      <c r="D46" s="289"/>
      <c r="E46" s="289"/>
      <c r="F46" s="289"/>
      <c r="G46" s="289"/>
      <c r="H46" s="290">
        <f t="shared" ref="H46:H52" si="1">SUM(C46:G46)</f>
        <v>0</v>
      </c>
      <c r="I46" s="157"/>
      <c r="J46" s="157"/>
      <c r="K46" s="157"/>
      <c r="L46" s="157"/>
      <c r="M46" s="157"/>
      <c r="N46" s="157"/>
      <c r="O46" s="157"/>
      <c r="P46" s="157"/>
      <c r="Q46" s="157"/>
      <c r="R46" s="157"/>
      <c r="S46" s="157"/>
      <c r="T46" s="157"/>
      <c r="U46" s="157"/>
      <c r="V46" s="157"/>
      <c r="W46" s="157"/>
      <c r="X46" s="157"/>
      <c r="Y46" s="157"/>
      <c r="Z46" s="157"/>
      <c r="AA46" s="157"/>
    </row>
    <row r="47" spans="1:27">
      <c r="A47" s="157"/>
      <c r="B47" s="120">
        <f t="shared" ref="B47:B52" si="2">IF(EDATE(B46,1)&lt;$E$6,EDATE(B46,1),"")</f>
        <v>45323</v>
      </c>
      <c r="C47" s="483">
        <v>358.13089999999994</v>
      </c>
      <c r="D47" s="483">
        <v>1516.9413300000001</v>
      </c>
      <c r="E47" s="483">
        <v>179533915</v>
      </c>
      <c r="F47" s="483">
        <v>34074837</v>
      </c>
      <c r="G47" s="483">
        <v>1440146033</v>
      </c>
      <c r="H47" s="290">
        <f t="shared" si="1"/>
        <v>1653756660.0722301</v>
      </c>
      <c r="I47" s="476"/>
      <c r="J47" s="484">
        <f>C47*C$40</f>
        <v>78534.525060999978</v>
      </c>
      <c r="K47" s="484">
        <f t="shared" ref="K47" si="3">D47*D$40</f>
        <v>366781.24418069999</v>
      </c>
      <c r="L47" s="484">
        <f t="shared" ref="L47:N52" si="4">E47*E$40</f>
        <v>128287.7543024</v>
      </c>
      <c r="M47" s="484">
        <f t="shared" si="4"/>
        <v>38070.793134989995</v>
      </c>
      <c r="N47" s="484">
        <f t="shared" si="4"/>
        <v>2918182.3081282298</v>
      </c>
      <c r="O47" s="485">
        <f>SUM(J47:N47)</f>
        <v>3529856.6248073196</v>
      </c>
      <c r="P47" s="118"/>
      <c r="Q47" s="157"/>
      <c r="R47" s="157"/>
      <c r="S47" s="157"/>
      <c r="T47" s="157"/>
      <c r="U47" s="157"/>
      <c r="V47" s="157"/>
      <c r="W47" s="157"/>
      <c r="X47" s="157"/>
      <c r="Y47" s="157"/>
      <c r="Z47" s="157"/>
      <c r="AA47" s="157"/>
    </row>
    <row r="48" spans="1:27">
      <c r="A48" s="157"/>
      <c r="B48" s="120">
        <f t="shared" si="2"/>
        <v>45352</v>
      </c>
      <c r="C48" s="483">
        <v>354.15367999999995</v>
      </c>
      <c r="D48" s="483">
        <v>1514.9544800000001</v>
      </c>
      <c r="E48" s="483">
        <v>172730702</v>
      </c>
      <c r="F48" s="483">
        <v>33676749</v>
      </c>
      <c r="G48" s="483">
        <v>1123041061</v>
      </c>
      <c r="H48" s="290">
        <f t="shared" si="1"/>
        <v>1329450381.10816</v>
      </c>
      <c r="I48" s="476"/>
      <c r="J48" s="484">
        <f t="shared" ref="J48:J52" si="5">C48*C$40</f>
        <v>77662.360487199985</v>
      </c>
      <c r="K48" s="484">
        <f t="shared" ref="K48:K52" si="6">D48*D$40</f>
        <v>366300.8437192</v>
      </c>
      <c r="L48" s="484">
        <f t="shared" si="4"/>
        <v>123426.45042112001</v>
      </c>
      <c r="M48" s="484">
        <f t="shared" si="4"/>
        <v>37626.021355229997</v>
      </c>
      <c r="N48" s="484">
        <f t="shared" si="4"/>
        <v>2275629.3323149099</v>
      </c>
      <c r="O48" s="485">
        <f t="shared" ref="O48:O52" si="7">SUM(J48:N48)</f>
        <v>2880645.0082976599</v>
      </c>
      <c r="P48" s="157"/>
      <c r="Q48" s="157"/>
      <c r="R48" s="157"/>
      <c r="S48" s="157"/>
      <c r="T48" s="157"/>
      <c r="U48" s="157"/>
      <c r="V48" s="157"/>
      <c r="W48" s="157"/>
      <c r="X48" s="157"/>
      <c r="Y48" s="157"/>
      <c r="Z48" s="157"/>
      <c r="AA48" s="157"/>
    </row>
    <row r="49" spans="2:27">
      <c r="B49" s="120">
        <f t="shared" si="2"/>
        <v>45383</v>
      </c>
      <c r="C49" s="483">
        <v>358.13089999999994</v>
      </c>
      <c r="D49" s="483">
        <v>1516.9413300000001</v>
      </c>
      <c r="E49" s="483">
        <v>173731915</v>
      </c>
      <c r="F49" s="483">
        <v>34990698</v>
      </c>
      <c r="G49" s="483">
        <v>1071712194</v>
      </c>
      <c r="H49" s="290">
        <f t="shared" si="1"/>
        <v>1280436682.0722301</v>
      </c>
      <c r="I49" s="476"/>
      <c r="J49" s="484">
        <f t="shared" si="5"/>
        <v>78534.525060999978</v>
      </c>
      <c r="K49" s="484">
        <f t="shared" si="6"/>
        <v>366781.24418069999</v>
      </c>
      <c r="L49" s="484">
        <f t="shared" si="4"/>
        <v>124141.87718240001</v>
      </c>
      <c r="M49" s="484">
        <f t="shared" si="4"/>
        <v>39094.057154459995</v>
      </c>
      <c r="N49" s="484">
        <f t="shared" si="4"/>
        <v>2171621.1358241397</v>
      </c>
      <c r="O49" s="485">
        <f t="shared" si="7"/>
        <v>2780172.8394026998</v>
      </c>
      <c r="P49" s="157"/>
      <c r="Q49" s="157"/>
      <c r="R49" s="157"/>
      <c r="S49" s="157"/>
      <c r="T49" s="157"/>
      <c r="U49" s="157"/>
      <c r="V49" s="157"/>
      <c r="W49" s="157"/>
      <c r="X49" s="157"/>
      <c r="Y49" s="157"/>
      <c r="Z49" s="157"/>
      <c r="AA49" s="157"/>
    </row>
    <row r="50" spans="2:27">
      <c r="B50" s="120">
        <f t="shared" si="2"/>
        <v>45413</v>
      </c>
      <c r="C50" s="483">
        <v>358.13089999999994</v>
      </c>
      <c r="D50" s="483">
        <v>1518.9413300000001</v>
      </c>
      <c r="E50" s="483">
        <v>186555384</v>
      </c>
      <c r="F50" s="483">
        <v>36636611</v>
      </c>
      <c r="G50" s="483">
        <v>1214504050</v>
      </c>
      <c r="H50" s="290">
        <f t="shared" si="1"/>
        <v>1437697922.0722301</v>
      </c>
      <c r="I50" s="476"/>
      <c r="J50" s="484">
        <f t="shared" si="5"/>
        <v>78534.525060999978</v>
      </c>
      <c r="K50" s="484">
        <f t="shared" si="6"/>
        <v>367264.8241807</v>
      </c>
      <c r="L50" s="484">
        <f t="shared" si="4"/>
        <v>133305.01519104</v>
      </c>
      <c r="M50" s="484">
        <f t="shared" si="4"/>
        <v>40932.986371969993</v>
      </c>
      <c r="N50" s="484">
        <f t="shared" si="4"/>
        <v>2460961.7015554998</v>
      </c>
      <c r="O50" s="485">
        <f t="shared" si="7"/>
        <v>3080999.0523602096</v>
      </c>
      <c r="P50" s="157"/>
      <c r="Q50" s="157"/>
      <c r="R50" s="157"/>
      <c r="S50" s="157"/>
      <c r="T50" s="157"/>
      <c r="U50" s="157"/>
      <c r="V50" s="157"/>
      <c r="W50" s="157"/>
      <c r="X50" s="157"/>
      <c r="Y50" s="157"/>
      <c r="Z50" s="157"/>
      <c r="AA50" s="157"/>
    </row>
    <row r="51" spans="2:27">
      <c r="B51" s="120">
        <f t="shared" si="2"/>
        <v>45444</v>
      </c>
      <c r="C51" s="483">
        <v>359.13089999999994</v>
      </c>
      <c r="D51" s="483">
        <v>1516.9544800000001</v>
      </c>
      <c r="E51" s="483">
        <v>191802943</v>
      </c>
      <c r="F51" s="483">
        <v>39937102</v>
      </c>
      <c r="G51" s="483">
        <v>1517382568</v>
      </c>
      <c r="H51" s="290">
        <f t="shared" si="1"/>
        <v>1749124489.0853801</v>
      </c>
      <c r="I51" s="476"/>
      <c r="J51" s="484">
        <f t="shared" si="5"/>
        <v>78753.815060999987</v>
      </c>
      <c r="K51" s="484">
        <f t="shared" si="6"/>
        <v>366784.42371920001</v>
      </c>
      <c r="L51" s="484">
        <f t="shared" si="4"/>
        <v>137054.71095008001</v>
      </c>
      <c r="M51" s="484">
        <f t="shared" si="4"/>
        <v>44620.525951539996</v>
      </c>
      <c r="N51" s="484">
        <f t="shared" si="4"/>
        <v>3074687.47136408</v>
      </c>
      <c r="O51" s="485">
        <f t="shared" si="7"/>
        <v>3701900.9470458999</v>
      </c>
      <c r="P51" s="157"/>
      <c r="Q51" s="157"/>
      <c r="R51" s="157"/>
      <c r="S51" s="157"/>
      <c r="T51" s="157"/>
      <c r="U51" s="157"/>
      <c r="V51" s="157"/>
      <c r="W51" s="157"/>
      <c r="X51" s="157"/>
      <c r="Y51" s="157"/>
      <c r="Z51" s="157"/>
      <c r="AA51" s="157"/>
    </row>
    <row r="52" spans="2:27">
      <c r="B52" s="120">
        <f t="shared" si="2"/>
        <v>45474</v>
      </c>
      <c r="C52" s="483">
        <v>359.1309</v>
      </c>
      <c r="D52" s="483">
        <v>1518.9413299999999</v>
      </c>
      <c r="E52" s="483">
        <v>193170755</v>
      </c>
      <c r="F52" s="483">
        <v>41785287</v>
      </c>
      <c r="G52" s="483">
        <v>1858021828</v>
      </c>
      <c r="H52" s="290">
        <f t="shared" si="1"/>
        <v>2092979748.0722301</v>
      </c>
      <c r="I52" s="476"/>
      <c r="J52" s="484">
        <f t="shared" si="5"/>
        <v>78753.815061000001</v>
      </c>
      <c r="K52" s="484">
        <f t="shared" si="6"/>
        <v>367264.82418069994</v>
      </c>
      <c r="L52" s="484">
        <f t="shared" si="4"/>
        <v>138032.09469280002</v>
      </c>
      <c r="M52" s="484">
        <f t="shared" si="4"/>
        <v>46685.447606489994</v>
      </c>
      <c r="N52" s="484">
        <f t="shared" si="4"/>
        <v>3764928.2102946797</v>
      </c>
      <c r="O52" s="485">
        <f t="shared" si="7"/>
        <v>4395664.39183567</v>
      </c>
      <c r="P52" s="157"/>
      <c r="Q52" s="157"/>
      <c r="R52" s="157"/>
      <c r="S52" s="157"/>
      <c r="T52" s="157"/>
      <c r="U52" s="157"/>
      <c r="V52" s="157"/>
      <c r="W52" s="157"/>
      <c r="X52" s="157"/>
      <c r="Y52" s="157"/>
      <c r="Z52" s="157"/>
      <c r="AA52" s="157"/>
    </row>
    <row r="53" spans="2:27" s="157" customFormat="1">
      <c r="B53" s="394" t="str">
        <f>IF(EDATE(B52,1)&lt;$E$6,EDATE(B52,1),"")</f>
        <v/>
      </c>
      <c r="C53" s="289"/>
      <c r="D53" s="289"/>
      <c r="E53" s="289"/>
      <c r="F53" s="289"/>
      <c r="G53" s="289"/>
      <c r="H53" s="290"/>
      <c r="I53" s="476"/>
      <c r="J53" s="486"/>
      <c r="K53" s="486"/>
      <c r="L53" s="486"/>
      <c r="M53" s="486"/>
      <c r="N53" s="486"/>
      <c r="O53" s="486"/>
    </row>
    <row r="54" spans="2:27">
      <c r="B54" s="120"/>
      <c r="C54" s="285"/>
      <c r="D54" s="285"/>
      <c r="E54" s="285"/>
      <c r="F54" s="285"/>
      <c r="G54" s="285"/>
      <c r="H54" s="291"/>
      <c r="I54" s="157"/>
      <c r="J54" s="486"/>
      <c r="K54" s="486"/>
      <c r="L54" s="486"/>
      <c r="M54" s="486"/>
      <c r="N54" s="486"/>
      <c r="O54" s="486"/>
      <c r="P54" s="157"/>
      <c r="Q54" s="157"/>
      <c r="R54" s="157"/>
      <c r="S54" s="157"/>
      <c r="T54" s="157"/>
      <c r="U54" s="157"/>
      <c r="V54" s="157"/>
      <c r="W54" s="157"/>
      <c r="X54" s="157"/>
      <c r="Y54" s="157"/>
      <c r="Z54" s="157"/>
      <c r="AA54" s="157"/>
    </row>
    <row r="55" spans="2:27">
      <c r="B55" s="36" t="s">
        <v>92</v>
      </c>
      <c r="C55" s="292">
        <f t="shared" ref="C55:H55" si="8">SUM(C46:C54)</f>
        <v>2146.8081799999995</v>
      </c>
      <c r="D55" s="292">
        <f t="shared" si="8"/>
        <v>9103.6742799999993</v>
      </c>
      <c r="E55" s="292">
        <f t="shared" si="8"/>
        <v>1097525614</v>
      </c>
      <c r="F55" s="292">
        <f t="shared" si="8"/>
        <v>221101284</v>
      </c>
      <c r="G55" s="292">
        <f t="shared" si="8"/>
        <v>8224807734</v>
      </c>
      <c r="H55" s="293">
        <f t="shared" si="8"/>
        <v>9543445882.48246</v>
      </c>
      <c r="I55" s="157"/>
      <c r="J55" s="486"/>
      <c r="K55" s="486"/>
      <c r="L55" s="486"/>
      <c r="M55" s="486"/>
      <c r="N55" s="486"/>
      <c r="O55" s="486"/>
      <c r="P55" s="157"/>
      <c r="Q55" s="157"/>
      <c r="R55" s="157"/>
      <c r="S55" s="157"/>
      <c r="T55" s="157"/>
      <c r="U55" s="157"/>
      <c r="V55" s="157"/>
      <c r="W55" s="157"/>
      <c r="X55" s="157"/>
      <c r="Y55" s="157"/>
      <c r="Z55" s="157"/>
      <c r="AA55" s="157"/>
    </row>
    <row r="56" spans="2:27">
      <c r="B56" s="157"/>
      <c r="C56" s="294"/>
      <c r="D56" s="25"/>
      <c r="E56" s="25"/>
      <c r="F56" s="25"/>
      <c r="G56" s="25"/>
      <c r="H56" s="25"/>
      <c r="I56" s="157"/>
      <c r="J56" s="486"/>
      <c r="K56" s="486"/>
      <c r="L56" s="486"/>
      <c r="M56" s="486"/>
      <c r="N56" s="486"/>
      <c r="O56" s="486"/>
      <c r="P56" s="157"/>
      <c r="Q56" s="157"/>
      <c r="R56" s="157"/>
      <c r="S56" s="157"/>
      <c r="T56" s="157"/>
      <c r="U56" s="157"/>
      <c r="V56" s="157"/>
      <c r="W56" s="157"/>
      <c r="X56" s="157"/>
      <c r="Y56" s="157"/>
      <c r="Z56" s="157"/>
      <c r="AA56" s="157"/>
    </row>
    <row r="57" spans="2:27">
      <c r="B57" s="2" t="s">
        <v>93</v>
      </c>
      <c r="C57" s="25"/>
      <c r="D57" s="25"/>
      <c r="E57" s="25"/>
      <c r="F57" s="25"/>
      <c r="G57" s="25"/>
      <c r="H57" s="25"/>
      <c r="I57" s="157"/>
      <c r="J57" s="486"/>
      <c r="K57" s="486"/>
      <c r="L57" s="486"/>
      <c r="M57" s="486"/>
      <c r="N57" s="486"/>
      <c r="O57" s="486"/>
      <c r="P57" s="157"/>
      <c r="Q57" s="157"/>
      <c r="R57" s="157"/>
      <c r="S57" s="157"/>
      <c r="T57" s="157"/>
      <c r="U57" s="157"/>
      <c r="V57" s="157"/>
      <c r="W57" s="157"/>
      <c r="X57" s="157"/>
      <c r="Y57" s="157"/>
      <c r="Z57" s="157"/>
      <c r="AA57" s="157"/>
    </row>
    <row r="58" spans="2:27">
      <c r="B58" s="24" t="s">
        <v>40</v>
      </c>
      <c r="C58" s="22" t="str">
        <f>Inputs!C$41</f>
        <v>SL 1 (Blocks)</v>
      </c>
      <c r="D58" s="22" t="str">
        <f>Inputs!D$41</f>
        <v>SL 2 (Blocks)</v>
      </c>
      <c r="E58" s="22" t="str">
        <f>Inputs!E$41</f>
        <v>SL 3 (KWH)</v>
      </c>
      <c r="F58" s="22" t="str">
        <f>Inputs!F$41</f>
        <v>SL 4 (KWH)</v>
      </c>
      <c r="G58" s="22" t="str">
        <f>Inputs!G$41</f>
        <v>SL 5 (KWH)</v>
      </c>
      <c r="H58" s="387" t="s">
        <v>27</v>
      </c>
      <c r="I58" s="157"/>
      <c r="J58" s="487" t="s">
        <v>94</v>
      </c>
      <c r="K58" s="486"/>
      <c r="L58" s="486"/>
      <c r="M58" s="486"/>
      <c r="N58" s="486"/>
      <c r="O58" s="486"/>
      <c r="P58" s="118"/>
      <c r="Q58" s="157"/>
      <c r="R58" s="157"/>
      <c r="S58" s="157"/>
      <c r="T58" s="157"/>
      <c r="U58" s="157"/>
      <c r="V58" s="157"/>
      <c r="W58" s="157"/>
      <c r="X58" s="157"/>
      <c r="Y58" s="157"/>
      <c r="Z58" s="157"/>
      <c r="AA58" s="157"/>
    </row>
    <row r="59" spans="2:27">
      <c r="B59" s="388">
        <f t="shared" ref="B59:B65" si="9">B46</f>
        <v>45292</v>
      </c>
      <c r="C59" s="294"/>
      <c r="D59" s="294"/>
      <c r="E59" s="294"/>
      <c r="F59" s="294"/>
      <c r="G59" s="294"/>
      <c r="H59" s="290">
        <f t="shared" ref="H59:H65" si="10">SUM(C59:G59)</f>
        <v>0</v>
      </c>
      <c r="I59" s="157"/>
      <c r="J59" s="488" t="s">
        <v>95</v>
      </c>
      <c r="K59" s="486"/>
      <c r="L59" s="486"/>
      <c r="M59" s="486"/>
      <c r="N59" s="486"/>
      <c r="O59" s="486"/>
      <c r="P59" s="157"/>
      <c r="Q59" s="157"/>
      <c r="R59" s="157"/>
      <c r="S59" s="157"/>
      <c r="T59" s="157"/>
      <c r="U59" s="157"/>
      <c r="V59" s="157"/>
      <c r="W59" s="157"/>
      <c r="X59" s="157"/>
      <c r="Y59" s="157"/>
      <c r="Z59" s="157"/>
      <c r="AA59" s="157"/>
    </row>
    <row r="60" spans="2:27">
      <c r="B60" s="388">
        <f t="shared" si="9"/>
        <v>45323</v>
      </c>
      <c r="C60" s="294">
        <v>74000.36</v>
      </c>
      <c r="D60" s="294">
        <v>342284.85</v>
      </c>
      <c r="E60" s="294">
        <v>133595.56</v>
      </c>
      <c r="F60" s="294">
        <v>42898.020000000004</v>
      </c>
      <c r="G60" s="294">
        <v>3621724.4900000007</v>
      </c>
      <c r="H60" s="290">
        <f>SUM(C60:G60)</f>
        <v>4214503.2800000012</v>
      </c>
      <c r="I60" s="396"/>
      <c r="J60" s="489">
        <f>C60/J47</f>
        <v>0.94226532779719285</v>
      </c>
      <c r="K60" s="489">
        <f t="shared" ref="K60:N60" si="11">D60/K47</f>
        <v>0.93321252226127593</v>
      </c>
      <c r="L60" s="489">
        <f t="shared" si="11"/>
        <v>1.0413742194370978</v>
      </c>
      <c r="M60" s="489">
        <f t="shared" si="11"/>
        <v>1.126796067733441</v>
      </c>
      <c r="N60" s="489">
        <f t="shared" si="11"/>
        <v>1.2410891807246389</v>
      </c>
      <c r="O60" s="486"/>
      <c r="P60" s="157"/>
      <c r="Q60" s="157"/>
      <c r="R60" s="157"/>
      <c r="S60" s="157"/>
      <c r="T60" s="157"/>
      <c r="U60" s="157"/>
      <c r="V60" s="157"/>
      <c r="W60" s="157"/>
      <c r="X60" s="157"/>
      <c r="Y60" s="157"/>
      <c r="Z60" s="157"/>
      <c r="AA60" s="157"/>
    </row>
    <row r="61" spans="2:27">
      <c r="B61" s="388">
        <f t="shared" si="9"/>
        <v>45352</v>
      </c>
      <c r="C61" s="294">
        <v>68400.700000000012</v>
      </c>
      <c r="D61" s="294">
        <v>342505.77999999997</v>
      </c>
      <c r="E61" s="294">
        <v>135733.84</v>
      </c>
      <c r="F61" s="294">
        <v>49762.489999999991</v>
      </c>
      <c r="G61" s="294">
        <v>3251638.1099999994</v>
      </c>
      <c r="H61" s="290">
        <f t="shared" si="10"/>
        <v>3848040.9199999995</v>
      </c>
      <c r="I61" s="396"/>
      <c r="J61" s="489">
        <f t="shared" ref="J61:N65" si="12">C83/J48</f>
        <v>0.822361495817865</v>
      </c>
      <c r="K61" s="489">
        <f t="shared" si="12"/>
        <v>0.86816449176153287</v>
      </c>
      <c r="L61" s="489">
        <f t="shared" si="12"/>
        <v>1.1427181549528362</v>
      </c>
      <c r="M61" s="489">
        <f t="shared" si="12"/>
        <v>1.4508501005095522</v>
      </c>
      <c r="N61" s="489">
        <f t="shared" si="12"/>
        <v>1.7380599888156294</v>
      </c>
      <c r="O61" s="486"/>
      <c r="P61" s="157"/>
      <c r="Q61" s="157"/>
      <c r="R61" s="157"/>
      <c r="S61" s="157"/>
      <c r="T61" s="157"/>
      <c r="U61" s="157"/>
      <c r="V61" s="157"/>
      <c r="W61" s="157"/>
      <c r="X61" s="157"/>
      <c r="Y61" s="157"/>
      <c r="Z61" s="157"/>
      <c r="AA61" s="157"/>
    </row>
    <row r="62" spans="2:27">
      <c r="B62" s="388">
        <f t="shared" si="9"/>
        <v>45383</v>
      </c>
      <c r="C62" s="294">
        <v>64262.18</v>
      </c>
      <c r="D62" s="294">
        <v>339177.64999999997</v>
      </c>
      <c r="E62" s="294">
        <v>136612.47999999998</v>
      </c>
      <c r="F62" s="294">
        <v>44613.749999999993</v>
      </c>
      <c r="G62" s="294">
        <v>2680345.3700000006</v>
      </c>
      <c r="H62" s="290">
        <f t="shared" si="10"/>
        <v>3265011.4300000006</v>
      </c>
      <c r="I62" s="396"/>
      <c r="J62" s="489">
        <f t="shared" si="12"/>
        <v>0.64260087410729749</v>
      </c>
      <c r="K62" s="489">
        <f t="shared" si="12"/>
        <v>0.79307815411845517</v>
      </c>
      <c r="L62" s="489">
        <f t="shared" si="12"/>
        <v>1.2423501140543836</v>
      </c>
      <c r="M62" s="489">
        <f t="shared" si="12"/>
        <v>1.5751101316112699</v>
      </c>
      <c r="N62" s="489">
        <f t="shared" si="12"/>
        <v>2.0076689518414828</v>
      </c>
      <c r="O62" s="486"/>
      <c r="P62" s="157"/>
      <c r="Q62" s="157"/>
      <c r="R62" s="157"/>
      <c r="S62" s="157"/>
      <c r="T62" s="157"/>
      <c r="U62" s="157"/>
      <c r="V62" s="157"/>
      <c r="W62" s="157"/>
      <c r="X62" s="157"/>
      <c r="Y62" s="157"/>
      <c r="Z62" s="157"/>
      <c r="AA62" s="157"/>
    </row>
    <row r="63" spans="2:27">
      <c r="B63" s="388">
        <f t="shared" si="9"/>
        <v>45413</v>
      </c>
      <c r="C63" s="294">
        <v>89348.409999999989</v>
      </c>
      <c r="D63" s="294">
        <v>367354.39000000007</v>
      </c>
      <c r="E63" s="294">
        <v>134912.62999999998</v>
      </c>
      <c r="F63" s="294">
        <v>47076.649999999994</v>
      </c>
      <c r="G63" s="294">
        <v>2378181.2499999995</v>
      </c>
      <c r="H63" s="290">
        <f t="shared" si="10"/>
        <v>3016873.3299999996</v>
      </c>
      <c r="I63" s="396"/>
      <c r="J63" s="489">
        <f t="shared" si="12"/>
        <v>0.78029681013798657</v>
      </c>
      <c r="K63" s="489">
        <f t="shared" si="12"/>
        <v>0.7935944820460058</v>
      </c>
      <c r="L63" s="489">
        <f t="shared" si="12"/>
        <v>1.2377510917921575</v>
      </c>
      <c r="M63" s="489">
        <f t="shared" si="12"/>
        <v>1.6993638754623868</v>
      </c>
      <c r="N63" s="489">
        <f t="shared" si="12"/>
        <v>1.8555577036596713</v>
      </c>
      <c r="O63" s="486"/>
      <c r="P63" s="157"/>
      <c r="Q63" s="157"/>
      <c r="R63" s="157"/>
      <c r="S63" s="157"/>
      <c r="T63" s="157"/>
      <c r="U63" s="157"/>
      <c r="V63" s="157"/>
      <c r="W63" s="157"/>
      <c r="X63" s="157"/>
      <c r="Y63" s="157"/>
      <c r="Z63" s="157"/>
      <c r="AA63" s="157"/>
    </row>
    <row r="64" spans="2:27">
      <c r="B64" s="388">
        <f t="shared" si="9"/>
        <v>45444</v>
      </c>
      <c r="C64" s="294">
        <v>74538.650000000009</v>
      </c>
      <c r="D64" s="294">
        <v>327674.00000000006</v>
      </c>
      <c r="E64" s="294">
        <v>108743.07999999997</v>
      </c>
      <c r="F64" s="294">
        <v>35340.399999999994</v>
      </c>
      <c r="G64" s="294">
        <v>2447280.4299999997</v>
      </c>
      <c r="H64" s="290">
        <f t="shared" si="10"/>
        <v>2993576.5599999996</v>
      </c>
      <c r="I64" s="396"/>
      <c r="J64" s="489">
        <f t="shared" si="12"/>
        <v>0.7273852610877275</v>
      </c>
      <c r="K64" s="489">
        <f t="shared" si="12"/>
        <v>0.68669359288693133</v>
      </c>
      <c r="L64" s="489">
        <f t="shared" si="12"/>
        <v>1.0246746859667715</v>
      </c>
      <c r="M64" s="489">
        <f t="shared" si="12"/>
        <v>1.4335880319479353</v>
      </c>
      <c r="N64" s="489">
        <f t="shared" si="12"/>
        <v>1.4807277860202779</v>
      </c>
      <c r="O64" s="486"/>
      <c r="P64" s="157"/>
      <c r="Q64" s="157"/>
      <c r="R64" s="157"/>
      <c r="S64" s="157"/>
      <c r="T64" s="157"/>
      <c r="U64" s="157"/>
      <c r="V64" s="157"/>
      <c r="W64" s="157"/>
      <c r="X64" s="157"/>
      <c r="Y64" s="157"/>
      <c r="Z64" s="157"/>
      <c r="AA64" s="157"/>
    </row>
    <row r="65" spans="2:27">
      <c r="B65" s="388">
        <f t="shared" si="9"/>
        <v>45474</v>
      </c>
      <c r="C65" s="294">
        <v>106523.16330450034</v>
      </c>
      <c r="D65" s="294">
        <v>564739.90829183103</v>
      </c>
      <c r="E65" s="294">
        <v>210083.22134112514</v>
      </c>
      <c r="F65" s="294">
        <v>71633.362788674654</v>
      </c>
      <c r="G65" s="294">
        <v>4765196.2042738721</v>
      </c>
      <c r="H65" s="290">
        <f t="shared" si="10"/>
        <v>5718175.8600000031</v>
      </c>
      <c r="I65" s="396"/>
      <c r="J65" s="489">
        <f t="shared" si="12"/>
        <v>0.68264374528597516</v>
      </c>
      <c r="K65" s="489">
        <f t="shared" si="12"/>
        <v>0.69912783123811406</v>
      </c>
      <c r="L65" s="489">
        <f t="shared" si="12"/>
        <v>1.1582702001935163</v>
      </c>
      <c r="M65" s="489">
        <f t="shared" si="12"/>
        <v>1.4602821548685929</v>
      </c>
      <c r="N65" s="489">
        <f t="shared" si="12"/>
        <v>1.3249727623419141</v>
      </c>
      <c r="O65" s="486"/>
      <c r="P65" s="157"/>
      <c r="Q65" s="157"/>
      <c r="R65" s="157"/>
      <c r="S65" s="157"/>
      <c r="T65" s="157"/>
      <c r="U65" s="157"/>
      <c r="V65" s="157"/>
      <c r="W65" s="157"/>
      <c r="X65" s="157"/>
      <c r="Y65" s="157"/>
      <c r="Z65" s="157"/>
      <c r="AA65" s="157"/>
    </row>
    <row r="66" spans="2:27" s="157" customFormat="1">
      <c r="B66" s="395" t="s">
        <v>96</v>
      </c>
      <c r="C66" s="294">
        <f>C65/$H$65*$H$66</f>
        <v>23472.378088712776</v>
      </c>
      <c r="D66" s="294">
        <f>D65/$H$65*$H$66</f>
        <v>124440.43377982199</v>
      </c>
      <c r="E66" s="294">
        <f>E65/$H$65*$H$66</f>
        <v>46291.835957947878</v>
      </c>
      <c r="F66" s="294">
        <f>F65/$H$65*$H$66</f>
        <v>15784.410854710932</v>
      </c>
      <c r="G66" s="294">
        <f>G65/$H$65*$H$66</f>
        <v>1050010.9413188065</v>
      </c>
      <c r="H66" s="397">
        <v>1260000</v>
      </c>
      <c r="I66" s="396"/>
    </row>
    <row r="67" spans="2:27" s="157" customFormat="1">
      <c r="B67" s="389"/>
      <c r="C67" s="285"/>
      <c r="D67" s="285"/>
      <c r="E67" s="285"/>
      <c r="F67" s="285"/>
      <c r="G67" s="285"/>
      <c r="H67" s="291"/>
    </row>
    <row r="68" spans="2:27" s="157" customFormat="1">
      <c r="B68" s="390"/>
      <c r="C68" s="282"/>
      <c r="D68" s="282"/>
      <c r="E68" s="282"/>
      <c r="F68" s="282"/>
      <c r="G68" s="282"/>
      <c r="H68" s="386"/>
    </row>
    <row r="69" spans="2:27" s="157" customFormat="1">
      <c r="B69" s="391" t="s">
        <v>97</v>
      </c>
      <c r="C69" s="289"/>
      <c r="D69" s="289"/>
      <c r="E69" s="289"/>
      <c r="F69" s="289"/>
      <c r="G69" s="289"/>
      <c r="H69" s="386"/>
    </row>
    <row r="70" spans="2:27" s="157" customFormat="1">
      <c r="B70" s="24" t="s">
        <v>98</v>
      </c>
      <c r="C70" s="22" t="str">
        <f>Inputs!C$41</f>
        <v>SL 1 (Blocks)</v>
      </c>
      <c r="D70" s="22" t="str">
        <f>Inputs!D$41</f>
        <v>SL 2 (Blocks)</v>
      </c>
      <c r="E70" s="22" t="str">
        <f>Inputs!E$41</f>
        <v>SL 3 (KWH)</v>
      </c>
      <c r="F70" s="22" t="str">
        <f>Inputs!F$41</f>
        <v>SL 4 (KWH)</v>
      </c>
      <c r="G70" s="22" t="str">
        <f>Inputs!G$41</f>
        <v>SL 5 (KWH)</v>
      </c>
      <c r="H70" s="387" t="s">
        <v>27</v>
      </c>
    </row>
    <row r="71" spans="2:27" s="157" customFormat="1">
      <c r="B71" s="388" t="s">
        <v>99</v>
      </c>
      <c r="C71" s="282">
        <f>SUM(C59:C66)/SUM($H$59:$H$66)*$H$71</f>
        <v>0.24887128155004512</v>
      </c>
      <c r="D71" s="282">
        <f>SUM(D59:D66)/SUM($H$59:$H$66)*$H$71</f>
        <v>1.1973450773768772</v>
      </c>
      <c r="E71" s="282">
        <f>SUM(E59:E66)/SUM($H$59:$H$66)*$H$71</f>
        <v>0.45044939970939585</v>
      </c>
      <c r="F71" s="282">
        <f>SUM(F59:F66)/SUM($H$59:$H$66)*$H$71</f>
        <v>0.15269456841206247</v>
      </c>
      <c r="G71" s="282">
        <f>SUM(G59:G66)/SUM($H$59:$H$66)*$H$71</f>
        <v>10.040639672951617</v>
      </c>
      <c r="H71" s="290">
        <f>'Servicer Certficate'!C52</f>
        <v>12.09</v>
      </c>
      <c r="I71" s="396" t="s">
        <v>76</v>
      </c>
    </row>
    <row r="72" spans="2:27" s="157" customFormat="1">
      <c r="B72" s="388" t="s">
        <v>100</v>
      </c>
      <c r="C72" s="282">
        <f t="shared" ref="C72:F72" si="13">SUM(C59:C66)/SUM($H$59:$H$66)*$H$72</f>
        <v>27962.018883382189</v>
      </c>
      <c r="D72" s="282">
        <f t="shared" si="13"/>
        <v>134528.1201391028</v>
      </c>
      <c r="E72" s="282">
        <f t="shared" si="13"/>
        <v>50610.398042851302</v>
      </c>
      <c r="F72" s="282">
        <f t="shared" si="13"/>
        <v>17156.051026600304</v>
      </c>
      <c r="G72" s="282">
        <f>SUM(G59:G66)/SUM($H$59:$H$66)*$H$72</f>
        <v>1128119.541908063</v>
      </c>
      <c r="H72" s="290">
        <f>'Servicer Certficate'!C49</f>
        <v>1358376.13</v>
      </c>
      <c r="I72" s="396" t="s">
        <v>76</v>
      </c>
    </row>
    <row r="73" spans="2:27" s="157" customFormat="1">
      <c r="B73" s="416" t="s">
        <v>101</v>
      </c>
      <c r="C73" s="294">
        <v>29984.972073674449</v>
      </c>
      <c r="D73" s="294">
        <v>100240.49426943756</v>
      </c>
      <c r="E73" s="294">
        <v>165757.88075743971</v>
      </c>
      <c r="F73" s="294">
        <v>31862.422139254373</v>
      </c>
      <c r="G73" s="294">
        <v>2862224.6707601943</v>
      </c>
      <c r="H73" s="397">
        <f>'Servicer Certficate'!C50</f>
        <v>3190070.44</v>
      </c>
      <c r="I73" s="396" t="s">
        <v>76</v>
      </c>
      <c r="J73" s="14"/>
      <c r="K73" s="412"/>
    </row>
    <row r="74" spans="2:27" s="157" customFormat="1">
      <c r="B74" s="395" t="s">
        <v>102</v>
      </c>
      <c r="C74" s="294">
        <f>SUM(C73)/SUM($H$73)*$H$74</f>
        <v>1992.2676225346956</v>
      </c>
      <c r="D74" s="294">
        <f t="shared" ref="D74:F74" si="14">SUM(D73)/SUM($H$73)*$H$74</f>
        <v>6660.1993394954197</v>
      </c>
      <c r="E74" s="294">
        <f t="shared" si="14"/>
        <v>11013.318878590708</v>
      </c>
      <c r="F74" s="294">
        <f t="shared" si="14"/>
        <v>2117.0095422333447</v>
      </c>
      <c r="G74" s="294">
        <f>SUM(G73)/SUM($H$73)*$H$74</f>
        <v>190172.51461714585</v>
      </c>
      <c r="H74" s="397">
        <f>'Servicer Certficate'!C51</f>
        <v>211955.31</v>
      </c>
      <c r="I74" s="396" t="s">
        <v>76</v>
      </c>
      <c r="J74" s="383"/>
      <c r="K74" s="383"/>
      <c r="L74" s="383"/>
      <c r="M74" s="383"/>
      <c r="N74" s="383"/>
    </row>
    <row r="75" spans="2:27" s="157" customFormat="1">
      <c r="B75" s="395"/>
      <c r="C75" s="282">
        <f t="shared" ref="C75:F75" si="15">SUM(C59:C66)/SUM($H$59:$H$66)*$H$75</f>
        <v>0</v>
      </c>
      <c r="D75" s="282">
        <f t="shared" si="15"/>
        <v>0</v>
      </c>
      <c r="E75" s="282">
        <f t="shared" si="15"/>
        <v>0</v>
      </c>
      <c r="F75" s="282">
        <f t="shared" si="15"/>
        <v>0</v>
      </c>
      <c r="G75" s="282">
        <f>SUM(G59:G66)/SUM($H$59:$H$66)*$H$75</f>
        <v>0</v>
      </c>
      <c r="H75" s="290"/>
      <c r="J75" s="383"/>
      <c r="K75" s="383"/>
      <c r="L75" s="383"/>
      <c r="M75" s="383"/>
      <c r="N75" s="383"/>
    </row>
    <row r="76" spans="2:27">
      <c r="B76" s="388"/>
      <c r="C76" s="282"/>
      <c r="D76" s="282"/>
      <c r="E76" s="282"/>
      <c r="F76" s="282"/>
      <c r="G76" s="282"/>
      <c r="H76" s="291"/>
      <c r="I76" s="157"/>
      <c r="J76" s="157"/>
      <c r="K76" s="157"/>
      <c r="L76" s="157"/>
      <c r="M76" s="157"/>
      <c r="N76" s="157"/>
      <c r="O76" s="157"/>
      <c r="P76" s="157"/>
      <c r="Q76" s="157"/>
      <c r="R76" s="157"/>
      <c r="S76" s="157"/>
      <c r="T76" s="157"/>
      <c r="U76" s="157"/>
      <c r="V76" s="157"/>
      <c r="W76" s="157"/>
      <c r="X76" s="157"/>
      <c r="Y76" s="157"/>
      <c r="Z76" s="157"/>
      <c r="AA76" s="157"/>
    </row>
    <row r="77" spans="2:27">
      <c r="B77" s="359" t="s">
        <v>103</v>
      </c>
      <c r="C77" s="295">
        <f t="shared" ref="C77:G77" si="16">SUM(C59:C76)</f>
        <v>560485.34884408594</v>
      </c>
      <c r="D77" s="295">
        <f t="shared" si="16"/>
        <v>2649607.0231647668</v>
      </c>
      <c r="E77" s="295">
        <f t="shared" si="16"/>
        <v>1133354.6954273542</v>
      </c>
      <c r="F77" s="295">
        <f t="shared" si="16"/>
        <v>358244.71904604195</v>
      </c>
      <c r="G77" s="295">
        <f t="shared" si="16"/>
        <v>24374903.563517753</v>
      </c>
      <c r="H77" s="293">
        <f>SUM(H60:H75)</f>
        <v>29076595.350000005</v>
      </c>
      <c r="I77" s="157"/>
      <c r="J77" s="157"/>
      <c r="K77" s="157"/>
      <c r="L77" s="157"/>
      <c r="M77" s="157"/>
      <c r="N77" s="157"/>
      <c r="O77" s="157"/>
      <c r="P77" s="157"/>
      <c r="Q77" s="157"/>
      <c r="R77" s="157"/>
      <c r="S77" s="157"/>
      <c r="T77" s="157"/>
      <c r="U77" s="157"/>
      <c r="V77" s="157"/>
      <c r="W77" s="157"/>
      <c r="X77" s="157"/>
      <c r="Y77" s="157"/>
      <c r="Z77" s="157"/>
      <c r="AA77" s="157"/>
    </row>
    <row r="78" spans="2:27">
      <c r="B78" s="157"/>
      <c r="C78" s="157"/>
      <c r="D78" s="157"/>
      <c r="E78" s="157"/>
      <c r="F78" s="157"/>
      <c r="G78" s="157"/>
      <c r="H78" s="157"/>
      <c r="I78" s="157"/>
      <c r="J78" s="490" t="s">
        <v>104</v>
      </c>
      <c r="K78" s="491"/>
      <c r="L78" s="491"/>
      <c r="M78" s="491"/>
      <c r="N78" s="491"/>
      <c r="O78" s="157"/>
      <c r="P78" s="157"/>
      <c r="Q78" s="157"/>
      <c r="R78" s="157"/>
      <c r="S78" s="157"/>
      <c r="T78" s="157"/>
      <c r="U78" s="157"/>
      <c r="V78" s="157"/>
      <c r="W78" s="157"/>
      <c r="X78" s="157"/>
      <c r="Y78" s="157"/>
      <c r="Z78" s="157"/>
      <c r="AA78" s="157"/>
    </row>
    <row r="79" spans="2:27">
      <c r="B79" s="284">
        <f>E32</f>
        <v>25948391.117649999</v>
      </c>
      <c r="C79" s="157"/>
      <c r="D79" s="157"/>
      <c r="E79" s="157"/>
      <c r="F79" s="157"/>
      <c r="G79" s="157"/>
      <c r="H79" s="157"/>
      <c r="I79" s="25">
        <v>-1</v>
      </c>
      <c r="J79" s="492">
        <f>J81</f>
        <v>0.26859542706473033</v>
      </c>
      <c r="K79" s="492">
        <f t="shared" ref="K79:N79" si="17">K81</f>
        <v>0.23156917949622127</v>
      </c>
      <c r="L79" s="492">
        <f t="shared" si="17"/>
        <v>-0.16094496221621737</v>
      </c>
      <c r="M79" s="492">
        <f t="shared" si="17"/>
        <v>-0.52316310675199229</v>
      </c>
      <c r="N79" s="492">
        <f t="shared" si="17"/>
        <v>-0.68051843584008409</v>
      </c>
      <c r="O79" s="157"/>
      <c r="P79" s="157"/>
      <c r="Q79" s="157"/>
      <c r="R79" s="157"/>
      <c r="S79" s="157"/>
      <c r="T79" s="157"/>
      <c r="U79" s="157"/>
      <c r="V79" s="157"/>
      <c r="W79" s="157"/>
      <c r="X79" s="157"/>
      <c r="Y79" s="157"/>
      <c r="Z79" s="157"/>
      <c r="AA79" s="157"/>
    </row>
    <row r="80" spans="2:27">
      <c r="B80" s="157" t="s">
        <v>105</v>
      </c>
      <c r="C80" s="331">
        <f>ROUND($B$79*C39,2)</f>
        <v>521562.66</v>
      </c>
      <c r="D80" s="295">
        <f>ROUND($B$79*D39,2)</f>
        <v>2350924.2400000002</v>
      </c>
      <c r="E80" s="295">
        <f>ROUND($B$79*E39,2)</f>
        <v>1056099.52</v>
      </c>
      <c r="F80" s="295">
        <f>ROUND($B$79*F39,2)</f>
        <v>306191.02</v>
      </c>
      <c r="G80" s="295">
        <f>ROUND($B$79*G39,2)</f>
        <v>21713613.690000001</v>
      </c>
      <c r="H80" s="332">
        <f>SUM(C80:G80)</f>
        <v>25948391.130000003</v>
      </c>
      <c r="I80" s="25" t="s">
        <v>106</v>
      </c>
      <c r="J80" s="492">
        <f>AVERAGE(J61:J65)*(1-Inputs!$E$11)</f>
        <v>0.73011457293526971</v>
      </c>
      <c r="K80" s="493">
        <f>AVERAGE(K61:K65)*(1-Inputs!$E$11)</f>
        <v>0.76714082050377874</v>
      </c>
      <c r="L80" s="493">
        <f>AVERAGE(L61:L65)*(1-Inputs!$E$11)</f>
        <v>1.1596549622162173</v>
      </c>
      <c r="M80" s="493">
        <f>AVERAGE(M61:M65)*(1-Inputs!$E$11)</f>
        <v>1.5218731067519922</v>
      </c>
      <c r="N80" s="493">
        <f>AVERAGE(N61:N65)*(1-Inputs!$E$11)</f>
        <v>1.679228435840084</v>
      </c>
      <c r="O80" s="157"/>
      <c r="P80" s="157"/>
      <c r="Q80" s="157"/>
      <c r="R80" s="157"/>
      <c r="S80" s="157"/>
      <c r="T80" s="157"/>
      <c r="U80" s="157"/>
      <c r="V80" s="157"/>
      <c r="W80" s="157"/>
      <c r="X80" s="157"/>
      <c r="Y80" s="157"/>
      <c r="Z80" s="157"/>
      <c r="AA80" s="157"/>
    </row>
    <row r="81" spans="2:14">
      <c r="B81" s="157"/>
      <c r="C81" s="14"/>
      <c r="D81" s="14"/>
      <c r="E81" s="14"/>
      <c r="F81" s="14"/>
      <c r="G81" s="14"/>
      <c r="H81" s="157"/>
      <c r="I81" s="25">
        <v>1</v>
      </c>
      <c r="J81" s="492">
        <f>(1-AVERAGE(J61:J65))*(1-Inputs!$E$11)</f>
        <v>0.26859542706473033</v>
      </c>
      <c r="K81" s="492">
        <f>(1-AVERAGE(K61:K65))*(1-Inputs!$E$11)</f>
        <v>0.23156917949622127</v>
      </c>
      <c r="L81" s="492">
        <f>(1-AVERAGE(L61:L65))*(1-Inputs!$E$11)</f>
        <v>-0.16094496221621737</v>
      </c>
      <c r="M81" s="492">
        <f>(1-AVERAGE(M61:M65))*(1-Inputs!$E$11)</f>
        <v>-0.52316310675199229</v>
      </c>
      <c r="N81" s="492">
        <f>(1-AVERAGE(N61:N65))*(1-Inputs!$E$11)</f>
        <v>-0.68051843584008409</v>
      </c>
    </row>
    <row r="82" spans="2:14">
      <c r="B82" s="157"/>
      <c r="C82" s="157"/>
      <c r="D82" s="157"/>
      <c r="E82" s="157"/>
      <c r="F82" s="157"/>
      <c r="G82" s="157"/>
      <c r="H82" s="157"/>
      <c r="I82" s="157"/>
      <c r="J82" s="415"/>
      <c r="K82" s="415"/>
      <c r="L82" s="415"/>
      <c r="M82" s="415"/>
      <c r="N82" s="415"/>
    </row>
    <row r="83" spans="2:14">
      <c r="B83" s="157"/>
      <c r="C83" s="14">
        <f>C61-(J47-C60)</f>
        <v>63866.534939000034</v>
      </c>
      <c r="D83" s="14">
        <f>D61-(K47-D60)</f>
        <v>318009.38581929996</v>
      </c>
      <c r="E83" s="14">
        <f>E61-(L47-E60)</f>
        <v>141041.64569759998</v>
      </c>
      <c r="F83" s="14">
        <f>F61-(M47-F60)</f>
        <v>54589.716865009999</v>
      </c>
      <c r="G83" s="14">
        <f>G61-(N47-G60)</f>
        <v>3955180.2918717703</v>
      </c>
      <c r="H83" s="157"/>
      <c r="I83" s="157"/>
      <c r="J83" s="415"/>
      <c r="K83" s="415"/>
      <c r="L83" s="415"/>
      <c r="M83" s="415"/>
      <c r="N83" s="415"/>
    </row>
    <row r="84" spans="2:14">
      <c r="B84" s="157"/>
      <c r="C84" s="14">
        <f t="shared" ref="C84:G86" si="18">C62-(J48*(1-J61))</f>
        <v>50466.354451800049</v>
      </c>
      <c r="D84" s="14">
        <f t="shared" si="18"/>
        <v>290886.19210009993</v>
      </c>
      <c r="E84" s="14">
        <f t="shared" si="18"/>
        <v>154227.67527647995</v>
      </c>
      <c r="F84" s="14">
        <f t="shared" si="18"/>
        <v>61577.445509779995</v>
      </c>
      <c r="G84" s="14">
        <f t="shared" si="18"/>
        <v>4359896.329556861</v>
      </c>
      <c r="H84" s="157"/>
      <c r="I84" s="157"/>
      <c r="J84" s="415"/>
      <c r="K84" s="415"/>
      <c r="L84" s="415"/>
      <c r="M84" s="415"/>
      <c r="N84" s="415"/>
    </row>
    <row r="85" spans="2:14">
      <c r="B85" s="157"/>
      <c r="C85" s="14">
        <f t="shared" si="18"/>
        <v>61280.239390800052</v>
      </c>
      <c r="D85" s="14">
        <f t="shared" si="18"/>
        <v>291459.33791940002</v>
      </c>
      <c r="E85" s="14">
        <f t="shared" si="18"/>
        <v>164998.42809407989</v>
      </c>
      <c r="F85" s="14">
        <f t="shared" si="18"/>
        <v>69560.038355319994</v>
      </c>
      <c r="G85" s="14">
        <f t="shared" si="18"/>
        <v>4566456.4437327208</v>
      </c>
      <c r="H85" s="157"/>
      <c r="I85" s="157"/>
      <c r="J85" s="415"/>
      <c r="K85" s="415"/>
      <c r="L85" s="415"/>
      <c r="M85" s="415"/>
      <c r="N85" s="415"/>
    </row>
    <row r="86" spans="2:14">
      <c r="B86" s="157"/>
      <c r="C86" s="14">
        <f t="shared" si="18"/>
        <v>57284.364329800082</v>
      </c>
      <c r="D86" s="14">
        <f t="shared" si="18"/>
        <v>251868.51373870007</v>
      </c>
      <c r="E86" s="14">
        <f t="shared" si="18"/>
        <v>140436.49290303988</v>
      </c>
      <c r="F86" s="14">
        <f t="shared" si="18"/>
        <v>63967.451983349994</v>
      </c>
      <c r="G86" s="14">
        <f t="shared" si="18"/>
        <v>4552775.1721772207</v>
      </c>
      <c r="H86" s="157"/>
      <c r="I86" s="157"/>
      <c r="J86" s="415"/>
      <c r="K86" s="415"/>
      <c r="L86" s="415"/>
      <c r="M86" s="415"/>
      <c r="N86" s="415"/>
    </row>
    <row r="87" spans="2:14">
      <c r="B87" s="157"/>
      <c r="C87" s="14">
        <f>C89-(J51*(1-J64))</f>
        <v>53760.799268800081</v>
      </c>
      <c r="D87" s="14">
        <f>D89-(K51*(1-K64))</f>
        <v>256765.06001950003</v>
      </c>
      <c r="E87" s="14">
        <f>E89-(L51*(1-L64))</f>
        <v>159878.46195295989</v>
      </c>
      <c r="F87" s="14">
        <f>F89-(M51*(1-M64))</f>
        <v>68173.926031809999</v>
      </c>
      <c r="G87" s="14">
        <f>G89-(N51*(1-N64))</f>
        <v>4988427.3308131406</v>
      </c>
      <c r="H87" s="157"/>
      <c r="I87" s="157"/>
      <c r="J87" s="494"/>
      <c r="K87" s="494"/>
      <c r="L87" s="494"/>
      <c r="M87" s="494"/>
      <c r="N87" s="494"/>
    </row>
    <row r="88" spans="2:14">
      <c r="B88" s="157"/>
      <c r="C88" s="157"/>
      <c r="D88" s="157"/>
      <c r="E88" s="157"/>
      <c r="F88" s="157"/>
      <c r="G88" s="157"/>
      <c r="H88" s="157"/>
      <c r="I88" s="157"/>
      <c r="J88" s="415"/>
      <c r="K88" s="415"/>
      <c r="L88" s="415"/>
      <c r="M88" s="415"/>
      <c r="N88" s="415"/>
    </row>
    <row r="89" spans="2:14">
      <c r="B89" s="157" t="s">
        <v>107</v>
      </c>
      <c r="C89" s="329">
        <v>75230.249999999985</v>
      </c>
      <c r="D89" s="329">
        <v>371680.97</v>
      </c>
      <c r="E89" s="329">
        <v>156496.68000000002</v>
      </c>
      <c r="F89" s="329">
        <v>48826.999999999993</v>
      </c>
      <c r="G89" s="329">
        <v>3510339.63</v>
      </c>
      <c r="H89" s="157"/>
      <c r="I89" s="157"/>
      <c r="J89" s="415"/>
      <c r="K89" s="415"/>
      <c r="L89" s="415"/>
      <c r="M89" s="415"/>
      <c r="N89" s="415"/>
    </row>
    <row r="90" spans="2:14">
      <c r="B90" s="157"/>
      <c r="C90" s="157"/>
      <c r="D90" s="157"/>
      <c r="E90" s="157"/>
      <c r="F90" s="157"/>
      <c r="G90" s="157"/>
      <c r="H90" s="157"/>
      <c r="I90" s="157"/>
      <c r="J90" s="415"/>
      <c r="K90" s="415"/>
      <c r="L90" s="415"/>
      <c r="M90" s="415"/>
      <c r="N90" s="415"/>
    </row>
    <row r="92" spans="2:14">
      <c r="B92" s="153" t="s">
        <v>108</v>
      </c>
      <c r="C92" s="157"/>
      <c r="D92" s="157"/>
      <c r="E92" s="157"/>
      <c r="F92" s="157"/>
      <c r="G92" s="157"/>
      <c r="H92" s="157"/>
      <c r="I92" s="157"/>
      <c r="J92" s="157"/>
      <c r="K92" s="157"/>
      <c r="L92" s="157"/>
      <c r="M92" s="157"/>
      <c r="N92" s="157"/>
    </row>
    <row r="93" spans="2:14">
      <c r="B93" s="157" t="s">
        <v>109</v>
      </c>
      <c r="C93" s="157"/>
      <c r="D93" s="157"/>
      <c r="E93" s="157"/>
      <c r="F93" s="157"/>
      <c r="G93" s="157"/>
      <c r="H93" s="157"/>
      <c r="I93" s="157"/>
      <c r="J93" s="157"/>
      <c r="K93" s="157"/>
      <c r="L93" s="157"/>
      <c r="M93" s="157"/>
      <c r="N93" s="157"/>
    </row>
  </sheetData>
  <sheetProtection formatCells="0" formatColumns="0" formatRows="0" insertColumns="0" insertRows="0" insertHyperlinks="0" deleteColumns="0" deleteRows="0" sort="0" autoFilter="0" pivotTables="0"/>
  <pageMargins left="0.7" right="0.7" top="0.75" bottom="0.75" header="0.3" footer="0.3"/>
  <pageSetup scale="54" fitToWidth="0" orientation="portrait" r:id="rId1"/>
  <ignoredErrors>
    <ignoredError sqref="F32 F33:F3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E56"/>
  <sheetViews>
    <sheetView workbookViewId="0">
      <selection activeCell="E26" sqref="E26"/>
    </sheetView>
  </sheetViews>
  <sheetFormatPr defaultRowHeight="15"/>
  <cols>
    <col min="2" max="2" width="31.28515625" customWidth="1"/>
    <col min="3" max="3" width="15" customWidth="1"/>
    <col min="4" max="4" width="22.7109375" customWidth="1"/>
    <col min="5" max="7" width="17" customWidth="1"/>
    <col min="8" max="8" width="16.42578125" customWidth="1"/>
    <col min="9" max="9" width="14.140625" customWidth="1"/>
    <col min="10" max="10" width="15.28515625" customWidth="1"/>
    <col min="11" max="12" width="14.140625" customWidth="1"/>
    <col min="14" max="14" width="12.7109375" bestFit="1" customWidth="1"/>
    <col min="15" max="15" width="10.28515625" bestFit="1" customWidth="1"/>
  </cols>
  <sheetData>
    <row r="2" spans="2:15" ht="18.75">
      <c r="B2" s="164" t="s">
        <v>110</v>
      </c>
      <c r="C2" s="157"/>
      <c r="D2" s="157"/>
      <c r="E2" s="157"/>
      <c r="F2" s="157"/>
      <c r="G2" s="157"/>
      <c r="H2" s="157"/>
      <c r="I2" s="157"/>
      <c r="J2" s="157"/>
      <c r="K2" s="157"/>
      <c r="L2" s="157"/>
      <c r="M2" s="157"/>
      <c r="N2" s="157"/>
      <c r="O2" s="157"/>
    </row>
    <row r="4" spans="2:15">
      <c r="B4" s="3" t="s">
        <v>66</v>
      </c>
      <c r="C4" s="4"/>
      <c r="D4" s="4"/>
      <c r="E4" s="5" t="s">
        <v>4</v>
      </c>
      <c r="F4" s="6" t="s">
        <v>5</v>
      </c>
      <c r="G4" s="157"/>
      <c r="H4" s="157"/>
      <c r="I4" s="157"/>
      <c r="J4" s="157"/>
      <c r="K4" s="157"/>
      <c r="L4" s="157"/>
      <c r="M4" s="157"/>
      <c r="N4" s="157"/>
      <c r="O4" s="157"/>
    </row>
    <row r="5" spans="2:15" s="157" customFormat="1">
      <c r="B5" s="158" t="s">
        <v>111</v>
      </c>
      <c r="C5" s="124"/>
      <c r="D5" s="124"/>
      <c r="E5" s="159">
        <f>Inputs!F9</f>
        <v>45689</v>
      </c>
      <c r="F5" s="160">
        <f>Inputs!G9</f>
        <v>45870</v>
      </c>
    </row>
    <row r="6" spans="2:15">
      <c r="B6" s="7" t="s">
        <v>69</v>
      </c>
      <c r="C6" s="157"/>
      <c r="D6" s="157"/>
      <c r="E6" s="14">
        <f>MAX(0,VLOOKUP(EOMONTH(Inputs!$F$10,-1)+1,Inputs!$B$68:$I$103,5,FALSE)+VLOOKUP(EOMONTH(Inputs!$F$10,-1)+1,Inputs!$B$68:$I$103,6,FALSE)+VLOOKUP(EOMONTH(Inputs!$F$10,-1)+1,Inputs!$B$68:$I$103,7,FALSE)-VLOOKUP(EOMONTH(Inputs!$F$9,-1)+1,Inputs!$B$68:$I$103,5,FALSE)-VLOOKUP(EOMONTH(Inputs!$F$9,-1)+1,Inputs!$B$68:$I$103,6,FALSE)-VLOOKUP(EOMONTH(Inputs!$F$9,-1)+1,Inputs!$B$68:$I$103,7,FALSE))</f>
        <v>7688534</v>
      </c>
      <c r="F6" s="31">
        <f>MAX(0,VLOOKUP(EOMONTH(Inputs!$G$10,-1)+1,Inputs!$B$68:$H$103,5,FALSE)+VLOOKUP(EOMONTH(Inputs!$G$10,-1)+1,Inputs!$B$68:$H$103,6,FALSE)+VLOOKUP(EOMONTH(Inputs!$G$10,-1)+1,Inputs!$B$68:$H$103,7,FALSE)-VLOOKUP(EOMONTH(Inputs!$G$9,-1)+1,Inputs!$B$68:$H$103,5,FALSE)-VLOOKUP(EOMONTH(Inputs!$G$9,-1)+1,Inputs!$B$68:$H$103,6,FALSE)-VLOOKUP(EOMONTH(Inputs!$G$9,-1)+1,Inputs!$B$68:$H$103,7,FALSE))</f>
        <v>7853261</v>
      </c>
      <c r="G6" s="118"/>
      <c r="H6" s="157"/>
      <c r="I6" s="157"/>
      <c r="J6" s="157"/>
      <c r="K6" s="157"/>
      <c r="L6" s="157"/>
      <c r="M6" s="157"/>
      <c r="N6" s="157"/>
      <c r="O6" s="157"/>
    </row>
    <row r="7" spans="2:15">
      <c r="B7" s="7" t="s">
        <v>70</v>
      </c>
      <c r="C7" s="157"/>
      <c r="D7" s="157"/>
      <c r="E7" s="32">
        <f>VLOOKUP(EOMONTH(Inputs!$F$10,-1)+1,Inputs!$B$68:$H$103,5,FALSE)*Inputs!$C$66*DAYS360(Inputs!F$10,Inputs!F$9)/360+VLOOKUP(EOMONTH(Inputs!$F$10,-1)+1,Inputs!$B$68:$H$103,6,FALSE)*Inputs!$D$66*DAYS360(Inputs!F$10,Inputs!F$9)/360+VLOOKUP(EOMONTH(Inputs!$F$10,-1)+1,Inputs!$B$68:$H$103,7,FALSE)*Inputs!$E$66*DAYS360(Inputs!F$10,Inputs!F$9)/360</f>
        <v>17768912.827874999</v>
      </c>
      <c r="F7" s="33">
        <f>VLOOKUP(EOMONTH(Inputs!$G$10,-1)+1,Inputs!$B$68:$H$103,5,FALSE)*Inputs!$C$66*DAYS360(Inputs!G$10,Inputs!G$9)/360+VLOOKUP(EOMONTH(Inputs!$G$10,-1)+1,Inputs!$B$68:$H$103,6,FALSE)*Inputs!$D$66*DAYS360(Inputs!G$10,Inputs!G$9)/360+VLOOKUP(EOMONTH(Inputs!$G$10,-1)+1,Inputs!$B$68:$H$103,7,FALSE)*Inputs!$E$66*DAYS360(Inputs!G$10,Inputs!G$9)/360</f>
        <v>17604185.986924998</v>
      </c>
      <c r="G7" s="118"/>
      <c r="H7" s="157"/>
      <c r="I7" s="157"/>
      <c r="J7" s="157"/>
      <c r="K7" s="157"/>
      <c r="L7" s="157"/>
      <c r="M7" s="157"/>
      <c r="N7" s="157"/>
      <c r="O7" s="157"/>
    </row>
    <row r="8" spans="2:15">
      <c r="B8" s="7" t="s">
        <v>71</v>
      </c>
      <c r="C8" s="157"/>
      <c r="D8" s="157"/>
      <c r="E8" s="32">
        <f>E22</f>
        <v>390413.5</v>
      </c>
      <c r="F8" s="33">
        <f>F22</f>
        <v>390413.5</v>
      </c>
      <c r="G8" s="157"/>
      <c r="H8" s="157"/>
      <c r="I8" s="157"/>
      <c r="J8" s="157"/>
      <c r="K8" s="157"/>
      <c r="L8" s="157"/>
      <c r="M8" s="157"/>
      <c r="N8" s="157"/>
      <c r="O8" s="157"/>
    </row>
    <row r="9" spans="2:15">
      <c r="B9" s="16" t="s">
        <v>72</v>
      </c>
      <c r="C9" s="17"/>
      <c r="D9" s="17"/>
      <c r="E9" s="297">
        <f>SUM(E6:E8)</f>
        <v>25847860.327874999</v>
      </c>
      <c r="F9" s="297">
        <f>SUM(F6:F8)</f>
        <v>25847860.486924998</v>
      </c>
      <c r="G9" s="34"/>
      <c r="H9" s="32"/>
      <c r="I9" s="14"/>
      <c r="J9" s="157"/>
      <c r="K9" s="157"/>
      <c r="L9" s="157"/>
      <c r="M9" s="157"/>
      <c r="N9" s="157"/>
      <c r="O9" s="157"/>
    </row>
    <row r="10" spans="2:15">
      <c r="B10" s="157"/>
      <c r="C10" s="157"/>
      <c r="D10" s="157"/>
      <c r="E10" s="19"/>
      <c r="F10" s="19"/>
      <c r="G10" s="157"/>
      <c r="H10" s="157"/>
      <c r="I10" s="157"/>
      <c r="J10" s="157"/>
      <c r="K10" s="157"/>
      <c r="L10" s="157"/>
      <c r="M10" s="157"/>
      <c r="N10" s="157"/>
      <c r="O10" s="157"/>
    </row>
    <row r="11" spans="2:15" ht="15" customHeight="1">
      <c r="B11" s="2"/>
      <c r="C11" s="157"/>
      <c r="D11" s="157"/>
      <c r="E11" s="157"/>
      <c r="F11" s="157"/>
      <c r="G11" s="157"/>
      <c r="H11" s="157"/>
      <c r="I11" s="14"/>
      <c r="J11" s="157"/>
      <c r="K11" s="157"/>
      <c r="L11" s="157"/>
      <c r="M11" s="157"/>
      <c r="N11" s="157"/>
      <c r="O11" s="19"/>
    </row>
    <row r="12" spans="2:15">
      <c r="B12" s="3" t="s">
        <v>28</v>
      </c>
      <c r="C12" s="12"/>
      <c r="D12" s="12"/>
      <c r="E12" s="5" t="s">
        <v>4</v>
      </c>
      <c r="F12" s="6" t="s">
        <v>5</v>
      </c>
      <c r="G12" s="162"/>
      <c r="H12" s="118"/>
      <c r="I12" s="157"/>
      <c r="J12" s="157"/>
      <c r="K12" s="157"/>
      <c r="L12" s="157"/>
      <c r="M12" s="157"/>
      <c r="N12" s="157"/>
      <c r="O12" s="157"/>
    </row>
    <row r="13" spans="2:15">
      <c r="B13" s="7" t="s">
        <v>30</v>
      </c>
      <c r="C13" s="157"/>
      <c r="D13" s="157"/>
      <c r="E13" s="32">
        <f>Inputs!$E29*DAYS360(IF(Inputs!F$10=Inputs!$B$68,Inputs!F$10,(EOMONTH(Inputs!F$10,-1)+1)),EOMONTH(Inputs!F$9,-1)+1)/360</f>
        <v>190413.5</v>
      </c>
      <c r="F13" s="33">
        <f>Inputs!$E29*DAYS360(IF(Inputs!G$10=Inputs!$B$68,Inputs!G$10,(EOMONTH(Inputs!G$10,-1)+1)),EOMONTH(Inputs!G$9,-1)+1)/360</f>
        <v>190413.5</v>
      </c>
      <c r="G13" s="157"/>
      <c r="H13" s="157"/>
      <c r="I13" s="157"/>
      <c r="J13" s="157"/>
      <c r="K13" s="157"/>
      <c r="L13" s="157"/>
      <c r="M13" s="157"/>
      <c r="N13" s="157"/>
      <c r="O13" s="157"/>
    </row>
    <row r="14" spans="2:15">
      <c r="B14" s="7" t="s">
        <v>31</v>
      </c>
      <c r="C14" s="157"/>
      <c r="D14" s="157"/>
      <c r="E14" s="257">
        <f>Inputs!$E30*DAYS360(IF(Inputs!F$10=Inputs!$B$68,Inputs!F$10,(EOMONTH(Inputs!F$10,-1)+1)),EOMONTH(Inputs!F$9,-1)+1)/360</f>
        <v>56353.375</v>
      </c>
      <c r="F14" s="258">
        <f>Inputs!$E30*DAYS360(IF(Inputs!G$10=Inputs!$B$68,Inputs!G$10,(EOMONTH(Inputs!G$10,-1)+1)),EOMONTH(Inputs!G$9,-1)+1)/360</f>
        <v>56353.375</v>
      </c>
      <c r="G14" s="157"/>
      <c r="H14" s="157"/>
      <c r="I14" s="157"/>
      <c r="J14" s="157"/>
      <c r="K14" s="157"/>
      <c r="L14" s="157"/>
      <c r="M14" s="157"/>
      <c r="N14" s="157"/>
      <c r="O14" s="157"/>
    </row>
    <row r="15" spans="2:15" s="157" customFormat="1">
      <c r="B15" s="7" t="s">
        <v>32</v>
      </c>
      <c r="E15" s="257">
        <f>Inputs!$E31*DAYS360(IF(Inputs!F$10=Inputs!$B$68,Inputs!F$10,(EOMONTH(Inputs!F$10,-1)+1)),EOMONTH(Inputs!F$9,-1)+1)/360</f>
        <v>52500</v>
      </c>
      <c r="F15" s="258">
        <f>Inputs!$E31*DAYS360(IF(Inputs!G$10=Inputs!$B$68,Inputs!G$10,(EOMONTH(Inputs!G$10,-1)+1)),EOMONTH(Inputs!G$9,-1)+1)/360</f>
        <v>52500</v>
      </c>
    </row>
    <row r="16" spans="2:15">
      <c r="B16" s="7" t="s">
        <v>33</v>
      </c>
      <c r="C16" s="157"/>
      <c r="D16" s="157"/>
      <c r="E16" s="257">
        <f>Inputs!$E32*DAYS360(IF(Inputs!F$10=Inputs!$B$68,Inputs!F$10,(EOMONTH(Inputs!F$10,-1)+1)),EOMONTH(Inputs!F$9,-1)+1)/360</f>
        <v>37500</v>
      </c>
      <c r="F16" s="258">
        <f>Inputs!$E32*DAYS360(IF(Inputs!G$10=Inputs!$B$68,Inputs!G$10,(EOMONTH(Inputs!G$10,-1)+1)),EOMONTH(Inputs!G$9,-1)+1)/360</f>
        <v>37500</v>
      </c>
      <c r="G16" s="157"/>
      <c r="H16" s="157"/>
      <c r="I16" s="157"/>
      <c r="J16" s="157"/>
      <c r="K16" s="157"/>
      <c r="L16" s="157"/>
      <c r="M16" s="157"/>
      <c r="N16" s="157"/>
      <c r="O16" s="157"/>
    </row>
    <row r="17" spans="2:17">
      <c r="B17" s="7" t="s">
        <v>34</v>
      </c>
      <c r="C17" s="157"/>
      <c r="D17" s="157"/>
      <c r="E17" s="257">
        <f>Inputs!$E33*DAYS360(IF(Inputs!F$10=Inputs!$B$68,Inputs!F$10,(EOMONTH(Inputs!F$10,-1)+1)),EOMONTH(Inputs!F$9,-1)+1)/360</f>
        <v>3750</v>
      </c>
      <c r="F17" s="258">
        <f>Inputs!$E33*DAYS360(IF(Inputs!G$10=Inputs!$B$68,Inputs!G$10,(EOMONTH(Inputs!G$10,-1)+1)),EOMONTH(Inputs!G$9,-1)+1)/360</f>
        <v>3750</v>
      </c>
      <c r="G17" s="157"/>
      <c r="H17" s="157"/>
      <c r="I17" s="157"/>
      <c r="J17" s="157"/>
      <c r="K17" s="157"/>
      <c r="L17" s="157"/>
      <c r="M17" s="157"/>
      <c r="N17" s="157"/>
      <c r="O17" s="157"/>
      <c r="P17" s="157"/>
      <c r="Q17" s="157"/>
    </row>
    <row r="18" spans="2:17">
      <c r="B18" s="7" t="s">
        <v>35</v>
      </c>
      <c r="C18" s="157"/>
      <c r="D18" s="157"/>
      <c r="E18" s="32">
        <f>Inputs!$E34*DAYS360(IF(Inputs!F$10=Inputs!$B$68,Inputs!F$10,(EOMONTH(Inputs!F$10,-1)+1)),EOMONTH(Inputs!F$9,-1)+1)/360</f>
        <v>2500</v>
      </c>
      <c r="F18" s="33">
        <f>Inputs!$E34*DAYS360(IF(Inputs!G$10=Inputs!$B$68,Inputs!G$10,(EOMONTH(Inputs!G$10,-1)+1)),EOMONTH(Inputs!G$9,-1)+1)/360</f>
        <v>2500</v>
      </c>
      <c r="G18" s="157"/>
      <c r="H18" s="157"/>
      <c r="I18" s="157"/>
      <c r="J18" s="157"/>
      <c r="K18" s="157"/>
      <c r="L18" s="157"/>
      <c r="M18" s="157"/>
      <c r="N18" s="157"/>
      <c r="O18" s="157"/>
      <c r="P18" s="157"/>
      <c r="Q18" s="157"/>
    </row>
    <row r="19" spans="2:17">
      <c r="B19" s="7" t="s">
        <v>36</v>
      </c>
      <c r="C19" s="157"/>
      <c r="D19" s="157"/>
      <c r="E19" s="257">
        <f>Inputs!$E35*DAYS360(IF(Inputs!F$10=Inputs!$B$68,Inputs!F$10,(EOMONTH(Inputs!F$10,-1)+1)),EOMONTH(Inputs!F$9,-1)+1)/360</f>
        <v>15000</v>
      </c>
      <c r="F19" s="258">
        <f>Inputs!$E35*DAYS360(IF(Inputs!G$10=Inputs!$B$68,Inputs!G$10,(EOMONTH(Inputs!G$10,-1)+1)),EOMONTH(Inputs!G$9,-1)+1)/360</f>
        <v>15000</v>
      </c>
      <c r="G19" s="157"/>
      <c r="H19" s="157"/>
      <c r="I19" s="157"/>
      <c r="J19" s="157"/>
      <c r="K19" s="157"/>
      <c r="L19" s="157"/>
      <c r="M19" s="157"/>
      <c r="N19" s="157"/>
      <c r="O19" s="157"/>
      <c r="P19" s="157"/>
      <c r="Q19" s="157"/>
    </row>
    <row r="20" spans="2:17">
      <c r="B20" s="7" t="s">
        <v>37</v>
      </c>
      <c r="C20" s="157"/>
      <c r="D20" s="157"/>
      <c r="E20" s="257">
        <f>Inputs!$E36*DAYS360(IF(Inputs!F$10=Inputs!$B$68,Inputs!F$10,(EOMONTH(Inputs!F$10,-1)+1)),EOMONTH(Inputs!F$9,-1)+1)/360</f>
        <v>2000</v>
      </c>
      <c r="F20" s="258">
        <f>Inputs!$E36*DAYS360(IF(Inputs!G$10=Inputs!$B$68,Inputs!G$10,(EOMONTH(Inputs!G$10,-1)+1)),EOMONTH(Inputs!G$9,-1)+1)/360</f>
        <v>2000</v>
      </c>
      <c r="G20" s="157"/>
      <c r="H20" s="157"/>
      <c r="I20" s="157"/>
      <c r="J20" s="157"/>
      <c r="K20" s="157"/>
      <c r="L20" s="157"/>
      <c r="M20" s="157"/>
      <c r="N20" s="157"/>
      <c r="O20" s="157"/>
      <c r="P20" s="157"/>
      <c r="Q20" s="157"/>
    </row>
    <row r="21" spans="2:17">
      <c r="B21" s="7" t="s">
        <v>38</v>
      </c>
      <c r="C21" s="157"/>
      <c r="D21" s="157"/>
      <c r="E21" s="32">
        <f>Inputs!$E37*DAYS360(IF(Inputs!F$10=Inputs!$B$68,Inputs!F$10,(EOMONTH(Inputs!F$10,-1)+1)),EOMONTH(Inputs!F$9,-1)+1)/360</f>
        <v>30396.625</v>
      </c>
      <c r="F21" s="33">
        <f>Inputs!$E37*DAYS360(IF(Inputs!G$10=Inputs!$B$68,Inputs!G$10,(EOMONTH(Inputs!G$10,-1)+1)),EOMONTH(Inputs!G$9,-1)+1)/360</f>
        <v>30396.625</v>
      </c>
      <c r="G21" s="157"/>
      <c r="H21" s="157"/>
      <c r="I21" s="157"/>
      <c r="J21" s="157"/>
      <c r="K21" s="157"/>
      <c r="L21" s="157"/>
      <c r="M21" s="157"/>
      <c r="N21" s="157"/>
      <c r="O21" s="157"/>
      <c r="P21" s="157"/>
      <c r="Q21" s="157"/>
    </row>
    <row r="22" spans="2:17">
      <c r="B22" s="16" t="s">
        <v>27</v>
      </c>
      <c r="C22" s="17"/>
      <c r="D22" s="17"/>
      <c r="E22" s="297">
        <f>SUM(E13:E21)</f>
        <v>390413.5</v>
      </c>
      <c r="F22" s="298">
        <f>SUM(F13:F21)</f>
        <v>390413.5</v>
      </c>
      <c r="G22" s="157"/>
      <c r="H22" s="157"/>
      <c r="I22" s="157"/>
      <c r="J22" s="157"/>
      <c r="K22" s="157"/>
      <c r="L22" s="157"/>
      <c r="M22" s="157"/>
      <c r="N22" s="157"/>
      <c r="O22" s="157"/>
      <c r="P22" s="157"/>
      <c r="Q22" s="157"/>
    </row>
    <row r="23" spans="2:17" s="157" customFormat="1" ht="15.75" thickBot="1">
      <c r="E23" s="14"/>
      <c r="F23" s="14"/>
    </row>
    <row r="24" spans="2:17" s="157" customFormat="1">
      <c r="E24" s="14"/>
      <c r="F24" s="14"/>
      <c r="G24" s="38"/>
      <c r="H24" s="343" t="s">
        <v>112</v>
      </c>
      <c r="I24" s="39"/>
      <c r="J24" s="39"/>
      <c r="K24" s="39"/>
      <c r="L24" s="40"/>
    </row>
    <row r="25" spans="2:17">
      <c r="B25" s="101" t="s">
        <v>113</v>
      </c>
      <c r="C25" s="102"/>
      <c r="D25" s="102"/>
      <c r="E25" s="299"/>
      <c r="F25" s="299"/>
      <c r="G25" s="41"/>
      <c r="H25" s="344" t="s">
        <v>114</v>
      </c>
      <c r="I25" s="345" t="s">
        <v>115</v>
      </c>
      <c r="J25" s="344" t="s">
        <v>116</v>
      </c>
      <c r="K25" s="345" t="s">
        <v>117</v>
      </c>
      <c r="L25" s="346" t="s">
        <v>118</v>
      </c>
      <c r="M25" s="157"/>
      <c r="N25" s="375" t="s">
        <v>119</v>
      </c>
      <c r="O25" s="376" t="s">
        <v>120</v>
      </c>
      <c r="P25" s="35"/>
      <c r="Q25" s="157"/>
    </row>
    <row r="26" spans="2:17">
      <c r="B26" s="105" t="str">
        <f>"Excess collections / (under collections) after previous pmt on "&amp;TEXT('Aug. 1, 2024 Payment Date'!E13,"mmm d, yyyy")</f>
        <v>Excess collections / (under collections) after previous pmt on Aug 1, 2024</v>
      </c>
      <c r="C26" s="104"/>
      <c r="D26" s="104"/>
      <c r="E26" s="300">
        <f>'Aug. 1, 2024 Payment Date'!E34+Inputs!M72</f>
        <v>3128204.2323500067</v>
      </c>
      <c r="F26" s="340">
        <f>E26</f>
        <v>3128204.2323500067</v>
      </c>
      <c r="G26" s="41"/>
      <c r="H26" s="347">
        <f>'Aug. 1, 2024 Payment Date'!C77-'Aug. 1, 2024 Payment Date'!C80</f>
        <v>38922.688844085962</v>
      </c>
      <c r="I26" s="347">
        <f>'Aug. 1, 2024 Payment Date'!D77-'Aug. 1, 2024 Payment Date'!D80</f>
        <v>298682.78316476662</v>
      </c>
      <c r="J26" s="347">
        <f>'Aug. 1, 2024 Payment Date'!E77-'Aug. 1, 2024 Payment Date'!E80</f>
        <v>77255.175427354174</v>
      </c>
      <c r="K26" s="347">
        <f>'Aug. 1, 2024 Payment Date'!F77-'Aug. 1, 2024 Payment Date'!F80</f>
        <v>52053.699046041933</v>
      </c>
      <c r="L26" s="348">
        <f>'Aug. 1, 2024 Payment Date'!G77-'Aug. 1, 2024 Payment Date'!G80</f>
        <v>2661289.8735177517</v>
      </c>
      <c r="M26" s="35"/>
      <c r="N26" s="377">
        <f>SUM(H26:L26)</f>
        <v>3128204.22</v>
      </c>
      <c r="O26" s="377">
        <f>N26-'Aug. 1, 2024 Payment Date'!E34</f>
        <v>-1.2350006494671106E-2</v>
      </c>
      <c r="P26" s="35"/>
      <c r="Q26" s="157"/>
    </row>
    <row r="27" spans="2:17">
      <c r="B27" s="106"/>
      <c r="C27" s="2"/>
      <c r="D27" s="2"/>
      <c r="E27" s="114"/>
      <c r="F27" s="341"/>
      <c r="G27" s="41"/>
      <c r="H27" s="349"/>
      <c r="I27" s="71"/>
      <c r="J27" s="349"/>
      <c r="K27" s="349"/>
      <c r="L27" s="350"/>
      <c r="M27" s="35"/>
      <c r="N27" s="377"/>
      <c r="O27" s="375"/>
      <c r="P27" s="35"/>
      <c r="Q27" s="157"/>
    </row>
    <row r="28" spans="2:17">
      <c r="B28" s="116" t="s">
        <v>121</v>
      </c>
      <c r="C28" s="117"/>
      <c r="D28" s="117"/>
      <c r="E28" s="115">
        <f>E26-E27</f>
        <v>3128204.2323500067</v>
      </c>
      <c r="F28" s="115">
        <f>F26-F27</f>
        <v>3128204.2323500067</v>
      </c>
      <c r="G28" s="41"/>
      <c r="H28" s="71"/>
      <c r="I28" s="71"/>
      <c r="J28" s="349"/>
      <c r="K28" s="349"/>
      <c r="L28" s="350"/>
      <c r="M28" s="35"/>
      <c r="N28" s="377"/>
      <c r="O28" s="375"/>
      <c r="P28" s="35"/>
      <c r="Q28" s="157"/>
    </row>
    <row r="29" spans="2:17">
      <c r="B29" s="107" t="s">
        <v>83</v>
      </c>
      <c r="C29" s="108"/>
      <c r="D29" s="108"/>
      <c r="E29" s="301">
        <f>E9-E28</f>
        <v>22719656.095524993</v>
      </c>
      <c r="F29" s="342">
        <f>F9-F28</f>
        <v>22719656.254574992</v>
      </c>
      <c r="G29" s="351" t="s">
        <v>4</v>
      </c>
      <c r="H29" s="352">
        <f>$E$9*C$35-H$26</f>
        <v>480619.30374620151</v>
      </c>
      <c r="I29" s="352">
        <f t="shared" ref="I29:K29" si="0">$E$9*D$35-I$26</f>
        <v>2043133.3625407084</v>
      </c>
      <c r="J29" s="352">
        <f t="shared" si="0"/>
        <v>974752.73991715838</v>
      </c>
      <c r="K29" s="352">
        <f t="shared" si="0"/>
        <v>252951.05282288307</v>
      </c>
      <c r="L29" s="353">
        <f>$E$9*G$35-L$26</f>
        <v>18968199.648848049</v>
      </c>
      <c r="M29" s="35"/>
      <c r="N29" s="377">
        <f t="shared" ref="N29:N30" si="1">SUM(H29:L29)</f>
        <v>22719656.107875001</v>
      </c>
      <c r="O29" s="377">
        <f>N29-F29</f>
        <v>-0.14669999107718468</v>
      </c>
      <c r="P29" s="35"/>
      <c r="Q29" s="161"/>
    </row>
    <row r="30" spans="2:17" ht="15.75" thickBot="1">
      <c r="B30" s="157"/>
      <c r="C30" s="157"/>
      <c r="D30" s="157"/>
      <c r="E30" s="19"/>
      <c r="F30" s="19"/>
      <c r="G30" s="354" t="s">
        <v>5</v>
      </c>
      <c r="H30" s="355">
        <f>$F$9*C$35-H$26</f>
        <v>480619.30694310652</v>
      </c>
      <c r="I30" s="355">
        <f t="shared" ref="I30:L30" si="2">$F$9*D$35-I$26</f>
        <v>2043133.3769506384</v>
      </c>
      <c r="J30" s="355">
        <f t="shared" si="2"/>
        <v>974752.74639049335</v>
      </c>
      <c r="K30" s="355">
        <f t="shared" si="2"/>
        <v>252951.05469967303</v>
      </c>
      <c r="L30" s="356">
        <f t="shared" si="2"/>
        <v>18968199.781941086</v>
      </c>
      <c r="M30" s="35"/>
      <c r="N30" s="377">
        <f t="shared" si="1"/>
        <v>22719656.266924996</v>
      </c>
      <c r="O30" s="375"/>
      <c r="P30" s="35"/>
      <c r="Q30" s="161"/>
    </row>
    <row r="31" spans="2:17">
      <c r="B31" s="2"/>
      <c r="C31" s="157"/>
      <c r="D31" s="157"/>
      <c r="E31" s="157"/>
      <c r="F31" s="157"/>
      <c r="G31" s="157"/>
      <c r="H31" s="157"/>
      <c r="I31" s="157"/>
      <c r="J31" s="157"/>
      <c r="K31" s="157"/>
      <c r="L31" s="157"/>
      <c r="M31" s="157"/>
      <c r="N31" s="376"/>
      <c r="O31" s="376"/>
      <c r="P31" s="157"/>
      <c r="Q31" s="157"/>
    </row>
    <row r="32" spans="2:17" ht="29.25" customHeight="1">
      <c r="B32" s="302" t="s">
        <v>122</v>
      </c>
      <c r="C32" s="22" t="str">
        <f>Inputs!C41</f>
        <v>SL 1 (Blocks)</v>
      </c>
      <c r="D32" s="22" t="str">
        <f>Inputs!D41</f>
        <v>SL 2 (Blocks)</v>
      </c>
      <c r="E32" s="22" t="str">
        <f>Inputs!E41</f>
        <v>SL 3 (KWH)</v>
      </c>
      <c r="F32" s="22" t="str">
        <f>Inputs!F41</f>
        <v>SL 4 (KWH)</v>
      </c>
      <c r="G32" s="22" t="str">
        <f>Inputs!G41</f>
        <v>SL 5 (KWH)</v>
      </c>
      <c r="H32" s="22" t="s">
        <v>27</v>
      </c>
      <c r="I32" s="157"/>
      <c r="J32" s="330"/>
      <c r="K32" s="157"/>
      <c r="L32" s="157"/>
      <c r="M32" s="157"/>
      <c r="N32" s="378"/>
      <c r="O32" s="378"/>
      <c r="P32" s="157"/>
      <c r="Q32" s="157"/>
    </row>
    <row r="33" spans="1:31">
      <c r="A33" s="157"/>
      <c r="B33" s="7" t="s">
        <v>4</v>
      </c>
      <c r="C33" s="296">
        <f>SUM(Inputs!C$46:C$51)-Inputs!C51/4+Inputs!C45/4</f>
        <v>2154.5353999999998</v>
      </c>
      <c r="D33" s="296">
        <f>SUM(Inputs!D$46:D$51)-Inputs!D51/4+Inputs!D45/4</f>
        <v>9137.1479799999997</v>
      </c>
      <c r="E33" s="296">
        <f>SUM(Inputs!E$46:E$51)-Inputs!E51/4+Inputs!E45/4</f>
        <v>1027437435.5</v>
      </c>
      <c r="F33" s="296">
        <f>SUM(Inputs!F$46:F$51)-Inputs!F51/4+Inputs!F45/4</f>
        <v>213415399.25</v>
      </c>
      <c r="G33" s="306">
        <f>SUM(Inputs!G$46:G$51)-Inputs!G51/4+Inputs!G45/4</f>
        <v>7909163318.9651175</v>
      </c>
      <c r="H33" s="306">
        <f>SUM(E33:G33)</f>
        <v>9150016153.7151184</v>
      </c>
      <c r="I33" s="157"/>
      <c r="J33" s="336"/>
      <c r="K33" s="133"/>
      <c r="L33" s="157"/>
      <c r="M33" s="157"/>
      <c r="N33" s="157"/>
      <c r="O33" s="157"/>
      <c r="P33" s="157"/>
      <c r="Q33" s="157"/>
      <c r="R33" s="157"/>
      <c r="S33" s="157"/>
      <c r="T33" s="157"/>
      <c r="U33" s="157"/>
      <c r="V33" s="157"/>
      <c r="W33" s="157"/>
      <c r="X33" s="157"/>
      <c r="Y33" s="157"/>
      <c r="Z33" s="157"/>
      <c r="AA33" s="157"/>
      <c r="AB33" s="157"/>
      <c r="AC33" s="157"/>
      <c r="AD33" s="157"/>
      <c r="AE33" s="157"/>
    </row>
    <row r="34" spans="1:31">
      <c r="A34" s="157"/>
      <c r="B34" s="7" t="s">
        <v>5</v>
      </c>
      <c r="C34" s="296">
        <f>SUM(Inputs!C$52:C$57)-Inputs!C57/4+Inputs!C51/4</f>
        <v>2154.7853999999998</v>
      </c>
      <c r="D34" s="296">
        <f>SUM(Inputs!D$52:D$57)-Inputs!D57/4+Inputs!D51/4</f>
        <v>9137.6479799999997</v>
      </c>
      <c r="E34" s="296">
        <f>SUM(Inputs!E$52:E$57)-Inputs!E57/4+Inputs!E51/4</f>
        <v>1113400775.5</v>
      </c>
      <c r="F34" s="296">
        <f>SUM(Inputs!F$52:F$57)-Inputs!F57/4+Inputs!F51/4</f>
        <v>237838034.75</v>
      </c>
      <c r="G34" s="306">
        <f>SUM(Inputs!G$52:G$57)-Inputs!G57/4+Inputs!G51/4</f>
        <v>8949096274.4118481</v>
      </c>
      <c r="H34" s="306">
        <f>SUM(E34:G34)</f>
        <v>10300335084.661848</v>
      </c>
      <c r="I34" s="157"/>
      <c r="J34" s="157"/>
      <c r="K34" s="21"/>
      <c r="L34" s="14"/>
      <c r="M34" s="157"/>
      <c r="N34" s="157"/>
      <c r="O34" s="157"/>
      <c r="P34" s="157"/>
      <c r="Q34" s="157"/>
      <c r="R34" s="157"/>
      <c r="S34" s="157"/>
      <c r="T34" s="157"/>
      <c r="U34" s="157"/>
      <c r="V34" s="157"/>
      <c r="W34" s="157"/>
      <c r="X34" s="157"/>
      <c r="Y34" s="157"/>
      <c r="Z34" s="157"/>
      <c r="AA34" s="157"/>
      <c r="AB34" s="157"/>
      <c r="AC34" s="157"/>
      <c r="AD34" s="157"/>
      <c r="AE34" s="157"/>
    </row>
    <row r="35" spans="1:31">
      <c r="A35" s="157"/>
      <c r="B35" s="7" t="s">
        <v>88</v>
      </c>
      <c r="C35" s="216">
        <f>Inputs!C60</f>
        <v>2.01E-2</v>
      </c>
      <c r="D35" s="216">
        <f>Inputs!D60</f>
        <v>9.06E-2</v>
      </c>
      <c r="E35" s="216">
        <f>Inputs!E60</f>
        <v>4.07E-2</v>
      </c>
      <c r="F35" s="216">
        <f>Inputs!F60</f>
        <v>1.18E-2</v>
      </c>
      <c r="G35" s="307">
        <f>Inputs!G60</f>
        <v>0.83679999999999999</v>
      </c>
      <c r="H35" s="307">
        <f>SUM(C35:G35)</f>
        <v>1</v>
      </c>
      <c r="I35" s="157"/>
      <c r="J35" s="118"/>
      <c r="K35" s="157"/>
      <c r="L35" s="14"/>
      <c r="M35" s="157"/>
      <c r="N35" s="157"/>
      <c r="O35" s="157"/>
      <c r="P35" s="157"/>
      <c r="Q35" s="157"/>
      <c r="R35" s="157"/>
      <c r="S35" s="157"/>
      <c r="T35" s="157"/>
      <c r="U35" s="157"/>
      <c r="V35" s="157"/>
      <c r="W35" s="157"/>
      <c r="X35" s="157"/>
      <c r="Y35" s="157"/>
      <c r="Z35" s="157"/>
      <c r="AA35" s="157"/>
      <c r="AB35" s="157"/>
      <c r="AC35" s="157"/>
      <c r="AD35" s="157"/>
      <c r="AE35" s="157"/>
    </row>
    <row r="36" spans="1:31">
      <c r="A36" s="157"/>
      <c r="B36" s="7" t="s">
        <v>123</v>
      </c>
      <c r="C36" s="167">
        <f>MAX(0,ROUNDUP(H29/(C33),2))</f>
        <v>223.07999999999998</v>
      </c>
      <c r="D36" s="167">
        <f t="shared" ref="D36" si="3">MAX(0,ROUNDUP(I29/(D33),2))</f>
        <v>223.60999999999999</v>
      </c>
      <c r="E36" s="402">
        <f t="shared" ref="E36:G37" si="4">MAX(0,ROUNDUP(J29/(E33),8))</f>
        <v>9.4873000000000006E-4</v>
      </c>
      <c r="F36" s="402">
        <f t="shared" si="4"/>
        <v>1.18526E-3</v>
      </c>
      <c r="G36" s="401">
        <f>MAX(0,ROUNDUP(L29/(G33),8))</f>
        <v>2.3982600000000001E-3</v>
      </c>
      <c r="H36" s="308"/>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row>
    <row r="37" spans="1:31">
      <c r="A37" s="157"/>
      <c r="B37" s="7" t="s">
        <v>124</v>
      </c>
      <c r="C37" s="317">
        <f>MAX(0,ROUNDUP(H30/(C34),2))</f>
        <v>223.04999999999998</v>
      </c>
      <c r="D37" s="317">
        <f t="shared" ref="D37" si="5">MAX(0,ROUNDUP(I30/(D34),2))</f>
        <v>223.6</v>
      </c>
      <c r="E37" s="403">
        <f t="shared" si="4"/>
        <v>8.7548000000000009E-4</v>
      </c>
      <c r="F37" s="403">
        <f t="shared" si="4"/>
        <v>1.0635499999999999E-3</v>
      </c>
      <c r="G37" s="404">
        <f t="shared" si="4"/>
        <v>2.1195699999999999E-3</v>
      </c>
      <c r="H37" s="309"/>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row>
    <row r="38" spans="1:31">
      <c r="A38" s="157"/>
      <c r="B38" s="10" t="s">
        <v>125</v>
      </c>
      <c r="C38" s="310">
        <f>MAX(C36,C37)</f>
        <v>223.07999999999998</v>
      </c>
      <c r="D38" s="311">
        <f>MAX(D36,D37)</f>
        <v>223.60999999999999</v>
      </c>
      <c r="E38" s="398">
        <f>MAX(E36,E37)</f>
        <v>9.4873000000000006E-4</v>
      </c>
      <c r="F38" s="398">
        <f>MAX(F36,F37)</f>
        <v>1.18526E-3</v>
      </c>
      <c r="G38" s="399">
        <f>MAX(G36,G37)</f>
        <v>2.3982600000000001E-3</v>
      </c>
      <c r="H38" s="319"/>
      <c r="I38" s="161"/>
      <c r="J38" s="157"/>
      <c r="K38" s="157"/>
      <c r="L38" s="157"/>
      <c r="M38" s="157"/>
      <c r="N38" s="157"/>
      <c r="O38" s="157"/>
      <c r="P38" s="157"/>
      <c r="Q38" s="157"/>
      <c r="R38" s="157"/>
      <c r="S38" s="157"/>
      <c r="T38" s="157"/>
      <c r="U38" s="157"/>
      <c r="V38" s="157"/>
      <c r="W38" s="157"/>
      <c r="X38" s="157"/>
      <c r="Y38" s="157"/>
      <c r="Z38" s="157"/>
      <c r="AA38" s="157"/>
      <c r="AB38" s="157"/>
      <c r="AC38" s="157"/>
      <c r="AD38" s="157"/>
      <c r="AE38" s="157"/>
    </row>
    <row r="39" spans="1:31">
      <c r="A39" s="157"/>
      <c r="B39" s="10" t="s">
        <v>126</v>
      </c>
      <c r="C39" s="431">
        <v>219.29</v>
      </c>
      <c r="D39" s="432">
        <v>241.79</v>
      </c>
      <c r="E39" s="433">
        <v>7.1456000000000004E-4</v>
      </c>
      <c r="F39" s="433">
        <v>1.1172699999999999E-3</v>
      </c>
      <c r="G39" s="434">
        <v>2.0263099999999999E-3</v>
      </c>
      <c r="H39" s="319"/>
      <c r="I39" s="161"/>
      <c r="J39" s="157"/>
      <c r="K39" s="157"/>
      <c r="L39" s="157"/>
      <c r="M39" s="157"/>
      <c r="N39" s="157"/>
      <c r="O39" s="157"/>
      <c r="P39" s="157"/>
      <c r="Q39" s="157"/>
      <c r="R39" s="157"/>
      <c r="S39" s="157"/>
      <c r="T39" s="157"/>
      <c r="U39" s="157"/>
      <c r="V39" s="157"/>
      <c r="W39" s="157"/>
      <c r="X39" s="157"/>
      <c r="Y39" s="157"/>
      <c r="Z39" s="157"/>
      <c r="AA39" s="157"/>
      <c r="AB39" s="157"/>
      <c r="AC39" s="157"/>
      <c r="AD39" s="157"/>
      <c r="AE39" s="157"/>
    </row>
    <row r="40" spans="1:31">
      <c r="A40" s="157"/>
      <c r="B40" s="36" t="s">
        <v>103</v>
      </c>
      <c r="C40" s="292">
        <f>SUM(C33:C34)</f>
        <v>4309.3207999999995</v>
      </c>
      <c r="D40" s="292">
        <f t="shared" ref="D40:G40" si="6">SUM(D33:D34)</f>
        <v>18274.795959999999</v>
      </c>
      <c r="E40" s="292">
        <f t="shared" si="6"/>
        <v>2140838211</v>
      </c>
      <c r="F40" s="292">
        <f t="shared" si="6"/>
        <v>451253434</v>
      </c>
      <c r="G40" s="293">
        <f t="shared" si="6"/>
        <v>16858259593.376965</v>
      </c>
      <c r="H40" s="293">
        <f>SUM(C40:G40)</f>
        <v>19450373822.493725</v>
      </c>
      <c r="I40" s="157"/>
      <c r="J40" s="157" t="s">
        <v>127</v>
      </c>
      <c r="K40" s="157"/>
      <c r="L40" s="157"/>
      <c r="M40" s="157"/>
      <c r="N40" s="157"/>
      <c r="O40" s="157"/>
      <c r="P40" s="157"/>
      <c r="Q40" s="157"/>
      <c r="R40" s="157"/>
      <c r="S40" s="157"/>
      <c r="T40" s="157"/>
      <c r="U40" s="157"/>
      <c r="V40" s="157"/>
      <c r="W40" s="157"/>
      <c r="X40" s="157"/>
      <c r="Y40" s="157"/>
      <c r="Z40" s="157"/>
      <c r="AA40" s="157"/>
      <c r="AB40" s="157"/>
      <c r="AC40" s="157"/>
      <c r="AD40" s="157"/>
      <c r="AE40" s="157"/>
    </row>
    <row r="41" spans="1:31">
      <c r="A41" s="157"/>
      <c r="B41" s="37" t="s">
        <v>90</v>
      </c>
      <c r="C41" s="312">
        <f>ROUNDUP(SUMPRODUCT(E38:G38,E40:G40)/SUM(E40:G40),3)</f>
        <v>3.0000000000000001E-3</v>
      </c>
      <c r="D41" s="25"/>
      <c r="E41" s="25"/>
      <c r="F41" s="25"/>
      <c r="G41" s="25"/>
      <c r="H41" s="25"/>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row>
    <row r="42" spans="1:31" ht="15.75" thickBot="1">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row>
    <row r="43" spans="1:31">
      <c r="A43" s="38"/>
      <c r="B43" s="39"/>
      <c r="C43" s="39"/>
      <c r="D43" s="39"/>
      <c r="E43" s="39"/>
      <c r="F43" s="39"/>
      <c r="G43" s="39"/>
      <c r="H43" s="40"/>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row>
    <row r="44" spans="1:31">
      <c r="A44" s="41"/>
      <c r="B44" s="2" t="s">
        <v>128</v>
      </c>
      <c r="C44" s="157"/>
      <c r="D44" s="157"/>
      <c r="E44" s="157"/>
      <c r="F44" s="157"/>
      <c r="G44" s="157"/>
      <c r="H44" s="42"/>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row>
    <row r="45" spans="1:31">
      <c r="A45" s="41"/>
      <c r="B45" s="24"/>
      <c r="C45" s="43" t="str">
        <f t="shared" ref="C45:G45" si="7">C32</f>
        <v>SL 1 (Blocks)</v>
      </c>
      <c r="D45" s="43" t="str">
        <f t="shared" si="7"/>
        <v>SL 2 (Blocks)</v>
      </c>
      <c r="E45" s="43" t="str">
        <f t="shared" si="7"/>
        <v>SL 3 (KWH)</v>
      </c>
      <c r="F45" s="43" t="str">
        <f t="shared" si="7"/>
        <v>SL 4 (KWH)</v>
      </c>
      <c r="G45" s="22" t="str">
        <f t="shared" si="7"/>
        <v>SL 5 (KWH)</v>
      </c>
      <c r="H45" s="42"/>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row>
    <row r="46" spans="1:31">
      <c r="A46" s="41"/>
      <c r="B46" s="238" t="s">
        <v>129</v>
      </c>
      <c r="C46" s="318">
        <f t="shared" ref="C46:G46" si="8">C38</f>
        <v>223.07999999999998</v>
      </c>
      <c r="D46" s="318">
        <f t="shared" si="8"/>
        <v>223.60999999999999</v>
      </c>
      <c r="E46" s="405">
        <f t="shared" si="8"/>
        <v>9.4873000000000006E-4</v>
      </c>
      <c r="F46" s="405">
        <f t="shared" si="8"/>
        <v>1.18526E-3</v>
      </c>
      <c r="G46" s="400">
        <f t="shared" si="8"/>
        <v>2.3982600000000001E-3</v>
      </c>
      <c r="H46" s="42"/>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row>
    <row r="47" spans="1:31" ht="15.75" thickBot="1">
      <c r="A47" s="44"/>
      <c r="B47" s="45"/>
      <c r="C47" s="45"/>
      <c r="D47" s="45"/>
      <c r="E47" s="45"/>
      <c r="F47" s="45"/>
      <c r="G47" s="45"/>
      <c r="H47" s="46"/>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row>
    <row r="49" spans="2:8">
      <c r="B49" s="385" t="s">
        <v>130</v>
      </c>
      <c r="C49" s="118"/>
      <c r="D49" s="118"/>
      <c r="E49" s="118"/>
      <c r="F49" s="157"/>
      <c r="G49" s="157"/>
      <c r="H49" s="157"/>
    </row>
    <row r="50" spans="2:8">
      <c r="B50" s="118" t="s">
        <v>131</v>
      </c>
      <c r="C50" s="118">
        <f>0.30364/100</f>
        <v>3.0364000000000003E-3</v>
      </c>
      <c r="D50" s="418">
        <f>C50*1100</f>
        <v>3.3400400000000001</v>
      </c>
      <c r="E50" s="118"/>
      <c r="F50" s="157"/>
      <c r="G50" s="157"/>
      <c r="H50" s="157"/>
    </row>
    <row r="51" spans="2:8">
      <c r="B51" s="118" t="s">
        <v>132</v>
      </c>
      <c r="C51" s="118">
        <v>2.61349E-3</v>
      </c>
      <c r="D51" s="384">
        <f>C51*1100</f>
        <v>2.8748390000000001</v>
      </c>
      <c r="E51" s="384">
        <f>D51-D50</f>
        <v>-0.46520099999999998</v>
      </c>
      <c r="F51" s="157"/>
      <c r="G51" s="157"/>
      <c r="H51" s="157"/>
    </row>
    <row r="52" spans="2:8">
      <c r="B52" s="118" t="s">
        <v>133</v>
      </c>
      <c r="C52" s="406">
        <v>2.4246599999999999E-3</v>
      </c>
      <c r="D52" s="418">
        <v>2.6671260000000001</v>
      </c>
      <c r="E52" s="384">
        <v>-0.20771300000000001</v>
      </c>
      <c r="F52" s="430"/>
      <c r="G52" s="157"/>
      <c r="H52" s="157"/>
    </row>
    <row r="53" spans="2:8" s="157" customFormat="1">
      <c r="B53" s="118" t="s">
        <v>134</v>
      </c>
      <c r="C53" s="406">
        <f>G39</f>
        <v>2.0263099999999999E-3</v>
      </c>
      <c r="D53" s="384">
        <f>C53*1100</f>
        <v>2.2289409999999998</v>
      </c>
      <c r="E53" s="384">
        <f>D53-D52</f>
        <v>-0.43818500000000027</v>
      </c>
      <c r="F53" s="430"/>
    </row>
    <row r="54" spans="2:8">
      <c r="B54" s="118" t="s">
        <v>135</v>
      </c>
      <c r="C54" s="406">
        <f>G38</f>
        <v>2.3982600000000001E-3</v>
      </c>
      <c r="D54" s="384">
        <f>C54*1100</f>
        <v>2.6380860000000004</v>
      </c>
      <c r="E54" s="384">
        <f>D54-D53</f>
        <v>0.40914500000000054</v>
      </c>
      <c r="F54" s="157"/>
      <c r="G54" s="157"/>
      <c r="H54" s="157"/>
    </row>
    <row r="55" spans="2:8">
      <c r="B55" s="157"/>
      <c r="C55" s="157"/>
      <c r="D55" s="157"/>
      <c r="E55" s="14"/>
      <c r="F55" s="157"/>
      <c r="G55" s="157"/>
      <c r="H55" s="157"/>
    </row>
    <row r="56" spans="2:8">
      <c r="B56" s="157"/>
      <c r="C56" s="157"/>
      <c r="D56" s="157"/>
      <c r="E56" s="419"/>
      <c r="F56" s="157"/>
      <c r="G56" s="157"/>
      <c r="H56" s="157"/>
    </row>
  </sheetData>
  <sheetProtection formatCells="0" formatColumns="0" formatRows="0" insertColumns="0" insertRows="0" insertHyperlinks="0" deleteColumns="0" deleteRows="0" sort="0" autoFilter="0" pivotTables="0"/>
  <phoneticPr fontId="14" type="noConversion"/>
  <pageMargins left="0.7" right="0.7" top="0.75" bottom="0.75" header="0.3" footer="0.3"/>
  <pageSetup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446F-2D5C-4AEE-8F91-1472F5A2C14C}">
  <dimension ref="A28:I66"/>
  <sheetViews>
    <sheetView topLeftCell="A31" workbookViewId="0">
      <selection activeCell="C50" sqref="C50"/>
    </sheetView>
  </sheetViews>
  <sheetFormatPr defaultRowHeight="15"/>
  <cols>
    <col min="2" max="2" width="39.7109375" bestFit="1" customWidth="1"/>
    <col min="3" max="3" width="15.140625" bestFit="1" customWidth="1"/>
    <col min="4" max="4" width="11.7109375" customWidth="1"/>
    <col min="5" max="5" width="11.85546875" bestFit="1" customWidth="1"/>
    <col min="6" max="6" width="5.7109375" customWidth="1"/>
    <col min="7" max="7" width="10.5703125" bestFit="1" customWidth="1"/>
    <col min="8" max="8" width="14.28515625" bestFit="1" customWidth="1"/>
    <col min="9" max="9" width="14" bestFit="1" customWidth="1"/>
  </cols>
  <sheetData>
    <row r="28" spans="6:6">
      <c r="F28" s="412"/>
    </row>
    <row r="29" spans="6:6">
      <c r="F29" s="412"/>
    </row>
    <row r="30" spans="6:6">
      <c r="F30" s="412"/>
    </row>
    <row r="31" spans="6:6">
      <c r="F31" s="412"/>
    </row>
    <row r="46" spans="2:8">
      <c r="B46" s="381" t="s">
        <v>136</v>
      </c>
      <c r="C46" s="157"/>
      <c r="D46" s="157"/>
      <c r="E46" s="157"/>
      <c r="F46" s="157"/>
      <c r="G46" s="157"/>
      <c r="H46" s="157"/>
    </row>
    <row r="47" spans="2:8">
      <c r="B47" s="157"/>
      <c r="C47" s="157"/>
      <c r="D47" s="410"/>
      <c r="E47" s="157"/>
      <c r="F47" s="157"/>
      <c r="G47" s="157"/>
      <c r="H47" s="157"/>
    </row>
    <row r="48" spans="2:8">
      <c r="B48" s="157" t="s">
        <v>137</v>
      </c>
      <c r="C48" s="420">
        <v>23056181.379999999</v>
      </c>
      <c r="D48" s="411"/>
      <c r="E48" s="21"/>
      <c r="F48" s="157"/>
      <c r="G48" s="157"/>
      <c r="H48" s="412"/>
    </row>
    <row r="49" spans="1:9">
      <c r="A49" s="157"/>
      <c r="B49" s="157" t="s">
        <v>138</v>
      </c>
      <c r="C49" s="420">
        <v>1358376.13</v>
      </c>
      <c r="D49" s="411"/>
      <c r="E49" s="21"/>
      <c r="F49" s="157"/>
      <c r="G49" s="157"/>
      <c r="H49" s="412"/>
      <c r="I49" s="157"/>
    </row>
    <row r="50" spans="1:9">
      <c r="A50" s="157"/>
      <c r="B50" s="157" t="s">
        <v>26</v>
      </c>
      <c r="C50" s="420">
        <v>3190070.44</v>
      </c>
      <c r="D50" s="411"/>
      <c r="E50" s="21"/>
      <c r="F50" s="415"/>
      <c r="G50" s="415"/>
      <c r="H50" s="421"/>
      <c r="I50" s="415"/>
    </row>
    <row r="51" spans="1:9">
      <c r="A51" s="157"/>
      <c r="B51" s="157" t="s">
        <v>139</v>
      </c>
      <c r="C51" s="420">
        <v>211955.31</v>
      </c>
      <c r="D51" s="411"/>
      <c r="E51" s="21"/>
      <c r="F51" s="157"/>
      <c r="G51" s="157"/>
      <c r="H51" s="412"/>
      <c r="I51" s="157"/>
    </row>
    <row r="52" spans="1:9">
      <c r="A52" s="409"/>
      <c r="B52" s="157" t="s">
        <v>140</v>
      </c>
      <c r="C52" s="420">
        <v>12.09</v>
      </c>
      <c r="D52" s="411"/>
      <c r="E52" s="21"/>
      <c r="F52" s="157"/>
      <c r="G52" s="157"/>
      <c r="H52" s="412"/>
      <c r="I52" s="157"/>
    </row>
    <row r="53" spans="1:9">
      <c r="A53" s="157"/>
      <c r="B53" s="157" t="s">
        <v>141</v>
      </c>
      <c r="C53" s="420">
        <v>1260000</v>
      </c>
      <c r="D53" s="411"/>
      <c r="E53" s="21"/>
      <c r="F53" s="157"/>
      <c r="G53" s="157"/>
      <c r="H53" s="412"/>
      <c r="I53" s="157"/>
    </row>
    <row r="54" spans="1:9" s="157" customFormat="1">
      <c r="B54" s="157" t="s">
        <v>142</v>
      </c>
      <c r="C54" s="477">
        <v>4151592.47</v>
      </c>
      <c r="E54" s="157" t="s">
        <v>143</v>
      </c>
      <c r="G54" s="21"/>
      <c r="H54" s="412"/>
      <c r="I54" s="328"/>
    </row>
    <row r="56" spans="1:9">
      <c r="A56" s="157"/>
      <c r="B56" s="157" t="s">
        <v>144</v>
      </c>
      <c r="C56" s="119">
        <f>SUM(C48:C54)</f>
        <v>33228187.819999997</v>
      </c>
      <c r="D56" s="157" t="s">
        <v>145</v>
      </c>
      <c r="E56" s="157"/>
      <c r="F56" s="157"/>
      <c r="G56" s="157"/>
      <c r="H56" s="412"/>
      <c r="I56" s="157"/>
    </row>
    <row r="57" spans="1:9">
      <c r="A57" s="157"/>
      <c r="B57" s="157" t="s">
        <v>146</v>
      </c>
      <c r="C57" s="382">
        <f>-C54</f>
        <v>-4151592.47</v>
      </c>
      <c r="D57" s="157" t="s">
        <v>147</v>
      </c>
      <c r="E57" s="157"/>
      <c r="F57" s="157"/>
      <c r="G57" s="157"/>
      <c r="H57" s="328"/>
      <c r="I57" s="157"/>
    </row>
    <row r="58" spans="1:9">
      <c r="A58" s="157"/>
      <c r="B58" s="157"/>
      <c r="C58" s="157"/>
      <c r="D58" s="157"/>
      <c r="E58" s="157"/>
      <c r="F58" s="157"/>
      <c r="G58" s="157"/>
      <c r="H58" s="422"/>
      <c r="I58" s="157"/>
    </row>
    <row r="59" spans="1:9">
      <c r="A59" s="157"/>
      <c r="B59" s="157" t="s">
        <v>148</v>
      </c>
      <c r="C59" s="21">
        <f>C56+C57</f>
        <v>29076595.349999998</v>
      </c>
      <c r="D59" s="157" t="s">
        <v>149</v>
      </c>
      <c r="E59" s="157"/>
      <c r="F59" s="157"/>
      <c r="G59" s="157"/>
      <c r="H59" s="423"/>
      <c r="I59" s="157"/>
    </row>
    <row r="60" spans="1:9">
      <c r="A60" s="157"/>
      <c r="B60" s="157"/>
      <c r="C60" s="157"/>
      <c r="D60" s="157"/>
      <c r="E60" s="157"/>
      <c r="F60" s="157"/>
      <c r="G60" s="157"/>
      <c r="H60" s="424"/>
      <c r="I60" s="157"/>
    </row>
    <row r="61" spans="1:9">
      <c r="A61" s="157"/>
      <c r="B61" s="157" t="s">
        <v>150</v>
      </c>
      <c r="C61" s="420">
        <f>7527263+17930184.44</f>
        <v>25457447.440000001</v>
      </c>
      <c r="D61" s="157" t="s">
        <v>151</v>
      </c>
      <c r="E61" s="157"/>
      <c r="F61" s="157"/>
      <c r="G61" s="157"/>
      <c r="H61" s="425"/>
      <c r="I61" s="157"/>
    </row>
    <row r="62" spans="1:9">
      <c r="A62" s="157"/>
      <c r="B62" s="157" t="s">
        <v>152</v>
      </c>
      <c r="C62" s="477">
        <f>330943.68+160000</f>
        <v>490943.68</v>
      </c>
      <c r="D62" s="157" t="s">
        <v>153</v>
      </c>
      <c r="E62" s="157"/>
      <c r="F62" s="157"/>
      <c r="G62" s="157"/>
      <c r="H62" s="425"/>
      <c r="I62" s="157"/>
    </row>
    <row r="63" spans="1:9">
      <c r="A63" s="157"/>
      <c r="B63" s="157"/>
      <c r="C63" s="119"/>
      <c r="D63" s="157"/>
      <c r="E63" s="157"/>
      <c r="F63" s="157"/>
      <c r="G63" s="157"/>
      <c r="H63" s="425"/>
      <c r="I63" s="157"/>
    </row>
    <row r="64" spans="1:9">
      <c r="A64" s="157"/>
      <c r="B64" s="157" t="s">
        <v>154</v>
      </c>
      <c r="C64" s="119">
        <f>C61+C62</f>
        <v>25948391.120000001</v>
      </c>
      <c r="D64" s="157" t="s">
        <v>149</v>
      </c>
      <c r="E64" s="157"/>
      <c r="F64" s="157"/>
      <c r="G64" s="157"/>
      <c r="H64" s="426"/>
      <c r="I64" s="157"/>
    </row>
    <row r="66" spans="2:8">
      <c r="B66" s="157" t="s">
        <v>155</v>
      </c>
      <c r="C66" s="21">
        <f>C59-C64</f>
        <v>3128204.2299999967</v>
      </c>
      <c r="D66" s="157" t="s">
        <v>153</v>
      </c>
      <c r="E66" s="157"/>
      <c r="F66" s="157"/>
      <c r="G66" s="157"/>
      <c r="H66" s="21"/>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DB434-BCE0-413F-A80E-8D965D7B4C35}">
  <sheetPr codeName="Sheet8">
    <pageSetUpPr fitToPage="1"/>
  </sheetPr>
  <dimension ref="B1:AQ136"/>
  <sheetViews>
    <sheetView workbookViewId="0">
      <selection activeCell="N8" sqref="N8"/>
    </sheetView>
  </sheetViews>
  <sheetFormatPr defaultColWidth="9.140625" defaultRowHeight="11.25" outlineLevelCol="1"/>
  <cols>
    <col min="1" max="1" width="9.140625" style="48"/>
    <col min="2" max="2" width="14.5703125" style="48" hidden="1" customWidth="1" outlineLevel="1"/>
    <col min="3" max="3" width="11.5703125" style="48" hidden="1" customWidth="1" outlineLevel="1"/>
    <col min="4" max="4" width="9.140625" style="48" collapsed="1"/>
    <col min="5" max="5" width="9.5703125" style="48" customWidth="1"/>
    <col min="6" max="6" width="12.140625" style="48" customWidth="1"/>
    <col min="7" max="8" width="13.140625" style="48" customWidth="1"/>
    <col min="9" max="9" width="13" style="48" bestFit="1" customWidth="1"/>
    <col min="10" max="10" width="11.5703125" style="48" customWidth="1"/>
    <col min="11" max="11" width="13.28515625" style="48" customWidth="1"/>
    <col min="12" max="12" width="14.140625" style="48" customWidth="1"/>
    <col min="13" max="14" width="11.5703125" style="48" customWidth="1"/>
    <col min="15" max="15" width="14.85546875" style="48" customWidth="1"/>
    <col min="16" max="16" width="14" style="48" customWidth="1"/>
    <col min="17" max="17" width="12.7109375" style="48" bestFit="1" customWidth="1"/>
    <col min="18" max="18" width="8" style="50" customWidth="1"/>
    <col min="19" max="19" width="2.5703125" style="141" customWidth="1"/>
    <col min="20" max="20" width="9.5703125" style="48" customWidth="1"/>
    <col min="21" max="22" width="11.140625" style="48" customWidth="1"/>
    <col min="23" max="23" width="11.5703125" style="48" bestFit="1" customWidth="1"/>
    <col min="24" max="26" width="11.5703125" style="48" customWidth="1"/>
    <col min="27" max="27" width="13.7109375" style="48" customWidth="1"/>
    <col min="28" max="28" width="13.5703125" style="48" bestFit="1" customWidth="1"/>
    <col min="29" max="30" width="11.5703125" style="48" customWidth="1"/>
    <col min="31" max="31" width="9.140625" style="48"/>
    <col min="32" max="32" width="9.5703125" style="48" customWidth="1"/>
    <col min="33" max="34" width="11.140625" style="48" customWidth="1"/>
    <col min="35" max="35" width="11.5703125" style="48" bestFit="1" customWidth="1"/>
    <col min="36" max="38" width="11.5703125" style="48" customWidth="1"/>
    <col min="39" max="40" width="12.7109375" style="48" customWidth="1"/>
    <col min="41" max="42" width="11.5703125" style="48" customWidth="1"/>
    <col min="43" max="16384" width="9.140625" style="48"/>
  </cols>
  <sheetData>
    <row r="1" spans="2:34">
      <c r="E1" s="148"/>
    </row>
    <row r="2" spans="2:34" ht="18.75">
      <c r="B2" s="164" t="s">
        <v>156</v>
      </c>
      <c r="C2" s="144"/>
      <c r="E2" s="149"/>
      <c r="X2" s="61"/>
    </row>
    <row r="3" spans="2:34">
      <c r="E3" s="149"/>
    </row>
    <row r="4" spans="2:34">
      <c r="E4" s="47" t="s">
        <v>157</v>
      </c>
      <c r="G4" s="49">
        <f>Inputs!C64+Inputs!D64+Inputs!E64</f>
        <v>755689628</v>
      </c>
    </row>
    <row r="5" spans="2:34" ht="16.5" thickBot="1">
      <c r="E5" s="498" t="s">
        <v>158</v>
      </c>
      <c r="F5" s="498"/>
      <c r="G5" s="498"/>
      <c r="H5" s="498"/>
      <c r="I5" s="498"/>
      <c r="J5" s="498"/>
      <c r="K5" s="498"/>
      <c r="L5" s="498"/>
      <c r="M5" s="498"/>
      <c r="N5" s="498"/>
      <c r="O5" s="498"/>
      <c r="P5" s="495"/>
      <c r="Q5" s="495"/>
    </row>
    <row r="6" spans="2:34" ht="24" customHeight="1" thickBot="1">
      <c r="E6" s="51" t="s">
        <v>159</v>
      </c>
      <c r="F6" s="52"/>
      <c r="G6" s="52"/>
      <c r="H6" s="52"/>
      <c r="I6" s="52"/>
      <c r="J6" s="52"/>
      <c r="K6" s="52"/>
      <c r="L6" s="52"/>
      <c r="M6" s="52"/>
      <c r="N6" s="52"/>
      <c r="O6" s="499" t="s">
        <v>160</v>
      </c>
      <c r="P6" s="500"/>
      <c r="Q6" s="53" t="s">
        <v>161</v>
      </c>
      <c r="R6" s="48"/>
      <c r="S6" s="139"/>
    </row>
    <row r="7" spans="2:34" s="55" customFormat="1" ht="34.5" thickBot="1">
      <c r="E7" s="313" t="s">
        <v>162</v>
      </c>
      <c r="F7" s="314" t="s">
        <v>40</v>
      </c>
      <c r="G7" s="314" t="s">
        <v>163</v>
      </c>
      <c r="H7" s="314" t="s">
        <v>164</v>
      </c>
      <c r="I7" s="314" t="s">
        <v>165</v>
      </c>
      <c r="J7" s="314" t="s">
        <v>166</v>
      </c>
      <c r="K7" s="314" t="s">
        <v>30</v>
      </c>
      <c r="L7" s="314" t="s">
        <v>167</v>
      </c>
      <c r="M7" s="314" t="s">
        <v>168</v>
      </c>
      <c r="N7" s="314" t="s">
        <v>169</v>
      </c>
      <c r="O7" s="314" t="s">
        <v>170</v>
      </c>
      <c r="P7" s="314" t="s">
        <v>171</v>
      </c>
      <c r="Q7" s="315" t="s">
        <v>24</v>
      </c>
      <c r="S7" s="142"/>
    </row>
    <row r="8" spans="2:34">
      <c r="E8" s="56">
        <f>IF(G8=1,SUM(G$8:G8),0)</f>
        <v>0</v>
      </c>
      <c r="F8" s="358">
        <f>Inputs!F10</f>
        <v>45505</v>
      </c>
      <c r="G8" s="48">
        <f>IF(OR(F8=Inputs!$F$9,F8=Inputs!$G$9),1,0)</f>
        <v>0</v>
      </c>
      <c r="H8" s="143">
        <f>L79</f>
        <v>4174560.3484837413</v>
      </c>
      <c r="I8" s="58">
        <f>$G$4</f>
        <v>755689628</v>
      </c>
      <c r="J8" s="61" t="str">
        <f ca="1">IF($G8=0," ",OFFSET('WES Charge True-up Calculation'!$E$22,0,$E8-1)-K8)</f>
        <v xml:space="preserve"> </v>
      </c>
      <c r="K8" s="58" t="str">
        <f ca="1">IF($G8=0," ",OFFSET('WES Charge True-up Calculation'!$E$13,0,$E8-1))</f>
        <v xml:space="preserve"> </v>
      </c>
      <c r="L8" s="58" t="str">
        <f ca="1">IF($G8=0," ",OFFSET('WES Charge True-up Calculation'!$E$7,0,$E8-1))</f>
        <v xml:space="preserve"> </v>
      </c>
      <c r="M8" s="58" t="str">
        <f ca="1">IF($G8=0," ",OFFSET('WES Charge True-up Calculation'!$E$6,0,$E8-1))</f>
        <v xml:space="preserve"> </v>
      </c>
      <c r="N8" s="58">
        <f>I8</f>
        <v>755689628</v>
      </c>
      <c r="O8" s="60">
        <f>MAX('Aug. 1, 2024 Payment Date'!E34,0)</f>
        <v>3128204.2323500067</v>
      </c>
      <c r="P8" s="60">
        <f ca="1">SUM($H$8:H8)+$O$8-(SUM($J$8:J8)+SUM($K$8:K8)+SUM($L$8:L8)+SUM($M$8:M8))</f>
        <v>7302764.580833748</v>
      </c>
      <c r="Q8" s="60">
        <f>3855116.49</f>
        <v>3855116.49</v>
      </c>
      <c r="R8" s="48"/>
      <c r="S8" s="139"/>
    </row>
    <row r="9" spans="2:34">
      <c r="E9" s="56">
        <f>IF(G9=1,SUM(G$8:G9),0)</f>
        <v>0</v>
      </c>
      <c r="F9" s="57">
        <f>EOMONTH(EDATE(F8,1),-1)+1</f>
        <v>45536</v>
      </c>
      <c r="G9" s="48">
        <f>IF(OR(F10=Inputs!$F$9,F10=Inputs!$G$9),1,0)</f>
        <v>0</v>
      </c>
      <c r="H9" s="143">
        <f>L80</f>
        <v>4098061.2485798886</v>
      </c>
      <c r="I9" s="58">
        <f t="shared" ref="I9:I20" ca="1" si="0">IF(G9=0,I8,I8-M9)</f>
        <v>755689628</v>
      </c>
      <c r="J9" s="59" t="str">
        <f ca="1">IF($G9=0," ",OFFSET('WES Charge True-up Calculation'!$E$22,0,$E9-1)-K9)</f>
        <v xml:space="preserve"> </v>
      </c>
      <c r="K9" s="58" t="str">
        <f ca="1">IF($G9=0," ",OFFSET('WES Charge True-up Calculation'!$E$13,0,$E9-1))</f>
        <v xml:space="preserve"> </v>
      </c>
      <c r="L9" s="58" t="str">
        <f ca="1">IF($G9=0," ",OFFSET('WES Charge True-up Calculation'!$E$7,0,$E9-1))</f>
        <v xml:space="preserve"> </v>
      </c>
      <c r="M9" s="58" t="str">
        <f ca="1">IF($G9=0," ",OFFSET('WES Charge True-up Calculation'!$E$6,0,$E9-1))</f>
        <v xml:space="preserve"> </v>
      </c>
      <c r="N9" s="58" t="str">
        <f t="shared" ref="N9:N20" ca="1" si="1">IFERROR(I8-M9," ")</f>
        <v xml:space="preserve"> </v>
      </c>
      <c r="O9" s="60">
        <f t="shared" ref="O9:O20" ca="1" si="2">P8</f>
        <v>7302764.580833748</v>
      </c>
      <c r="P9" s="60">
        <f ca="1">SUM($H$8:H9)+$O$8-(SUM($J$8:J9)+SUM($K$8:K9)+SUM($L$8:L9)+SUM($M$8:M9))</f>
        <v>11400825.829413638</v>
      </c>
      <c r="Q9" s="60">
        <f t="shared" ref="Q9:Q20" ca="1" si="3">MAX(0,Q8+IF(P9&lt;0,P9,0))</f>
        <v>3855116.49</v>
      </c>
      <c r="R9" s="48"/>
      <c r="S9" s="139"/>
    </row>
    <row r="10" spans="2:34">
      <c r="E10" s="56">
        <f>IF(G10=1,SUM(G$8:G10),0)</f>
        <v>0</v>
      </c>
      <c r="F10" s="57">
        <f>EDATE(F9,1)</f>
        <v>45566</v>
      </c>
      <c r="G10" s="48">
        <f>IF(OR(F11=Inputs!$F$9,F11=Inputs!$G$9),1,0)</f>
        <v>0</v>
      </c>
      <c r="H10" s="143">
        <f>L81</f>
        <v>3594677.3630573475</v>
      </c>
      <c r="I10" s="58">
        <f t="shared" ca="1" si="0"/>
        <v>755689628</v>
      </c>
      <c r="J10" s="59" t="str">
        <f ca="1">IF($G10=0," ",OFFSET('WES Charge True-up Calculation'!$E$22,0,$E10-1)-K10)</f>
        <v xml:space="preserve"> </v>
      </c>
      <c r="K10" s="58" t="str">
        <f ca="1">IF($G10=0," ",OFFSET('WES Charge True-up Calculation'!$E$13,0,$E10-1))</f>
        <v xml:space="preserve"> </v>
      </c>
      <c r="L10" s="58" t="str">
        <f ca="1">IF($G10=0," ",OFFSET('WES Charge True-up Calculation'!$E$7,0,$E10-1))</f>
        <v xml:space="preserve"> </v>
      </c>
      <c r="M10" s="58" t="str">
        <f ca="1">IF($G10=0," ",OFFSET('WES Charge True-up Calculation'!$E$6,0,$E10-1))</f>
        <v xml:space="preserve"> </v>
      </c>
      <c r="N10" s="58" t="str">
        <f t="shared" ca="1" si="1"/>
        <v xml:space="preserve"> </v>
      </c>
      <c r="O10" s="60">
        <f t="shared" ca="1" si="2"/>
        <v>11400825.829413638</v>
      </c>
      <c r="P10" s="60">
        <f ca="1">SUM($H$8:H10)+$O$8-(SUM($J$8:J10)+SUM($K$8:K10)+SUM($L$8:L10)+SUM($M$8:M10))</f>
        <v>14995503.192470985</v>
      </c>
      <c r="Q10" s="60">
        <f t="shared" ca="1" si="3"/>
        <v>3855116.49</v>
      </c>
      <c r="R10" s="48"/>
      <c r="S10" s="139"/>
    </row>
    <row r="11" spans="2:34">
      <c r="E11" s="56">
        <f>IF(G11=1,SUM(G$8:G11),0)</f>
        <v>0</v>
      </c>
      <c r="F11" s="57">
        <f>EDATE(F10,1)</f>
        <v>45597</v>
      </c>
      <c r="G11" s="48">
        <f>IF(OR(F12=Inputs!$F$9,F12=Inputs!$G$9),1,0)</f>
        <v>0</v>
      </c>
      <c r="H11" s="143">
        <f t="shared" ref="H11:H20" si="4">L82</f>
        <v>3329998.7051465395</v>
      </c>
      <c r="I11" s="58">
        <f t="shared" ca="1" si="0"/>
        <v>755689628</v>
      </c>
      <c r="J11" s="59" t="str">
        <f ca="1">IF($G11=0," ",OFFSET('WES Charge True-up Calculation'!$E$22,0,$E11-1)-K11)</f>
        <v xml:space="preserve"> </v>
      </c>
      <c r="K11" s="58" t="str">
        <f ca="1">IF($G11=0," ",OFFSET('WES Charge True-up Calculation'!$E$13,0,$E11-1))</f>
        <v xml:space="preserve"> </v>
      </c>
      <c r="L11" s="58" t="str">
        <f ca="1">IF($G11=0," ",OFFSET('WES Charge True-up Calculation'!$E$7,0,$E11-1))</f>
        <v xml:space="preserve"> </v>
      </c>
      <c r="M11" s="58" t="str">
        <f ca="1">IF($G11=0," ",OFFSET('WES Charge True-up Calculation'!$E$6,0,$E11-1))</f>
        <v xml:space="preserve"> </v>
      </c>
      <c r="N11" s="58" t="str">
        <f t="shared" ca="1" si="1"/>
        <v xml:space="preserve"> </v>
      </c>
      <c r="O11" s="60">
        <f t="shared" ca="1" si="2"/>
        <v>14995503.192470985</v>
      </c>
      <c r="P11" s="60">
        <f ca="1">SUM($H$8:H11)+$O$8-(SUM($J$8:J11)+SUM($K$8:K11)+SUM($L$8:L11)+SUM($M$8:M11))</f>
        <v>18325501.897617526</v>
      </c>
      <c r="Q11" s="60">
        <f t="shared" ca="1" si="3"/>
        <v>3855116.49</v>
      </c>
      <c r="R11" s="48"/>
      <c r="S11" s="139"/>
    </row>
    <row r="12" spans="2:34">
      <c r="E12" s="56">
        <f>IF(G12=1,SUM(G$8:G12),0)</f>
        <v>0</v>
      </c>
      <c r="F12" s="57">
        <f t="shared" ref="F12:F20" si="5">EDATE(F11,1)</f>
        <v>45627</v>
      </c>
      <c r="G12" s="48">
        <f>IF(OR(F13=Inputs!$F$9,F13=Inputs!$G$9),1,0)</f>
        <v>0</v>
      </c>
      <c r="H12" s="143">
        <f t="shared" si="4"/>
        <v>3784489.9246632978</v>
      </c>
      <c r="I12" s="58">
        <f t="shared" ca="1" si="0"/>
        <v>755689628</v>
      </c>
      <c r="J12" s="59" t="str">
        <f ca="1">IF($G12=0," ",OFFSET('WES Charge True-up Calculation'!$E$22,0,$E12-1)-K12)</f>
        <v xml:space="preserve"> </v>
      </c>
      <c r="K12" s="58" t="str">
        <f ca="1">IF($G12=0," ",OFFSET('WES Charge True-up Calculation'!$E$13,0,$E12-1))</f>
        <v xml:space="preserve"> </v>
      </c>
      <c r="L12" s="58" t="str">
        <f ca="1">IF($G12=0," ",OFFSET('WES Charge True-up Calculation'!$E$7,0,$E12-1))</f>
        <v xml:space="preserve"> </v>
      </c>
      <c r="M12" s="58" t="str">
        <f ca="1">IF($G12=0," ",OFFSET('WES Charge True-up Calculation'!$E$6,0,$E12-1))</f>
        <v xml:space="preserve"> </v>
      </c>
      <c r="N12" s="58" t="str">
        <f t="shared" ca="1" si="1"/>
        <v xml:space="preserve"> </v>
      </c>
      <c r="O12" s="60">
        <f t="shared" ca="1" si="2"/>
        <v>18325501.897617526</v>
      </c>
      <c r="P12" s="60">
        <f ca="1">SUM($H$8:H12)+$O$8-(SUM($J$8:J12)+SUM($K$8:K12)+SUM($L$8:L12)+SUM($M$8:M12))</f>
        <v>22109991.822280824</v>
      </c>
      <c r="Q12" s="60">
        <f t="shared" ca="1" si="3"/>
        <v>3855116.49</v>
      </c>
      <c r="R12" s="48"/>
      <c r="S12" s="139"/>
    </row>
    <row r="13" spans="2:34">
      <c r="E13" s="56">
        <f>IF(G13=1,SUM(G$8:G13),0)</f>
        <v>1</v>
      </c>
      <c r="F13" s="57">
        <f t="shared" si="5"/>
        <v>45658</v>
      </c>
      <c r="G13" s="48">
        <f>IF(OR(F14=Inputs!$F$9,F14=Inputs!$G$9),1,0)</f>
        <v>1</v>
      </c>
      <c r="H13" s="143">
        <f t="shared" si="4"/>
        <v>4154273.5708413906</v>
      </c>
      <c r="I13" s="58">
        <f t="shared" ca="1" si="0"/>
        <v>748001094</v>
      </c>
      <c r="J13" s="61">
        <f ca="1">IF($G13=0," ",OFFSET('WES Charge True-up Calculation'!$E$22,0,$E13-1)-K13)</f>
        <v>200000</v>
      </c>
      <c r="K13" s="58">
        <f ca="1">IF($G13=0," ",OFFSET('WES Charge True-up Calculation'!$E$13,0,$E13-1))</f>
        <v>190413.5</v>
      </c>
      <c r="L13" s="58">
        <f ca="1">IF($G13=0," ",OFFSET('WES Charge True-up Calculation'!$E$7,0,$E13-1))</f>
        <v>17768912.827874999</v>
      </c>
      <c r="M13" s="58">
        <f ca="1">IF($G13=0," ",OFFSET('WES Charge True-up Calculation'!$E$6,0,$E13-1))</f>
        <v>7688534</v>
      </c>
      <c r="N13" s="58">
        <f t="shared" ca="1" si="1"/>
        <v>748001094</v>
      </c>
      <c r="O13" s="60">
        <f ca="1">P12</f>
        <v>22109991.822280824</v>
      </c>
      <c r="P13" s="60">
        <f ca="1">SUM($H$8:H13)+$O$8-(SUM($J$8:J13)+SUM($K$8:K13)+SUM($L$8:L13)+SUM($M$8:M13))</f>
        <v>416405.06524721533</v>
      </c>
      <c r="Q13" s="60">
        <f t="shared" ca="1" si="3"/>
        <v>3855116.49</v>
      </c>
      <c r="R13" s="48"/>
      <c r="S13" s="139"/>
    </row>
    <row r="14" spans="2:34">
      <c r="E14" s="56">
        <f>IF(G14=1,SUM(G$8:G14),0)</f>
        <v>0</v>
      </c>
      <c r="F14" s="57">
        <f t="shared" si="5"/>
        <v>45689</v>
      </c>
      <c r="G14" s="48">
        <f>IF(OR(F15=Inputs!$F$9,F15=Inputs!$G$9),1,0)</f>
        <v>0</v>
      </c>
      <c r="H14" s="143">
        <f t="shared" si="4"/>
        <v>4006307.609678885</v>
      </c>
      <c r="I14" s="58">
        <f t="shared" ca="1" si="0"/>
        <v>748001094</v>
      </c>
      <c r="J14" s="61" t="str">
        <f ca="1">IF($G14=0," ",OFFSET('WES Charge True-up Calculation'!$E$22,0,$E14-1)-K14)</f>
        <v xml:space="preserve"> </v>
      </c>
      <c r="K14" s="58" t="str">
        <f ca="1">IF($G14=0," ",OFFSET('WES Charge True-up Calculation'!$E$13,0,$E14-1))</f>
        <v xml:space="preserve"> </v>
      </c>
      <c r="L14" s="58" t="str">
        <f ca="1">IF($G14=0," ",OFFSET('WES Charge True-up Calculation'!$E$7,0,$E14-1))</f>
        <v xml:space="preserve"> </v>
      </c>
      <c r="M14" s="58" t="str">
        <f ca="1">IF($G14=0," ",OFFSET('WES Charge True-up Calculation'!$E$6,0,$E14-1))</f>
        <v xml:space="preserve"> </v>
      </c>
      <c r="N14" s="58" t="str">
        <f t="shared" ca="1" si="1"/>
        <v xml:space="preserve"> </v>
      </c>
      <c r="O14" s="60">
        <f t="shared" ca="1" si="2"/>
        <v>416405.06524721533</v>
      </c>
      <c r="P14" s="60">
        <f ca="1">SUM($H$8:H14)+$O$8-(SUM($J$8:J14)+SUM($K$8:K14)+SUM($L$8:L14)+SUM($M$8:M14))</f>
        <v>4422712.6749260984</v>
      </c>
      <c r="Q14" s="60">
        <f t="shared" ca="1" si="3"/>
        <v>3855116.49</v>
      </c>
      <c r="R14" s="48"/>
      <c r="S14" s="139"/>
    </row>
    <row r="15" spans="2:34">
      <c r="E15" s="56">
        <f>IF(G15=1,SUM(G$8:G15),0)</f>
        <v>0</v>
      </c>
      <c r="F15" s="57">
        <f t="shared" si="5"/>
        <v>45717</v>
      </c>
      <c r="G15" s="48">
        <f>IF(OR(F16=Inputs!$F$9,F16=Inputs!$G$9),1,0)</f>
        <v>0</v>
      </c>
      <c r="H15" s="143">
        <f t="shared" si="4"/>
        <v>3547903.7991464911</v>
      </c>
      <c r="I15" s="58">
        <f t="shared" ca="1" si="0"/>
        <v>748001094</v>
      </c>
      <c r="J15" s="61" t="str">
        <f ca="1">IF($G15=0," ",OFFSET('WES Charge True-up Calculation'!$E$22,0,$E15-1)-K15)</f>
        <v xml:space="preserve"> </v>
      </c>
      <c r="K15" s="58" t="str">
        <f ca="1">IF($G15=0," ",OFFSET('WES Charge True-up Calculation'!$E$13,0,$E15-1))</f>
        <v xml:space="preserve"> </v>
      </c>
      <c r="L15" s="58" t="str">
        <f ca="1">IF($G15=0," ",OFFSET('WES Charge True-up Calculation'!$E$7,0,$E15-1))</f>
        <v xml:space="preserve"> </v>
      </c>
      <c r="M15" s="58" t="str">
        <f ca="1">IF($G15=0," ",OFFSET('WES Charge True-up Calculation'!$E$6,0,$E15-1))</f>
        <v xml:space="preserve"> </v>
      </c>
      <c r="N15" s="58" t="str">
        <f t="shared" ca="1" si="1"/>
        <v xml:space="preserve"> </v>
      </c>
      <c r="O15" s="60">
        <f t="shared" ca="1" si="2"/>
        <v>4422712.6749260984</v>
      </c>
      <c r="P15" s="60">
        <f ca="1">SUM($H$8:H15)+$O$8-(SUM($J$8:J15)+SUM($K$8:K15)+SUM($L$8:L15)+SUM($M$8:M15))</f>
        <v>7970616.4740725942</v>
      </c>
      <c r="Q15" s="60">
        <f t="shared" ca="1" si="3"/>
        <v>3855116.49</v>
      </c>
      <c r="R15" s="48"/>
      <c r="S15" s="139"/>
    </row>
    <row r="16" spans="2:34">
      <c r="E16" s="56">
        <f>IF(G16=1,SUM(G$8:G16),0)</f>
        <v>0</v>
      </c>
      <c r="F16" s="57">
        <f t="shared" si="5"/>
        <v>45748</v>
      </c>
      <c r="G16" s="48">
        <f>IF(OR(F17=Inputs!$F$9,F17=Inputs!$G$9),1,0)</f>
        <v>0</v>
      </c>
      <c r="H16" s="143">
        <f t="shared" si="4"/>
        <v>3328853.9621153618</v>
      </c>
      <c r="I16" s="58">
        <f t="shared" ca="1" si="0"/>
        <v>748001094</v>
      </c>
      <c r="J16" s="61" t="str">
        <f ca="1">IF($G16=0," ",OFFSET('WES Charge True-up Calculation'!$E$22,0,$E16-1)-K16)</f>
        <v xml:space="preserve"> </v>
      </c>
      <c r="K16" s="58" t="str">
        <f ca="1">IF($G16=0," ",OFFSET('WES Charge True-up Calculation'!$E$13,0,$E16-1))</f>
        <v xml:space="preserve"> </v>
      </c>
      <c r="L16" s="58" t="str">
        <f ca="1">IF($G16=0," ",OFFSET('WES Charge True-up Calculation'!$E$7,0,$E16-1))</f>
        <v xml:space="preserve"> </v>
      </c>
      <c r="M16" s="58" t="str">
        <f ca="1">IF($G16=0," ",OFFSET('WES Charge True-up Calculation'!$E$6,0,$E16-1))</f>
        <v xml:space="preserve"> </v>
      </c>
      <c r="N16" s="58" t="str">
        <f t="shared" ca="1" si="1"/>
        <v xml:space="preserve"> </v>
      </c>
      <c r="O16" s="60">
        <f t="shared" ca="1" si="2"/>
        <v>7970616.4740725942</v>
      </c>
      <c r="P16" s="60">
        <f ca="1">SUM($H$8:H16)+$O$8-(SUM($J$8:J16)+SUM($K$8:K16)+SUM($L$8:L16)+SUM($M$8:M16))</f>
        <v>11299470.436187949</v>
      </c>
      <c r="Q16" s="60">
        <f t="shared" ca="1" si="3"/>
        <v>3855116.49</v>
      </c>
      <c r="R16" s="48"/>
      <c r="S16" s="139"/>
      <c r="V16" s="192"/>
      <c r="AH16" s="192"/>
    </row>
    <row r="17" spans="2:43">
      <c r="E17" s="56">
        <f>IF(G17=1,SUM(G$8:G17),0)</f>
        <v>0</v>
      </c>
      <c r="F17" s="57">
        <f t="shared" si="5"/>
        <v>45778</v>
      </c>
      <c r="G17" s="48">
        <f>IF(OR(F18=Inputs!$F$9,F18=Inputs!$G$9),1,0)</f>
        <v>0</v>
      </c>
      <c r="H17" s="143">
        <f t="shared" si="4"/>
        <v>3364589.1189925615</v>
      </c>
      <c r="I17" s="58">
        <f t="shared" ca="1" si="0"/>
        <v>748001094</v>
      </c>
      <c r="J17" s="61" t="str">
        <f ca="1">IF($G17=0," ",OFFSET('WES Charge True-up Calculation'!$E$22,0,$E17-1)-K17)</f>
        <v xml:space="preserve"> </v>
      </c>
      <c r="K17" s="58" t="str">
        <f ca="1">IF($G17=0," ",OFFSET('WES Charge True-up Calculation'!$E$13,0,$E17-1))</f>
        <v xml:space="preserve"> </v>
      </c>
      <c r="L17" s="58" t="str">
        <f ca="1">IF($G17=0," ",OFFSET('WES Charge True-up Calculation'!$E$7,0,$E17-1))</f>
        <v xml:space="preserve"> </v>
      </c>
      <c r="M17" s="58" t="str">
        <f ca="1">IF($G17=0," ",OFFSET('WES Charge True-up Calculation'!$E$6,0,$E17-1))</f>
        <v xml:space="preserve"> </v>
      </c>
      <c r="N17" s="58" t="str">
        <f t="shared" ca="1" si="1"/>
        <v xml:space="preserve"> </v>
      </c>
      <c r="O17" s="60">
        <f t="shared" ca="1" si="2"/>
        <v>11299470.436187949</v>
      </c>
      <c r="P17" s="60">
        <f ca="1">SUM($H$8:H17)+$O$8-(SUM($J$8:J17)+SUM($K$8:K17)+SUM($L$8:L17)+SUM($M$8:M17))</f>
        <v>14664059.555180509</v>
      </c>
      <c r="Q17" s="60">
        <f t="shared" ca="1" si="3"/>
        <v>3855116.49</v>
      </c>
      <c r="R17" s="48"/>
      <c r="S17" s="139"/>
    </row>
    <row r="18" spans="2:43">
      <c r="E18" s="56">
        <f>IF(G18=1,SUM(G$8:G18),0)</f>
        <v>0</v>
      </c>
      <c r="F18" s="57">
        <f t="shared" si="5"/>
        <v>45809</v>
      </c>
      <c r="G18" s="48">
        <f>IF(OR(F19=Inputs!$F$9,F19=Inputs!$G$9),1,0)</f>
        <v>0</v>
      </c>
      <c r="H18" s="143">
        <f t="shared" si="4"/>
        <v>4151454.6351984018</v>
      </c>
      <c r="I18" s="58">
        <f t="shared" ca="1" si="0"/>
        <v>748001094</v>
      </c>
      <c r="J18" s="61" t="str">
        <f ca="1">IF($G18=0," ",OFFSET('WES Charge True-up Calculation'!$E$22,0,$E18-1)-K18)</f>
        <v xml:space="preserve"> </v>
      </c>
      <c r="K18" s="58" t="str">
        <f ca="1">IF($G18=0," ",OFFSET('WES Charge True-up Calculation'!$E$13,0,$E18-1))</f>
        <v xml:space="preserve"> </v>
      </c>
      <c r="L18" s="58" t="str">
        <f ca="1">IF($G18=0," ",OFFSET('WES Charge True-up Calculation'!$E$7,0,$E18-1))</f>
        <v xml:space="preserve"> </v>
      </c>
      <c r="M18" s="58" t="str">
        <f ca="1">IF($G18=0," ",OFFSET('WES Charge True-up Calculation'!$E$6,0,$E18-1))</f>
        <v xml:space="preserve"> </v>
      </c>
      <c r="N18" s="58" t="str">
        <f t="shared" ca="1" si="1"/>
        <v xml:space="preserve"> </v>
      </c>
      <c r="O18" s="60">
        <f t="shared" ca="1" si="2"/>
        <v>14664059.555180509</v>
      </c>
      <c r="P18" s="60">
        <f ca="1">SUM($H$8:H18)+$O$8-(SUM($J$8:J18)+SUM($K$8:K18)+SUM($L$8:L18)+SUM($M$8:M18))</f>
        <v>18815514.190378908</v>
      </c>
      <c r="Q18" s="60">
        <f t="shared" ca="1" si="3"/>
        <v>3855116.49</v>
      </c>
      <c r="R18" s="48"/>
      <c r="S18" s="139"/>
    </row>
    <row r="19" spans="2:43">
      <c r="E19" s="56">
        <f>IF(G19=1,SUM(G$8:G19),0)</f>
        <v>2</v>
      </c>
      <c r="F19" s="57">
        <f t="shared" si="5"/>
        <v>45839</v>
      </c>
      <c r="G19" s="48">
        <f>IF(OR(F20=Inputs!$F$9,F20=Inputs!$G$9),1,0)</f>
        <v>1</v>
      </c>
      <c r="H19" s="143">
        <f t="shared" si="4"/>
        <v>5109259.9414459094</v>
      </c>
      <c r="I19" s="58">
        <f t="shared" ca="1" si="0"/>
        <v>740147833</v>
      </c>
      <c r="J19" s="61">
        <f ca="1">IF($G19=0," ",OFFSET('WES Charge True-up Calculation'!$E$22,0,$E19-1)-K19)</f>
        <v>200000</v>
      </c>
      <c r="K19" s="58">
        <f ca="1">IF($G19=0," ",OFFSET('WES Charge True-up Calculation'!$E$13,0,$E19-1))</f>
        <v>190413.5</v>
      </c>
      <c r="L19" s="58">
        <f ca="1">IF($G19=0," ",OFFSET('WES Charge True-up Calculation'!$E$7,0,$E19-1))</f>
        <v>17604185.986924998</v>
      </c>
      <c r="M19" s="58">
        <f ca="1">IF($G19=0," ",OFFSET('WES Charge True-up Calculation'!$E$6,0,$E19-1))</f>
        <v>7853261</v>
      </c>
      <c r="N19" s="58">
        <f t="shared" ca="1" si="1"/>
        <v>740147833</v>
      </c>
      <c r="O19" s="60">
        <f t="shared" ca="1" si="2"/>
        <v>18815514.190378908</v>
      </c>
      <c r="P19" s="60">
        <f ca="1">SUM($H$8:H19)+$O$8-(SUM($J$8:J19)+SUM($K$8:K19)+SUM($L$8:L19)+SUM($M$8:M19))</f>
        <v>-1923086.3551001772</v>
      </c>
      <c r="Q19" s="60">
        <f t="shared" ca="1" si="3"/>
        <v>1932030.134899823</v>
      </c>
      <c r="R19" s="48"/>
      <c r="S19" s="139"/>
    </row>
    <row r="20" spans="2:43">
      <c r="E20" s="56">
        <f>IF(G20=1,SUM(G$8:G20),0)</f>
        <v>0</v>
      </c>
      <c r="F20" s="57">
        <f t="shared" si="5"/>
        <v>45870</v>
      </c>
      <c r="G20" s="48">
        <f>IF(OR(F21=Inputs!$F$9,F21=Inputs!$G$9),1,0)</f>
        <v>0</v>
      </c>
      <c r="H20" s="143">
        <f t="shared" si="4"/>
        <v>4886129.6601068918</v>
      </c>
      <c r="I20" s="58">
        <f t="shared" ca="1" si="0"/>
        <v>740147833</v>
      </c>
      <c r="J20" s="61" t="str">
        <f ca="1">IF($G20=0," ",OFFSET('WES Charge True-up Calculation'!$E$22,0,$E20-1)-K20)</f>
        <v xml:space="preserve"> </v>
      </c>
      <c r="K20" s="58" t="str">
        <f ca="1">IF($G20=0," ",OFFSET('WES Charge True-up Calculation'!$E$13,0,$E20-1))</f>
        <v xml:space="preserve"> </v>
      </c>
      <c r="L20" s="58" t="str">
        <f ca="1">IF($G20=0," ",OFFSET('WES Charge True-up Calculation'!$E$7,0,$E20-1))</f>
        <v xml:space="preserve"> </v>
      </c>
      <c r="M20" s="58" t="str">
        <f ca="1">IF($G20=0," ",OFFSET('WES Charge True-up Calculation'!$E$6,0,$E20-1))</f>
        <v xml:space="preserve"> </v>
      </c>
      <c r="N20" s="58" t="str">
        <f t="shared" ca="1" si="1"/>
        <v xml:space="preserve"> </v>
      </c>
      <c r="O20" s="60">
        <f t="shared" ca="1" si="2"/>
        <v>-1923086.3551001772</v>
      </c>
      <c r="P20" s="60">
        <f ca="1">SUM($H$8:H20)+$O$8-(SUM($J$8:J20)+SUM($K$8:K20)+SUM($L$8:L20)+SUM($M$8:M20))</f>
        <v>2963043.3050067127</v>
      </c>
      <c r="Q20" s="60">
        <f t="shared" ca="1" si="3"/>
        <v>1932030.134899823</v>
      </c>
      <c r="R20" s="48"/>
      <c r="S20" s="139"/>
    </row>
    <row r="21" spans="2:43">
      <c r="F21" s="63"/>
      <c r="R21" s="62"/>
      <c r="S21" s="140"/>
    </row>
    <row r="22" spans="2:43" ht="12" thickBot="1">
      <c r="E22" s="64" t="s">
        <v>172</v>
      </c>
      <c r="F22" s="65"/>
      <c r="G22" s="66"/>
      <c r="H22" s="66">
        <f>SUM(H8:H20)</f>
        <v>51530559.8874567</v>
      </c>
      <c r="I22" s="66"/>
      <c r="J22" s="66">
        <f ca="1">SUM(J8:J20)</f>
        <v>400000</v>
      </c>
      <c r="K22" s="66">
        <f ca="1">SUM(K8:K20)</f>
        <v>380827</v>
      </c>
      <c r="L22" s="66">
        <f ca="1">SUM(L8:L20)</f>
        <v>35373098.814799994</v>
      </c>
      <c r="M22" s="66">
        <f ca="1">SUM(M8:M20)</f>
        <v>15541795</v>
      </c>
      <c r="N22" s="66"/>
      <c r="O22" s="66"/>
      <c r="P22" s="66"/>
      <c r="Q22" s="66"/>
    </row>
    <row r="23" spans="2:43" ht="12" thickTop="1">
      <c r="H23" s="67"/>
      <c r="L23" s="50"/>
      <c r="M23" s="50"/>
      <c r="N23" s="50"/>
      <c r="R23" s="62"/>
      <c r="S23" s="140"/>
    </row>
    <row r="24" spans="2:43">
      <c r="D24" s="62"/>
      <c r="R24" s="48"/>
      <c r="S24" s="139"/>
    </row>
    <row r="25" spans="2:43" s="139" customFormat="1">
      <c r="T25" s="140"/>
    </row>
    <row r="26" spans="2:43">
      <c r="R26" s="48"/>
      <c r="S26" s="139"/>
      <c r="T26" s="62"/>
      <c r="AG26" s="150"/>
    </row>
    <row r="27" spans="2:43" ht="15.75">
      <c r="E27" s="137" t="s">
        <v>173</v>
      </c>
      <c r="F27" s="138"/>
      <c r="G27" s="138"/>
      <c r="H27" s="138"/>
      <c r="I27" s="138"/>
      <c r="J27" s="138"/>
      <c r="K27" s="138"/>
      <c r="L27" s="138"/>
      <c r="M27" s="138"/>
      <c r="N27" s="137"/>
      <c r="O27" s="138"/>
      <c r="P27" s="134"/>
      <c r="Q27" s="134"/>
      <c r="R27" s="48"/>
      <c r="S27" s="139"/>
      <c r="T27" s="50"/>
      <c r="U27" s="137" t="s">
        <v>174</v>
      </c>
      <c r="V27" s="138"/>
      <c r="W27" s="138"/>
      <c r="X27" s="138"/>
      <c r="Y27" s="138"/>
      <c r="Z27" s="138"/>
      <c r="AA27" s="138"/>
      <c r="AB27" s="138"/>
      <c r="AC27" s="138"/>
      <c r="AD27" s="137"/>
      <c r="AE27" s="138"/>
      <c r="AF27" s="50"/>
      <c r="AG27" s="137" t="s">
        <v>175</v>
      </c>
      <c r="AH27" s="138"/>
      <c r="AI27" s="138"/>
      <c r="AJ27" s="138"/>
      <c r="AK27" s="138"/>
      <c r="AL27" s="138"/>
      <c r="AM27" s="138"/>
      <c r="AN27" s="138"/>
      <c r="AO27" s="138"/>
      <c r="AP27" s="137"/>
      <c r="AQ27" s="138"/>
    </row>
    <row r="28" spans="2:43" ht="12" thickBot="1">
      <c r="E28" s="79"/>
      <c r="F28" s="80"/>
      <c r="G28" s="80"/>
      <c r="H28" s="80"/>
      <c r="I28" s="80"/>
      <c r="J28" s="80"/>
      <c r="K28" s="80"/>
      <c r="L28" s="496"/>
      <c r="M28" s="496"/>
      <c r="N28" s="496"/>
      <c r="O28" s="497"/>
      <c r="P28" s="134"/>
      <c r="Q28" s="134"/>
      <c r="R28" s="48"/>
      <c r="S28" s="139"/>
      <c r="T28" s="50"/>
      <c r="U28" s="79"/>
      <c r="V28" s="80"/>
      <c r="W28" s="80"/>
      <c r="X28" s="80"/>
      <c r="Y28" s="80"/>
      <c r="Z28" s="80"/>
      <c r="AA28" s="80"/>
      <c r="AB28" s="501"/>
      <c r="AC28" s="501"/>
      <c r="AD28" s="501"/>
      <c r="AE28" s="502"/>
      <c r="AF28" s="50"/>
      <c r="AG28" s="79"/>
      <c r="AH28" s="80"/>
      <c r="AI28" s="80"/>
      <c r="AJ28" s="80"/>
      <c r="AK28" s="80"/>
      <c r="AL28" s="80"/>
      <c r="AM28" s="80"/>
      <c r="AN28" s="501"/>
      <c r="AO28" s="501"/>
      <c r="AP28" s="501"/>
      <c r="AQ28" s="502"/>
    </row>
    <row r="29" spans="2:43" s="55" customFormat="1" ht="35.25" customHeight="1" thickBot="1">
      <c r="B29" s="145"/>
      <c r="C29" s="145"/>
      <c r="E29" s="193" t="s">
        <v>162</v>
      </c>
      <c r="F29" s="194" t="s">
        <v>40</v>
      </c>
      <c r="G29" s="208" t="s">
        <v>176</v>
      </c>
      <c r="H29" s="209"/>
      <c r="I29" s="209"/>
      <c r="J29" s="209"/>
      <c r="K29" s="209"/>
      <c r="L29" s="210"/>
      <c r="M29" s="196"/>
      <c r="N29" s="81"/>
      <c r="O29" s="82"/>
      <c r="P29" s="134"/>
      <c r="Q29" s="134"/>
      <c r="S29" s="142"/>
      <c r="T29" s="54"/>
      <c r="U29" s="193" t="s">
        <v>162</v>
      </c>
      <c r="V29" s="194" t="s">
        <v>40</v>
      </c>
      <c r="W29" s="208" t="s">
        <v>176</v>
      </c>
      <c r="X29" s="209"/>
      <c r="Y29" s="209"/>
      <c r="Z29" s="209"/>
      <c r="AA29" s="209"/>
      <c r="AB29" s="210"/>
      <c r="AC29" s="196"/>
      <c r="AD29" s="81"/>
      <c r="AE29" s="82"/>
      <c r="AF29" s="54"/>
      <c r="AG29" s="193" t="s">
        <v>162</v>
      </c>
      <c r="AH29" s="194" t="s">
        <v>40</v>
      </c>
      <c r="AI29" s="208" t="s">
        <v>176</v>
      </c>
      <c r="AJ29" s="209"/>
      <c r="AK29" s="209"/>
      <c r="AL29" s="209"/>
      <c r="AM29" s="209"/>
      <c r="AN29" s="210"/>
      <c r="AO29" s="196"/>
      <c r="AP29" s="81"/>
      <c r="AQ29" s="82"/>
    </row>
    <row r="30" spans="2:43" s="55" customFormat="1" ht="24" customHeight="1" thickBot="1">
      <c r="B30" s="146"/>
      <c r="C30" s="147"/>
      <c r="E30" s="197"/>
      <c r="F30" s="198"/>
      <c r="G30" s="195" t="str">
        <f>Inputs!C41</f>
        <v>SL 1 (Blocks)</v>
      </c>
      <c r="H30" s="195" t="str">
        <f>Inputs!D41</f>
        <v>SL 2 (Blocks)</v>
      </c>
      <c r="I30" s="195" t="str">
        <f>Inputs!E41</f>
        <v>SL 3 (KWH)</v>
      </c>
      <c r="J30" s="195" t="str">
        <f>Inputs!F41</f>
        <v>SL 4 (KWH)</v>
      </c>
      <c r="K30" s="195" t="str">
        <f>Inputs!G41</f>
        <v>SL 5 (KWH)</v>
      </c>
      <c r="L30" s="198" t="s">
        <v>27</v>
      </c>
      <c r="M30" s="196"/>
      <c r="N30" s="81"/>
      <c r="O30" s="82"/>
      <c r="P30" s="134"/>
      <c r="Q30" s="134"/>
      <c r="S30" s="142"/>
      <c r="U30" s="197"/>
      <c r="V30" s="198"/>
      <c r="W30" s="195" t="str">
        <f>Inputs!C41</f>
        <v>SL 1 (Blocks)</v>
      </c>
      <c r="X30" s="195" t="str">
        <f>Inputs!D41</f>
        <v>SL 2 (Blocks)</v>
      </c>
      <c r="Y30" s="195" t="str">
        <f>Inputs!E41</f>
        <v>SL 3 (KWH)</v>
      </c>
      <c r="Z30" s="195" t="str">
        <f>Inputs!F41</f>
        <v>SL 4 (KWH)</v>
      </c>
      <c r="AA30" s="195" t="str">
        <f>Inputs!G41</f>
        <v>SL 5 (KWH)</v>
      </c>
      <c r="AB30" s="198" t="s">
        <v>27</v>
      </c>
      <c r="AC30" s="196"/>
      <c r="AD30" s="81"/>
      <c r="AE30" s="82"/>
      <c r="AG30" s="197"/>
      <c r="AH30" s="198"/>
      <c r="AI30" s="195" t="str">
        <f>$W$30</f>
        <v>SL 1 (Blocks)</v>
      </c>
      <c r="AJ30" s="195" t="str">
        <f>$X$30</f>
        <v>SL 2 (Blocks)</v>
      </c>
      <c r="AK30" s="195" t="str">
        <f>$Y$30</f>
        <v>SL 3 (KWH)</v>
      </c>
      <c r="AL30" s="195" t="str">
        <f>$Z$30</f>
        <v>SL 4 (KWH)</v>
      </c>
      <c r="AM30" s="195" t="str">
        <f>$AA$30</f>
        <v>SL 5 (KWH)</v>
      </c>
      <c r="AN30" s="198" t="str">
        <f>$AB$30</f>
        <v>Total</v>
      </c>
      <c r="AO30" s="196"/>
      <c r="AP30" s="81"/>
      <c r="AQ30" s="82"/>
    </row>
    <row r="31" spans="2:43" s="55" customFormat="1" ht="10.5" customHeight="1">
      <c r="B31" s="154"/>
      <c r="C31" s="135"/>
      <c r="E31" s="203"/>
      <c r="F31" s="190">
        <f>'Aug. 1, 2024 Payment Date'!$B51</f>
        <v>45444</v>
      </c>
      <c r="G31" s="202">
        <f>'Aug. 1, 2024 Payment Date'!C51</f>
        <v>359.13089999999994</v>
      </c>
      <c r="H31" s="202">
        <f>'Aug. 1, 2024 Payment Date'!D51</f>
        <v>1516.9544800000001</v>
      </c>
      <c r="I31" s="202">
        <f>'Aug. 1, 2024 Payment Date'!E51</f>
        <v>191802943</v>
      </c>
      <c r="J31" s="202">
        <f>'Aug. 1, 2024 Payment Date'!F51</f>
        <v>39937102</v>
      </c>
      <c r="K31" s="202">
        <f>'Aug. 1, 2024 Payment Date'!G51</f>
        <v>1517382568</v>
      </c>
      <c r="L31" s="202">
        <f t="shared" ref="L31:L45" si="6">SUM(G31:K31)</f>
        <v>1749124489.0853801</v>
      </c>
      <c r="M31" s="196"/>
      <c r="N31" s="81"/>
      <c r="O31" s="82"/>
      <c r="P31" s="134"/>
      <c r="Q31" s="134"/>
      <c r="S31" s="142"/>
      <c r="U31" s="204"/>
      <c r="V31" s="320">
        <f>'Aug. 1, 2024 Payment Date'!$B51</f>
        <v>45444</v>
      </c>
      <c r="W31" s="205">
        <f>'Aug. 1, 2024 Payment Date'!C51</f>
        <v>359.13089999999994</v>
      </c>
      <c r="X31" s="205">
        <f>'Aug. 1, 2024 Payment Date'!D51</f>
        <v>1516.9544800000001</v>
      </c>
      <c r="Y31" s="205">
        <f>'Aug. 1, 2024 Payment Date'!E51</f>
        <v>191802943</v>
      </c>
      <c r="Z31" s="205">
        <f>'Aug. 1, 2024 Payment Date'!F51</f>
        <v>39937102</v>
      </c>
      <c r="AA31" s="205">
        <f>'Aug. 1, 2024 Payment Date'!G51</f>
        <v>1517382568</v>
      </c>
      <c r="AB31" s="191">
        <f>SUM(W31:AA31)</f>
        <v>1749124489.0853801</v>
      </c>
      <c r="AC31" s="196"/>
      <c r="AD31" s="81"/>
      <c r="AE31" s="82"/>
      <c r="AG31" s="187"/>
      <c r="AH31" s="188">
        <f>$V$31</f>
        <v>45444</v>
      </c>
      <c r="AI31" s="202"/>
      <c r="AJ31" s="202"/>
      <c r="AK31" s="202"/>
      <c r="AL31" s="202"/>
      <c r="AM31" s="202"/>
      <c r="AN31" s="202"/>
      <c r="AO31" s="136"/>
      <c r="AP31" s="81"/>
      <c r="AQ31" s="82"/>
    </row>
    <row r="32" spans="2:43" s="55" customFormat="1" ht="10.5" customHeight="1">
      <c r="B32" s="154"/>
      <c r="C32" s="135"/>
      <c r="E32" s="203"/>
      <c r="F32" s="190">
        <f>'Aug. 1, 2024 Payment Date'!$B65</f>
        <v>45474</v>
      </c>
      <c r="G32" s="202">
        <f>'Aug. 1, 2024 Payment Date'!C52</f>
        <v>359.1309</v>
      </c>
      <c r="H32" s="202">
        <f>'Aug. 1, 2024 Payment Date'!D52</f>
        <v>1518.9413299999999</v>
      </c>
      <c r="I32" s="202">
        <f>'Aug. 1, 2024 Payment Date'!E52</f>
        <v>193170755</v>
      </c>
      <c r="J32" s="202">
        <f>'Aug. 1, 2024 Payment Date'!F52</f>
        <v>41785287</v>
      </c>
      <c r="K32" s="202">
        <f>'Aug. 1, 2024 Payment Date'!G52</f>
        <v>1858021828</v>
      </c>
      <c r="L32" s="202">
        <f t="shared" si="6"/>
        <v>2092979748.0722301</v>
      </c>
      <c r="M32" s="196"/>
      <c r="N32" s="134"/>
      <c r="O32" s="113"/>
      <c r="P32" s="92"/>
      <c r="Q32" s="92"/>
      <c r="R32" s="48"/>
      <c r="S32" s="142"/>
      <c r="U32" s="204"/>
      <c r="V32" s="190">
        <f>'Aug. 1, 2024 Payment Date'!$B65</f>
        <v>45474</v>
      </c>
      <c r="W32" s="205">
        <f>'Aug. 1, 2024 Payment Date'!C52</f>
        <v>359.1309</v>
      </c>
      <c r="X32" s="205">
        <f>'Aug. 1, 2024 Payment Date'!D52</f>
        <v>1518.9413299999999</v>
      </c>
      <c r="Y32" s="205">
        <f>'Aug. 1, 2024 Payment Date'!E52</f>
        <v>193170755</v>
      </c>
      <c r="Z32" s="205">
        <f>'Aug. 1, 2024 Payment Date'!F52</f>
        <v>41785287</v>
      </c>
      <c r="AA32" s="205">
        <f>'Aug. 1, 2024 Payment Date'!G52</f>
        <v>1858021828</v>
      </c>
      <c r="AB32" s="191">
        <f>SUM(W32:AA32)</f>
        <v>2092979748.0722301</v>
      </c>
      <c r="AC32" s="196"/>
      <c r="AD32" s="81"/>
      <c r="AE32" s="82"/>
      <c r="AG32" s="187"/>
      <c r="AH32" s="188">
        <f>$V$32</f>
        <v>45474</v>
      </c>
      <c r="AI32" s="202"/>
      <c r="AJ32" s="202"/>
      <c r="AK32" s="202"/>
      <c r="AL32" s="202"/>
      <c r="AM32" s="202"/>
      <c r="AN32" s="202"/>
      <c r="AO32" s="136"/>
      <c r="AP32" s="81"/>
      <c r="AQ32" s="82"/>
    </row>
    <row r="33" spans="2:43" ht="10.5" customHeight="1">
      <c r="B33" s="154"/>
      <c r="C33" s="135"/>
      <c r="E33" s="83">
        <v>0</v>
      </c>
      <c r="F33" s="84">
        <f>Inputs!B44</f>
        <v>45535</v>
      </c>
      <c r="G33" s="86">
        <f>VLOOKUP($F33,Inputs!$B$44:$G$56,MATCH(G$30,Inputs!$B$41:$G$41,0),FALSE)</f>
        <v>358.13089999999994</v>
      </c>
      <c r="H33" s="86">
        <f>VLOOKUP($F33,Inputs!$B$44:$G$56,MATCH(H$30,Inputs!$B$41:$G$41,0),FALSE)</f>
        <v>1520.9413300000001</v>
      </c>
      <c r="I33" s="86">
        <f>VLOOKUP($F33,Inputs!$B$44:$G$56,MATCH(I$30,Inputs!$B$41:$G$41,0),FALSE)</f>
        <v>177262251</v>
      </c>
      <c r="J33" s="86">
        <f>VLOOKUP($F33,Inputs!$B$44:$G$56,MATCH(J$30,Inputs!$B$41:$G$41,0),FALSE)</f>
        <v>42367626</v>
      </c>
      <c r="K33" s="86">
        <f>VLOOKUP($F33,Inputs!$B$44:$G$56,MATCH(K$30,Inputs!$B$41:$G$41,0),FALSE)</f>
        <v>1754063705.7836466</v>
      </c>
      <c r="L33" s="86">
        <f>SUM(G33:K33)</f>
        <v>1973695461.8558767</v>
      </c>
      <c r="M33" s="86"/>
      <c r="N33" s="86">
        <f>Inputs!I44+Inputs!C44+Inputs!D44-L33</f>
        <v>0</v>
      </c>
      <c r="O33" s="113"/>
      <c r="P33" s="92"/>
      <c r="Q33" s="92"/>
      <c r="R33" s="48"/>
      <c r="S33" s="139"/>
      <c r="U33" s="83"/>
      <c r="V33" s="84">
        <f>Inputs!B44</f>
        <v>45535</v>
      </c>
      <c r="W33" s="157"/>
      <c r="X33" s="157"/>
      <c r="Y33" s="157"/>
      <c r="Z33" s="157"/>
      <c r="AA33" s="157"/>
      <c r="AB33" s="157"/>
      <c r="AC33" s="86"/>
      <c r="AD33" s="87"/>
      <c r="AE33" s="88"/>
      <c r="AG33" s="83">
        <v>0</v>
      </c>
      <c r="AH33" s="84">
        <f>$V$33</f>
        <v>45535</v>
      </c>
      <c r="AI33" s="136"/>
      <c r="AJ33" s="136"/>
      <c r="AK33" s="136"/>
      <c r="AL33" s="136"/>
      <c r="AM33" s="136"/>
      <c r="AN33" s="86">
        <f t="shared" ref="AN33:AN45" si="7">SUM(AI33:AM33)</f>
        <v>0</v>
      </c>
      <c r="AO33" s="86"/>
      <c r="AP33" s="87"/>
      <c r="AQ33" s="88"/>
    </row>
    <row r="34" spans="2:43" ht="10.5" customHeight="1">
      <c r="B34" s="154"/>
      <c r="C34" s="135"/>
      <c r="E34" s="83">
        <v>0</v>
      </c>
      <c r="F34" s="84">
        <f>Inputs!B45</f>
        <v>45565</v>
      </c>
      <c r="G34" s="86">
        <f>VLOOKUP($F34,Inputs!$B$44:$G$56,MATCH(G$30,Inputs!$B$41:$G$41,0),FALSE)</f>
        <v>358.13089999999994</v>
      </c>
      <c r="H34" s="86">
        <f>VLOOKUP($F34,Inputs!$B$44:$G$56,MATCH(H$30,Inputs!$B$41:$G$41,0),FALSE)</f>
        <v>1520.9413300000001</v>
      </c>
      <c r="I34" s="86">
        <f>VLOOKUP($F34,Inputs!$B$44:$G$56,MATCH(I$30,Inputs!$B$41:$G$41,0),FALSE)</f>
        <v>196923628</v>
      </c>
      <c r="J34" s="86">
        <f>VLOOKUP($F34,Inputs!$B$44:$G$56,MATCH(J$30,Inputs!$B$41:$G$41,0),FALSE)</f>
        <v>44741668</v>
      </c>
      <c r="K34" s="86">
        <f>VLOOKUP($F34,Inputs!$B$44:$G$56,MATCH(K$30,Inputs!$B$41:$G$41,0),FALSE)</f>
        <v>1708068384.5552499</v>
      </c>
      <c r="L34" s="86">
        <f t="shared" si="6"/>
        <v>1949735559.62748</v>
      </c>
      <c r="M34" s="86"/>
      <c r="N34" s="86">
        <f>Inputs!I45+Inputs!C45+Inputs!D45-L34</f>
        <v>0</v>
      </c>
      <c r="O34" s="113"/>
      <c r="P34" s="92"/>
      <c r="Q34" s="92"/>
      <c r="R34" s="48"/>
      <c r="S34" s="139"/>
      <c r="U34" s="83"/>
      <c r="V34" s="84">
        <f>Inputs!B45</f>
        <v>45565</v>
      </c>
      <c r="W34" s="157"/>
      <c r="X34" s="157"/>
      <c r="Y34" s="157"/>
      <c r="Z34" s="157"/>
      <c r="AA34" s="157"/>
      <c r="AB34" s="157"/>
      <c r="AC34" s="86"/>
      <c r="AD34" s="87"/>
      <c r="AE34" s="88"/>
      <c r="AG34" s="83">
        <v>0</v>
      </c>
      <c r="AH34" s="84">
        <f>$V$34</f>
        <v>45565</v>
      </c>
      <c r="AI34" s="136"/>
      <c r="AJ34" s="136"/>
      <c r="AK34" s="136"/>
      <c r="AL34" s="136"/>
      <c r="AM34" s="136"/>
      <c r="AN34" s="86">
        <f t="shared" si="7"/>
        <v>0</v>
      </c>
      <c r="AO34" s="86"/>
      <c r="AP34" s="87"/>
      <c r="AQ34" s="88"/>
    </row>
    <row r="35" spans="2:43" ht="10.5" customHeight="1">
      <c r="B35" s="154"/>
      <c r="C35" s="135"/>
      <c r="E35" s="83">
        <f t="shared" ref="E35:E45" si="8">E34+1</f>
        <v>1</v>
      </c>
      <c r="F35" s="84">
        <f>Inputs!B46</f>
        <v>45595</v>
      </c>
      <c r="G35" s="86">
        <f>VLOOKUP($F35,Inputs!$B$44:$G$56,MATCH(G$30,Inputs!$B$41:$G$41,0),FALSE)</f>
        <v>359.13089999999994</v>
      </c>
      <c r="H35" s="86">
        <f>VLOOKUP($F35,Inputs!$B$44:$G$56,MATCH(H$30,Inputs!$B$41:$G$41,0),FALSE)</f>
        <v>1522.9413300000001</v>
      </c>
      <c r="I35" s="86">
        <f>VLOOKUP($F35,Inputs!$B$44:$G$56,MATCH(I$30,Inputs!$B$41:$G$41,0),FALSE)</f>
        <v>166979740</v>
      </c>
      <c r="J35" s="86">
        <f>VLOOKUP($F35,Inputs!$B$44:$G$56,MATCH(J$30,Inputs!$B$41:$G$41,0),FALSE)</f>
        <v>37737699</v>
      </c>
      <c r="K35" s="86">
        <f>VLOOKUP($F35,Inputs!$B$44:$G$56,MATCH(K$30,Inputs!$B$41:$G$41,0),FALSE)</f>
        <v>1238760541.908345</v>
      </c>
      <c r="L35" s="86">
        <f t="shared" si="6"/>
        <v>1443479862.9805751</v>
      </c>
      <c r="M35" s="86"/>
      <c r="N35" s="86">
        <f>Inputs!I46+Inputs!C46+Inputs!D46-L35</f>
        <v>0</v>
      </c>
      <c r="O35" s="113"/>
      <c r="P35" s="92"/>
      <c r="Q35" s="92"/>
      <c r="R35" s="48"/>
      <c r="S35" s="139"/>
      <c r="U35" s="83"/>
      <c r="V35" s="84">
        <f>Inputs!$B46</f>
        <v>45595</v>
      </c>
      <c r="W35" s="157"/>
      <c r="X35" s="157"/>
      <c r="Y35" s="157"/>
      <c r="Z35" s="157"/>
      <c r="AA35" s="157"/>
      <c r="AB35" s="157"/>
      <c r="AC35" s="86"/>
      <c r="AD35" s="87"/>
      <c r="AE35" s="88"/>
      <c r="AG35" s="83"/>
      <c r="AH35" s="84">
        <f>$V$35</f>
        <v>45595</v>
      </c>
      <c r="AI35" s="85">
        <f>VLOOKUP($AH35,Inputs!$B$44:$G$56,MATCH(AI$30,Inputs!$B$41:$G$41,0),FALSE)*'WES Charge True-up Calculation'!$C$46</f>
        <v>80114.921171999988</v>
      </c>
      <c r="AJ35" s="85">
        <f>VLOOKUP($AH35,Inputs!$B$44:$G$56,MATCH(AJ$30,Inputs!$B$41:$G$41,0),FALSE)*'WES Charge True-up Calculation'!$D$46</f>
        <v>340544.91080130002</v>
      </c>
      <c r="AK35" s="85">
        <f>VLOOKUP($AH35,Inputs!$B$44:$G$56,MATCH(AK$30,Inputs!$B$41:$G$41,0),FALSE)*'WES Charge True-up Calculation'!$E$46</f>
        <v>158418.6887302</v>
      </c>
      <c r="AL35" s="85">
        <f>VLOOKUP($AH35,Inputs!$B$44:$G$56,MATCH(AL$30,Inputs!$B$41:$G$41,0),FALSE)*'WES Charge True-up Calculation'!$F$46</f>
        <v>44728.985116740005</v>
      </c>
      <c r="AM35" s="85">
        <f>VLOOKUP($AH35,Inputs!$B$44:$G$56,MATCH(AM$30,Inputs!$B$41:$G$41,0),FALSE)*'WES Charge True-up Calculation'!$G$46</f>
        <v>2970869.8572371076</v>
      </c>
      <c r="AN35" s="86">
        <f t="shared" si="7"/>
        <v>3594677.3630573475</v>
      </c>
      <c r="AO35" s="86"/>
      <c r="AP35" s="87"/>
      <c r="AQ35" s="88"/>
    </row>
    <row r="36" spans="2:43" ht="10.5" customHeight="1">
      <c r="B36" s="154"/>
      <c r="C36" s="135"/>
      <c r="E36" s="83">
        <f t="shared" si="8"/>
        <v>2</v>
      </c>
      <c r="F36" s="84">
        <f>Inputs!B47</f>
        <v>45626</v>
      </c>
      <c r="G36" s="86">
        <f>VLOOKUP($F36,Inputs!$B$44:$G$56,MATCH(G$30,Inputs!$B$41:$G$41,0),FALSE)</f>
        <v>359.13089999999994</v>
      </c>
      <c r="H36" s="86">
        <f>VLOOKUP($F36,Inputs!$B$44:$G$56,MATCH(H$30,Inputs!$B$41:$G$41,0),FALSE)</f>
        <v>1522.9413300000001</v>
      </c>
      <c r="I36" s="86">
        <f>VLOOKUP($F36,Inputs!$B$44:$G$56,MATCH(I$30,Inputs!$B$41:$G$41,0),FALSE)</f>
        <v>167058296</v>
      </c>
      <c r="J36" s="86">
        <f>VLOOKUP($F36,Inputs!$B$44:$G$56,MATCH(J$30,Inputs!$B$41:$G$41,0),FALSE)</f>
        <v>35570796</v>
      </c>
      <c r="K36" s="86">
        <f>VLOOKUP($F36,Inputs!$B$44:$G$56,MATCH(K$30,Inputs!$B$41:$G$41,0),FALSE)</f>
        <v>1129437598.2346365</v>
      </c>
      <c r="L36" s="86">
        <f t="shared" si="6"/>
        <v>1332068572.3068666</v>
      </c>
      <c r="M36" s="86"/>
      <c r="N36" s="86">
        <f>Inputs!I47+Inputs!C47+Inputs!D47-L36</f>
        <v>0</v>
      </c>
      <c r="O36" s="113"/>
      <c r="P36" s="92"/>
      <c r="Q36" s="92"/>
      <c r="R36" s="48"/>
      <c r="S36" s="139"/>
      <c r="U36" s="83"/>
      <c r="V36" s="84">
        <f>Inputs!$B47</f>
        <v>45626</v>
      </c>
      <c r="W36" s="157"/>
      <c r="X36" s="157"/>
      <c r="Y36" s="157"/>
      <c r="Z36" s="157"/>
      <c r="AA36" s="157"/>
      <c r="AB36" s="157"/>
      <c r="AC36" s="87"/>
      <c r="AD36" s="87"/>
      <c r="AE36" s="88"/>
      <c r="AG36" s="83"/>
      <c r="AH36" s="84">
        <f>$V$36</f>
        <v>45626</v>
      </c>
      <c r="AI36" s="85">
        <f>VLOOKUP($AH36,Inputs!$B$44:$G$56,MATCH(AI$30,Inputs!$B$41:$G$41,0),FALSE)*'WES Charge True-up Calculation'!$C$46</f>
        <v>80114.921171999988</v>
      </c>
      <c r="AJ36" s="85">
        <f>VLOOKUP($AH36,Inputs!$B$44:$G$56,MATCH(AJ$30,Inputs!$B$41:$G$41,0),FALSE)*'WES Charge True-up Calculation'!$D$46</f>
        <v>340544.91080130002</v>
      </c>
      <c r="AK36" s="85">
        <f>VLOOKUP($AH36,Inputs!$B$44:$G$56,MATCH(AK$30,Inputs!$B$41:$G$41,0),FALSE)*'WES Charge True-up Calculation'!$E$46</f>
        <v>158493.21716408001</v>
      </c>
      <c r="AL36" s="85">
        <f>VLOOKUP($AH36,Inputs!$B$44:$G$56,MATCH(AL$30,Inputs!$B$41:$G$41,0),FALSE)*'WES Charge True-up Calculation'!$F$46</f>
        <v>42160.64166696</v>
      </c>
      <c r="AM36" s="85">
        <f>VLOOKUP($AH36,Inputs!$B$44:$G$56,MATCH(AM$30,Inputs!$B$41:$G$41,0),FALSE)*'WES Charge True-up Calculation'!$G$46</f>
        <v>2708685.0143421995</v>
      </c>
      <c r="AN36" s="86">
        <f t="shared" si="7"/>
        <v>3329998.7051465395</v>
      </c>
      <c r="AO36" s="87"/>
      <c r="AP36" s="87"/>
      <c r="AQ36" s="88"/>
    </row>
    <row r="37" spans="2:43" ht="10.5" customHeight="1">
      <c r="B37" s="154"/>
      <c r="C37" s="135"/>
      <c r="E37" s="83">
        <f t="shared" si="8"/>
        <v>3</v>
      </c>
      <c r="F37" s="84">
        <f>Inputs!B48</f>
        <v>45656</v>
      </c>
      <c r="G37" s="86">
        <f>VLOOKUP($F37,Inputs!$B$44:$G$56,MATCH(G$30,Inputs!$B$41:$G$41,0),FALSE)</f>
        <v>359.13089999999994</v>
      </c>
      <c r="H37" s="86">
        <f>VLOOKUP($F37,Inputs!$B$44:$G$56,MATCH(H$30,Inputs!$B$41:$G$41,0),FALSE)</f>
        <v>1522.9413300000001</v>
      </c>
      <c r="I37" s="86">
        <f>VLOOKUP($F37,Inputs!$B$44:$G$56,MATCH(I$30,Inputs!$B$41:$G$41,0),FALSE)</f>
        <v>162594595</v>
      </c>
      <c r="J37" s="86">
        <f>VLOOKUP($F37,Inputs!$B$44:$G$56,MATCH(J$30,Inputs!$B$41:$G$41,0),FALSE)</f>
        <v>34115713</v>
      </c>
      <c r="K37" s="86">
        <f>VLOOKUP($F37,Inputs!$B$44:$G$56,MATCH(K$30,Inputs!$B$41:$G$41,0),FALSE)</f>
        <v>1321431259.573719</v>
      </c>
      <c r="L37" s="86">
        <f t="shared" si="6"/>
        <v>1518143449.6459491</v>
      </c>
      <c r="M37" s="86"/>
      <c r="N37" s="86">
        <f>Inputs!I48+Inputs!C48+Inputs!D48-L37</f>
        <v>0</v>
      </c>
      <c r="O37" s="113"/>
      <c r="P37" s="92"/>
      <c r="Q37" s="92"/>
      <c r="R37" s="48"/>
      <c r="S37" s="139"/>
      <c r="U37" s="83"/>
      <c r="V37" s="84">
        <f>Inputs!$B48</f>
        <v>45656</v>
      </c>
      <c r="W37" s="157"/>
      <c r="X37" s="157"/>
      <c r="Y37" s="157"/>
      <c r="Z37" s="157"/>
      <c r="AA37" s="157"/>
      <c r="AB37" s="157"/>
      <c r="AC37" s="87"/>
      <c r="AD37" s="87"/>
      <c r="AE37" s="88"/>
      <c r="AG37" s="83"/>
      <c r="AH37" s="84">
        <f>$V$37</f>
        <v>45656</v>
      </c>
      <c r="AI37" s="85">
        <f>VLOOKUP($AH37,Inputs!$B$44:$G$56,MATCH(AI$30,Inputs!$B$41:$G$41,0),FALSE)*'WES Charge True-up Calculation'!$C$46</f>
        <v>80114.921171999988</v>
      </c>
      <c r="AJ37" s="85">
        <f>VLOOKUP($AH37,Inputs!$B$44:$G$56,MATCH(AJ$30,Inputs!$B$41:$G$41,0),FALSE)*'WES Charge True-up Calculation'!$D$46</f>
        <v>340544.91080130002</v>
      </c>
      <c r="AK37" s="85">
        <f>VLOOKUP($AH37,Inputs!$B$44:$G$56,MATCH(AK$30,Inputs!$B$41:$G$41,0),FALSE)*'WES Charge True-up Calculation'!$E$46</f>
        <v>154258.37011435002</v>
      </c>
      <c r="AL37" s="85">
        <f>VLOOKUP($AH37,Inputs!$B$44:$G$56,MATCH(AL$30,Inputs!$B$41:$G$41,0),FALSE)*'WES Charge True-up Calculation'!$F$46</f>
        <v>40435.989990380003</v>
      </c>
      <c r="AM37" s="85">
        <f>VLOOKUP($AH37,Inputs!$B$44:$G$56,MATCH(AM$30,Inputs!$B$41:$G$41,0),FALSE)*'WES Charge True-up Calculation'!$G$46</f>
        <v>3169135.7325852676</v>
      </c>
      <c r="AN37" s="86">
        <f t="shared" si="7"/>
        <v>3784489.9246632978</v>
      </c>
      <c r="AO37" s="87"/>
      <c r="AP37" s="87"/>
      <c r="AQ37" s="88"/>
    </row>
    <row r="38" spans="2:43" ht="10.5" customHeight="1">
      <c r="B38" s="154"/>
      <c r="C38" s="135"/>
      <c r="E38" s="83">
        <f t="shared" si="8"/>
        <v>4</v>
      </c>
      <c r="F38" s="84">
        <f>Inputs!B49</f>
        <v>45687</v>
      </c>
      <c r="G38" s="86">
        <f>VLOOKUP($F38,Inputs!$B$44:$G$56,MATCH(G$30,Inputs!$B$41:$G$41,0),FALSE)</f>
        <v>359.13089999999994</v>
      </c>
      <c r="H38" s="86">
        <f>VLOOKUP($F38,Inputs!$B$44:$G$56,MATCH(H$30,Inputs!$B$41:$G$41,0),FALSE)</f>
        <v>1522.9413300000001</v>
      </c>
      <c r="I38" s="86">
        <f>VLOOKUP($F38,Inputs!$B$44:$G$56,MATCH(I$30,Inputs!$B$41:$G$41,0),FALSE)</f>
        <v>172491485</v>
      </c>
      <c r="J38" s="86">
        <f>VLOOKUP($F38,Inputs!$B$44:$G$56,MATCH(J$30,Inputs!$B$41:$G$41,0),FALSE)</f>
        <v>35428288</v>
      </c>
      <c r="K38" s="86">
        <f>VLOOKUP($F38,Inputs!$B$44:$G$56,MATCH(K$30,Inputs!$B$41:$G$41,0),FALSE)</f>
        <v>1471055748.6132283</v>
      </c>
      <c r="L38" s="86">
        <f t="shared" si="6"/>
        <v>1678977403.6854584</v>
      </c>
      <c r="M38" s="86"/>
      <c r="N38" s="86">
        <f>Inputs!I49+Inputs!C49+Inputs!D49-L38</f>
        <v>0</v>
      </c>
      <c r="O38" s="113"/>
      <c r="P38" s="92"/>
      <c r="Q38" s="92"/>
      <c r="R38" s="48"/>
      <c r="S38" s="139"/>
      <c r="U38" s="83"/>
      <c r="V38" s="84">
        <f>Inputs!$B49</f>
        <v>45687</v>
      </c>
      <c r="W38" s="157"/>
      <c r="X38" s="157"/>
      <c r="Y38" s="157"/>
      <c r="Z38" s="157"/>
      <c r="AA38" s="157"/>
      <c r="AB38" s="157"/>
      <c r="AC38" s="87"/>
      <c r="AD38" s="87"/>
      <c r="AE38" s="88"/>
      <c r="AG38" s="83"/>
      <c r="AH38" s="84">
        <f>$V$38</f>
        <v>45687</v>
      </c>
      <c r="AI38" s="136">
        <f>VLOOKUP($AH38,Inputs!$B$44:$G$56,MATCH(AI$30,Inputs!$B$41:$G$41,0),FALSE)*'WES Charge True-up Calculation'!$C$46</f>
        <v>80114.921171999988</v>
      </c>
      <c r="AJ38" s="136">
        <f>VLOOKUP($AH38,Inputs!$B$44:$G$56,MATCH(AJ$30,Inputs!$B$41:$G$41,0),FALSE)*'WES Charge True-up Calculation'!$D$46</f>
        <v>340544.91080130002</v>
      </c>
      <c r="AK38" s="136">
        <f>VLOOKUP($AH38,Inputs!$B$44:$G$56,MATCH(AK$30,Inputs!$B$41:$G$41,0),FALSE)*'WES Charge True-up Calculation'!$E$46</f>
        <v>163647.84656405001</v>
      </c>
      <c r="AL38" s="136">
        <f>VLOOKUP($AH38,Inputs!$B$44:$G$56,MATCH(AL$30,Inputs!$B$41:$G$41,0),FALSE)*'WES Charge True-up Calculation'!$F$46</f>
        <v>41991.732634880005</v>
      </c>
      <c r="AM38" s="136">
        <f>VLOOKUP($AH38,Inputs!$B$44:$G$56,MATCH(AM$30,Inputs!$B$41:$G$41,0),FALSE)*'WES Charge True-up Calculation'!$G$46</f>
        <v>3527974.1596691613</v>
      </c>
      <c r="AN38" s="86">
        <f t="shared" si="7"/>
        <v>4154273.5708413916</v>
      </c>
      <c r="AO38" s="87"/>
      <c r="AP38" s="87"/>
      <c r="AQ38" s="88"/>
    </row>
    <row r="39" spans="2:43" ht="10.5" customHeight="1">
      <c r="B39" s="154"/>
      <c r="C39" s="135"/>
      <c r="E39" s="83">
        <f t="shared" si="8"/>
        <v>5</v>
      </c>
      <c r="F39" s="84">
        <f>Inputs!B50</f>
        <v>45716</v>
      </c>
      <c r="G39" s="86">
        <f>VLOOKUP($F39,Inputs!$B$44:$G$56,MATCH(G$30,Inputs!$B$41:$G$41,0),FALSE)</f>
        <v>359.13089999999994</v>
      </c>
      <c r="H39" s="86">
        <f>VLOOKUP($F39,Inputs!$B$44:$G$56,MATCH(H$30,Inputs!$B$41:$G$41,0),FALSE)</f>
        <v>1522.9413300000001</v>
      </c>
      <c r="I39" s="86">
        <f>VLOOKUP($F39,Inputs!$B$44:$G$56,MATCH(I$30,Inputs!$B$41:$G$41,0),FALSE)</f>
        <v>179534221</v>
      </c>
      <c r="J39" s="86">
        <f>VLOOKUP($F39,Inputs!$B$44:$G$56,MATCH(J$30,Inputs!$B$41:$G$41,0),FALSE)</f>
        <v>34096499</v>
      </c>
      <c r="K39" s="86">
        <f>VLOOKUP($F39,Inputs!$B$44:$G$56,MATCH(K$30,Inputs!$B$41:$G$41,0),FALSE)</f>
        <v>1407230683.8339107</v>
      </c>
      <c r="L39" s="86">
        <f t="shared" si="6"/>
        <v>1620863285.9061408</v>
      </c>
      <c r="M39" s="86"/>
      <c r="N39" s="86">
        <f>Inputs!I50+Inputs!C50+Inputs!D50-L39</f>
        <v>0</v>
      </c>
      <c r="O39" s="113"/>
      <c r="P39" s="92"/>
      <c r="Q39" s="92"/>
      <c r="R39" s="48"/>
      <c r="S39" s="139"/>
      <c r="U39" s="83"/>
      <c r="V39" s="84">
        <f>Inputs!$B50</f>
        <v>45716</v>
      </c>
      <c r="W39" s="157"/>
      <c r="X39" s="157"/>
      <c r="Y39" s="157"/>
      <c r="Z39" s="157"/>
      <c r="AA39" s="157"/>
      <c r="AB39" s="157"/>
      <c r="AC39" s="87"/>
      <c r="AD39" s="87"/>
      <c r="AE39" s="88"/>
      <c r="AG39" s="83"/>
      <c r="AH39" s="84">
        <f>$V$39</f>
        <v>45716</v>
      </c>
      <c r="AI39" s="136">
        <f>VLOOKUP($AH39,Inputs!$B$44:$G$56,MATCH(AI$30,Inputs!$B$41:$G$41,0),FALSE)*'WES Charge True-up Calculation'!$C$46</f>
        <v>80114.921171999988</v>
      </c>
      <c r="AJ39" s="136">
        <f>VLOOKUP($AH39,Inputs!$B$44:$G$56,MATCH(AJ$30,Inputs!$B$41:$G$41,0),FALSE)*'WES Charge True-up Calculation'!$D$46</f>
        <v>340544.91080130002</v>
      </c>
      <c r="AK39" s="136">
        <f>VLOOKUP($AH39,Inputs!$B$44:$G$56,MATCH(AK$30,Inputs!$B$41:$G$41,0),FALSE)*'WES Charge True-up Calculation'!$E$46</f>
        <v>170329.50148933002</v>
      </c>
      <c r="AL39" s="136">
        <f>VLOOKUP($AH39,Inputs!$B$44:$G$56,MATCH(AL$30,Inputs!$B$41:$G$41,0),FALSE)*'WES Charge True-up Calculation'!$F$46</f>
        <v>40413.21640474</v>
      </c>
      <c r="AM39" s="136">
        <f>VLOOKUP($AH39,Inputs!$B$44:$G$56,MATCH(AM$30,Inputs!$B$41:$G$41,0),FALSE)*'WES Charge True-up Calculation'!$G$46</f>
        <v>3374905.0598115148</v>
      </c>
      <c r="AN39" s="86">
        <f t="shared" si="7"/>
        <v>4006307.609678885</v>
      </c>
      <c r="AO39" s="87"/>
      <c r="AP39" s="87"/>
      <c r="AQ39" s="88"/>
    </row>
    <row r="40" spans="2:43" ht="10.5" customHeight="1">
      <c r="B40" s="154"/>
      <c r="C40" s="135"/>
      <c r="E40" s="83">
        <f t="shared" si="8"/>
        <v>6</v>
      </c>
      <c r="F40" s="84">
        <f>Inputs!B51</f>
        <v>45744</v>
      </c>
      <c r="G40" s="86">
        <f>VLOOKUP($F40,Inputs!$B$44:$G$56,MATCH(G$30,Inputs!$B$41:$G$41,0),FALSE)</f>
        <v>359.13089999999994</v>
      </c>
      <c r="H40" s="86">
        <f>VLOOKUP($F40,Inputs!$B$44:$G$56,MATCH(H$30,Inputs!$B$41:$G$41,0),FALSE)</f>
        <v>1522.9413300000001</v>
      </c>
      <c r="I40" s="86">
        <f>VLOOKUP($F40,Inputs!$B$44:$G$56,MATCH(I$30,Inputs!$B$41:$G$41,0),FALSE)</f>
        <v>172730922</v>
      </c>
      <c r="J40" s="86">
        <f>VLOOKUP($F40,Inputs!$B$44:$G$56,MATCH(J$30,Inputs!$B$41:$G$41,0),FALSE)</f>
        <v>33707983</v>
      </c>
      <c r="K40" s="86">
        <f>VLOOKUP($F40,Inputs!$B$44:$G$56,MATCH(K$30,Inputs!$B$41:$G$41,0),FALSE)</f>
        <v>1218973854.21662</v>
      </c>
      <c r="L40" s="86">
        <f t="shared" si="6"/>
        <v>1425414641.2888501</v>
      </c>
      <c r="M40" s="86"/>
      <c r="N40" s="86">
        <f>Inputs!I51+Inputs!C51+Inputs!D51-L40</f>
        <v>0</v>
      </c>
      <c r="O40" s="113"/>
      <c r="P40" s="92"/>
      <c r="Q40" s="92"/>
      <c r="R40" s="48"/>
      <c r="S40" s="139"/>
      <c r="U40" s="83"/>
      <c r="V40" s="84">
        <f>Inputs!$B51</f>
        <v>45744</v>
      </c>
      <c r="W40" s="157"/>
      <c r="X40" s="157"/>
      <c r="Y40" s="157"/>
      <c r="Z40" s="157"/>
      <c r="AA40" s="157"/>
      <c r="AB40" s="157"/>
      <c r="AC40" s="87"/>
      <c r="AD40" s="87"/>
      <c r="AE40" s="88"/>
      <c r="AG40" s="83"/>
      <c r="AH40" s="84">
        <f>$V$40</f>
        <v>45744</v>
      </c>
      <c r="AI40" s="136">
        <f>VLOOKUP($AH40,Inputs!$B$44:$G$56,MATCH(AI$30,Inputs!$B$41:$G$41,0),FALSE)*'WES Charge True-up Calculation'!$C$46</f>
        <v>80114.921171999988</v>
      </c>
      <c r="AJ40" s="136">
        <f>VLOOKUP($AH40,Inputs!$B$44:$G$56,MATCH(AJ$30,Inputs!$B$41:$G$41,0),FALSE)*'WES Charge True-up Calculation'!$D$46</f>
        <v>340544.91080130002</v>
      </c>
      <c r="AK40" s="136">
        <f>VLOOKUP($AH40,Inputs!$B$44:$G$56,MATCH(AK$30,Inputs!$B$41:$G$41,0),FALSE)*'WES Charge True-up Calculation'!$E$46</f>
        <v>163875.00762906001</v>
      </c>
      <c r="AL40" s="136">
        <f>VLOOKUP($AH40,Inputs!$B$44:$G$56,MATCH(AL$30,Inputs!$B$41:$G$41,0),FALSE)*'WES Charge True-up Calculation'!$F$46</f>
        <v>39952.723930580003</v>
      </c>
      <c r="AM40" s="136">
        <f>VLOOKUP($AH40,Inputs!$B$44:$G$56,MATCH(AM$30,Inputs!$B$41:$G$41,0),FALSE)*'WES Charge True-up Calculation'!$G$46</f>
        <v>2923416.235613551</v>
      </c>
      <c r="AN40" s="86">
        <f t="shared" si="7"/>
        <v>3547903.7991464911</v>
      </c>
      <c r="AO40" s="87"/>
      <c r="AP40" s="87"/>
      <c r="AQ40" s="88"/>
    </row>
    <row r="41" spans="2:43" ht="10.5" customHeight="1">
      <c r="B41" s="154"/>
      <c r="C41" s="135"/>
      <c r="E41" s="83">
        <f t="shared" si="8"/>
        <v>7</v>
      </c>
      <c r="F41" s="84">
        <f>Inputs!B52</f>
        <v>45775</v>
      </c>
      <c r="G41" s="86">
        <f>VLOOKUP($F41,Inputs!$B$44:$G$56,MATCH(G$30,Inputs!$B$41:$G$41,0),FALSE)</f>
        <v>359.13089999999994</v>
      </c>
      <c r="H41" s="86">
        <f>VLOOKUP($F41,Inputs!$B$44:$G$56,MATCH(H$30,Inputs!$B$41:$G$41,0),FALSE)</f>
        <v>1522.9413300000001</v>
      </c>
      <c r="I41" s="86">
        <f>VLOOKUP($F41,Inputs!$B$44:$G$56,MATCH(I$30,Inputs!$B$41:$G$41,0),FALSE)</f>
        <v>173732506</v>
      </c>
      <c r="J41" s="86">
        <f>VLOOKUP($F41,Inputs!$B$44:$G$56,MATCH(J$30,Inputs!$B$41:$G$41,0),FALSE)</f>
        <v>35019844</v>
      </c>
      <c r="K41" s="86">
        <f>VLOOKUP($F41,Inputs!$B$44:$G$56,MATCH(K$30,Inputs!$B$41:$G$41,0),FALSE)</f>
        <v>1126592308.3507383</v>
      </c>
      <c r="L41" s="86">
        <f t="shared" si="6"/>
        <v>1335346540.4229684</v>
      </c>
      <c r="M41" s="86"/>
      <c r="N41" s="86">
        <f>Inputs!I52+Inputs!C52+Inputs!D52-L41</f>
        <v>0</v>
      </c>
      <c r="O41" s="113"/>
      <c r="P41" s="92"/>
      <c r="Q41" s="92"/>
      <c r="R41" s="48"/>
      <c r="S41" s="139"/>
      <c r="U41" s="83"/>
      <c r="V41" s="84">
        <f>Inputs!$B52</f>
        <v>45775</v>
      </c>
      <c r="W41" s="157"/>
      <c r="X41" s="157"/>
      <c r="Y41" s="157"/>
      <c r="Z41" s="157"/>
      <c r="AA41" s="157"/>
      <c r="AB41" s="157"/>
      <c r="AC41" s="87"/>
      <c r="AD41" s="87"/>
      <c r="AE41" s="88"/>
      <c r="AG41" s="83"/>
      <c r="AH41" s="84">
        <f>$V$41</f>
        <v>45775</v>
      </c>
      <c r="AI41" s="136">
        <f>VLOOKUP($AH41,Inputs!$B$44:$G$56,MATCH(AI$30,Inputs!$B$41:$G$41,0),FALSE)*'WES Charge True-up Calculation'!$C$46</f>
        <v>80114.921171999988</v>
      </c>
      <c r="AJ41" s="136">
        <f>VLOOKUP($AH41,Inputs!$B$44:$G$56,MATCH(AJ$30,Inputs!$B$41:$G$41,0),FALSE)*'WES Charge True-up Calculation'!$D$46</f>
        <v>340544.91080130002</v>
      </c>
      <c r="AK41" s="136">
        <f>VLOOKUP($AH41,Inputs!$B$44:$G$56,MATCH(AK$30,Inputs!$B$41:$G$41,0),FALSE)*'WES Charge True-up Calculation'!$E$46</f>
        <v>164825.24041738</v>
      </c>
      <c r="AL41" s="136">
        <f>VLOOKUP($AH41,Inputs!$B$44:$G$56,MATCH(AL$30,Inputs!$B$41:$G$41,0),FALSE)*'WES Charge True-up Calculation'!$F$46</f>
        <v>41507.620299440001</v>
      </c>
      <c r="AM41" s="136">
        <f>VLOOKUP($AH41,Inputs!$B$44:$G$56,MATCH(AM$30,Inputs!$B$41:$G$41,0),FALSE)*'WES Charge True-up Calculation'!$G$46</f>
        <v>2701861.2694252417</v>
      </c>
      <c r="AN41" s="86">
        <f t="shared" si="7"/>
        <v>3328853.9621153618</v>
      </c>
      <c r="AO41" s="87"/>
      <c r="AP41" s="87"/>
      <c r="AQ41" s="88"/>
    </row>
    <row r="42" spans="2:43" ht="10.5" customHeight="1">
      <c r="B42" s="154"/>
      <c r="C42" s="135"/>
      <c r="E42" s="83">
        <f t="shared" si="8"/>
        <v>8</v>
      </c>
      <c r="F42" s="84">
        <f>Inputs!B53</f>
        <v>45805</v>
      </c>
      <c r="G42" s="86">
        <f>VLOOKUP($F42,Inputs!$B$44:$G$56,MATCH(G$30,Inputs!$B$41:$G$41,0),FALSE)</f>
        <v>359.13089999999994</v>
      </c>
      <c r="H42" s="86">
        <f>VLOOKUP($F42,Inputs!$B$44:$G$56,MATCH(H$30,Inputs!$B$41:$G$41,0),FALSE)</f>
        <v>1522.9413300000001</v>
      </c>
      <c r="I42" s="86">
        <f>VLOOKUP($F42,Inputs!$B$44:$G$56,MATCH(I$30,Inputs!$B$41:$G$41,0),FALSE)</f>
        <v>186555814</v>
      </c>
      <c r="J42" s="86">
        <f>VLOOKUP($F42,Inputs!$B$44:$G$56,MATCH(J$30,Inputs!$B$41:$G$41,0),FALSE)</f>
        <v>36667226</v>
      </c>
      <c r="K42" s="86">
        <f>VLOOKUP($F42,Inputs!$B$44:$G$56,MATCH(K$30,Inputs!$B$41:$G$41,0),FALSE)</f>
        <v>1135605811.4275689</v>
      </c>
      <c r="L42" s="86">
        <f t="shared" si="6"/>
        <v>1358830733.499799</v>
      </c>
      <c r="M42" s="86"/>
      <c r="N42" s="86">
        <f>Inputs!I53+Inputs!C53+Inputs!D53-L42</f>
        <v>0</v>
      </c>
      <c r="O42" s="113"/>
      <c r="P42" s="92"/>
      <c r="Q42" s="92"/>
      <c r="R42" s="48"/>
      <c r="S42" s="139"/>
      <c r="U42" s="83"/>
      <c r="V42" s="84">
        <f>Inputs!$B53</f>
        <v>45805</v>
      </c>
      <c r="W42" s="89" t="str">
        <f>IFERROR(VLOOKUP($AH42,#REF!,MATCH('Waterfall - ALT'!AI$53,#REF!,0),0)," ")</f>
        <v xml:space="preserve"> </v>
      </c>
      <c r="X42" s="89" t="str">
        <f>IFERROR(VLOOKUP($AH42,#REF!,MATCH('Waterfall - ALT'!AJ$53,#REF!,0),0)," ")</f>
        <v xml:space="preserve"> </v>
      </c>
      <c r="Y42" s="90"/>
      <c r="Z42" s="91"/>
      <c r="AA42" s="92"/>
      <c r="AB42" s="87"/>
      <c r="AC42" s="87"/>
      <c r="AD42" s="87"/>
      <c r="AE42" s="88"/>
      <c r="AG42" s="83"/>
      <c r="AH42" s="84">
        <f>$V$42</f>
        <v>45805</v>
      </c>
      <c r="AI42" s="136">
        <f>VLOOKUP($AH42,Inputs!$B$44:$G$56,MATCH(AI$30,Inputs!$B$41:$G$41,0),FALSE)*'WES Charge True-up Calculation'!$C$46</f>
        <v>80114.921171999988</v>
      </c>
      <c r="AJ42" s="136">
        <f>VLOOKUP($AH42,Inputs!$B$44:$G$56,MATCH(AJ$30,Inputs!$B$41:$G$41,0),FALSE)*'WES Charge True-up Calculation'!$D$46</f>
        <v>340544.91080130002</v>
      </c>
      <c r="AK42" s="136">
        <f>VLOOKUP($AH42,Inputs!$B$44:$G$56,MATCH(AK$30,Inputs!$B$41:$G$41,0),FALSE)*'WES Charge True-up Calculation'!$E$46</f>
        <v>176991.09741622</v>
      </c>
      <c r="AL42" s="136">
        <f>VLOOKUP($AH42,Inputs!$B$44:$G$56,MATCH(AL$30,Inputs!$B$41:$G$41,0),FALSE)*'WES Charge True-up Calculation'!$F$46</f>
        <v>43460.196288760002</v>
      </c>
      <c r="AM42" s="136">
        <f>VLOOKUP($AH42,Inputs!$B$44:$G$56,MATCH(AM$30,Inputs!$B$41:$G$41,0),FALSE)*'WES Charge True-up Calculation'!$G$46</f>
        <v>2723477.9933142816</v>
      </c>
      <c r="AN42" s="86">
        <f t="shared" si="7"/>
        <v>3364589.1189925615</v>
      </c>
      <c r="AO42" s="87"/>
      <c r="AP42" s="87"/>
      <c r="AQ42" s="88"/>
    </row>
    <row r="43" spans="2:43" ht="10.5" customHeight="1">
      <c r="B43" s="154"/>
      <c r="C43" s="135"/>
      <c r="E43" s="83">
        <f t="shared" si="8"/>
        <v>9</v>
      </c>
      <c r="F43" s="84">
        <f>Inputs!B54</f>
        <v>45836</v>
      </c>
      <c r="G43" s="86">
        <f>VLOOKUP($F43,Inputs!$B$44:$G$56,MATCH(G$30,Inputs!$B$41:$G$41,0),FALSE)</f>
        <v>359.13089999999994</v>
      </c>
      <c r="H43" s="86">
        <f>VLOOKUP($F43,Inputs!$B$44:$G$56,MATCH(H$30,Inputs!$B$41:$G$41,0),FALSE)</f>
        <v>1522.9413300000001</v>
      </c>
      <c r="I43" s="86">
        <f>VLOOKUP($F43,Inputs!$B$44:$G$56,MATCH(I$30,Inputs!$B$41:$G$41,0),FALSE)</f>
        <v>191803430</v>
      </c>
      <c r="J43" s="86">
        <f>VLOOKUP($F43,Inputs!$B$44:$G$56,MATCH(J$30,Inputs!$B$41:$G$41,0),FALSE)</f>
        <v>39971456</v>
      </c>
      <c r="K43" s="86">
        <f>VLOOKUP($F43,Inputs!$B$44:$G$56,MATCH(K$30,Inputs!$B$41:$G$41,0),FALSE)</f>
        <v>1459995399.6408403</v>
      </c>
      <c r="L43" s="86">
        <f t="shared" si="6"/>
        <v>1691772167.7130704</v>
      </c>
      <c r="M43" s="86"/>
      <c r="N43" s="86">
        <f>Inputs!I54+Inputs!C54+Inputs!D54-L43</f>
        <v>0</v>
      </c>
      <c r="O43" s="113"/>
      <c r="P43" s="92"/>
      <c r="Q43" s="92"/>
      <c r="R43" s="48"/>
      <c r="S43" s="139"/>
      <c r="U43" s="83"/>
      <c r="V43" s="84">
        <f>Inputs!$B54</f>
        <v>45836</v>
      </c>
      <c r="AE43" s="88"/>
      <c r="AG43" s="83"/>
      <c r="AH43" s="84">
        <f>$V$43</f>
        <v>45836</v>
      </c>
      <c r="AI43" s="136">
        <f>VLOOKUP($AH43,Inputs!$B$44:$G$56,MATCH(AI$30,Inputs!$B$41:$G$41,0),FALSE)*'WES Charge True-up Calculation'!$C$46</f>
        <v>80114.921171999988</v>
      </c>
      <c r="AJ43" s="136">
        <f>VLOOKUP($AH43,Inputs!$B$44:$G$56,MATCH(AJ$30,Inputs!$B$41:$G$41,0),FALSE)*'WES Charge True-up Calculation'!$D$46</f>
        <v>340544.91080130002</v>
      </c>
      <c r="AK43" s="136">
        <f>VLOOKUP($AH43,Inputs!$B$44:$G$56,MATCH(AK$30,Inputs!$B$41:$G$41,0),FALSE)*'WES Charge True-up Calculation'!$E$46</f>
        <v>181969.66814390002</v>
      </c>
      <c r="AL43" s="136">
        <f>VLOOKUP($AH43,Inputs!$B$44:$G$56,MATCH(AL$30,Inputs!$B$41:$G$41,0),FALSE)*'WES Charge True-up Calculation'!$F$46</f>
        <v>47376.567938560001</v>
      </c>
      <c r="AM43" s="136">
        <f>VLOOKUP($AH43,Inputs!$B$44:$G$56,MATCH(AM$30,Inputs!$B$41:$G$41,0),FALSE)*'WES Charge True-up Calculation'!$G$46</f>
        <v>3501448.5671426416</v>
      </c>
      <c r="AN43" s="86">
        <f t="shared" si="7"/>
        <v>4151454.6351984018</v>
      </c>
      <c r="AQ43" s="88"/>
    </row>
    <row r="44" spans="2:43" ht="10.5" customHeight="1">
      <c r="B44" s="154"/>
      <c r="C44" s="135"/>
      <c r="E44" s="83">
        <f t="shared" si="8"/>
        <v>10</v>
      </c>
      <c r="F44" s="84">
        <f>Inputs!B55</f>
        <v>45866</v>
      </c>
      <c r="G44" s="86">
        <f>VLOOKUP($F44,Inputs!$B$44:$G$56,MATCH(G$30,Inputs!$B$41:$G$41,0),FALSE)</f>
        <v>359.13089999999994</v>
      </c>
      <c r="H44" s="86">
        <f>VLOOKUP($F44,Inputs!$B$44:$G$56,MATCH(H$30,Inputs!$B$41:$G$41,0),FALSE)</f>
        <v>1522.9413300000001</v>
      </c>
      <c r="I44" s="86">
        <f>VLOOKUP($F44,Inputs!$B$44:$G$56,MATCH(I$30,Inputs!$B$41:$G$41,0),FALSE)</f>
        <v>193171323</v>
      </c>
      <c r="J44" s="86">
        <f>VLOOKUP($F44,Inputs!$B$44:$G$56,MATCH(J$30,Inputs!$B$41:$G$41,0),FALSE)</f>
        <v>41828636</v>
      </c>
      <c r="K44" s="86">
        <f>VLOOKUP($F44,Inputs!$B$44:$G$56,MATCH(K$30,Inputs!$B$41:$G$41,0),FALSE)</f>
        <v>1857911515.4726591</v>
      </c>
      <c r="L44" s="86">
        <f t="shared" si="6"/>
        <v>2092913356.5448892</v>
      </c>
      <c r="M44" s="86"/>
      <c r="N44" s="86">
        <f>Inputs!I55+Inputs!C55+Inputs!D55-L44</f>
        <v>0</v>
      </c>
      <c r="O44" s="113"/>
      <c r="P44" s="92"/>
      <c r="Q44" s="92"/>
      <c r="R44" s="48"/>
      <c r="S44" s="139"/>
      <c r="U44" s="83"/>
      <c r="V44" s="84">
        <f>Inputs!$B55</f>
        <v>45866</v>
      </c>
      <c r="AE44" s="88"/>
      <c r="AG44" s="83"/>
      <c r="AH44" s="84">
        <f>$V$44</f>
        <v>45866</v>
      </c>
      <c r="AI44" s="136">
        <f>VLOOKUP($AH44,Inputs!$B$44:$G$56,MATCH(AI$30,Inputs!$B$41:$G$41,0),FALSE)*'WES Charge True-up Calculation'!$C$46</f>
        <v>80114.921171999988</v>
      </c>
      <c r="AJ44" s="136">
        <f>VLOOKUP($AH44,Inputs!$B$44:$G$56,MATCH(AJ$30,Inputs!$B$41:$G$41,0),FALSE)*'WES Charge True-up Calculation'!$D$46</f>
        <v>340544.91080130002</v>
      </c>
      <c r="AK44" s="136">
        <f>VLOOKUP($AH44,Inputs!$B$44:$G$56,MATCH(AK$30,Inputs!$B$41:$G$41,0),FALSE)*'WES Charge True-up Calculation'!$E$46</f>
        <v>183267.42926979001</v>
      </c>
      <c r="AL44" s="136">
        <f>VLOOKUP($AH44,Inputs!$B$44:$G$56,MATCH(AL$30,Inputs!$B$41:$G$41,0),FALSE)*'WES Charge True-up Calculation'!$F$46</f>
        <v>49577.80910536</v>
      </c>
      <c r="AM44" s="136">
        <f>VLOOKUP($AH44,Inputs!$B$44:$G$56,MATCH(AM$30,Inputs!$B$41:$G$41,0),FALSE)*'WES Charge True-up Calculation'!$G$46</f>
        <v>4455754.8710974595</v>
      </c>
      <c r="AN44" s="86">
        <f t="shared" si="7"/>
        <v>5109259.9414459094</v>
      </c>
      <c r="AQ44" s="88"/>
    </row>
    <row r="45" spans="2:43" ht="10.5" customHeight="1">
      <c r="B45" s="154"/>
      <c r="C45" s="135"/>
      <c r="E45" s="83">
        <f t="shared" si="8"/>
        <v>11</v>
      </c>
      <c r="F45" s="84">
        <f>Inputs!B56</f>
        <v>45897</v>
      </c>
      <c r="G45" s="86">
        <f>VLOOKUP($F45,Inputs!$B$44:$G$56,MATCH(G$30,Inputs!$B$41:$G$41,0),FALSE)</f>
        <v>359.13089999999994</v>
      </c>
      <c r="H45" s="86">
        <f>VLOOKUP($F45,Inputs!$B$44:$G$56,MATCH(H$30,Inputs!$B$41:$G$41,0),FALSE)</f>
        <v>1522.9413300000001</v>
      </c>
      <c r="I45" s="86">
        <f>VLOOKUP($F45,Inputs!$B$44:$G$56,MATCH(I$30,Inputs!$B$41:$G$41,0),FALSE)</f>
        <v>177262251</v>
      </c>
      <c r="J45" s="86">
        <f>VLOOKUP($F45,Inputs!$B$44:$G$56,MATCH(J$30,Inputs!$B$41:$G$41,0),FALSE)</f>
        <v>42367626</v>
      </c>
      <c r="K45" s="86">
        <f>VLOOKUP($F45,Inputs!$B$44:$G$56,MATCH(K$30,Inputs!$B$41:$G$41,0),FALSE)</f>
        <v>1770900219.471451</v>
      </c>
      <c r="L45" s="86">
        <f t="shared" si="6"/>
        <v>1990531978.5436811</v>
      </c>
      <c r="M45" s="86"/>
      <c r="N45" s="86">
        <f>Inputs!I56+Inputs!C56+Inputs!D56-L45</f>
        <v>0</v>
      </c>
      <c r="O45" s="113"/>
      <c r="P45" s="92"/>
      <c r="Q45" s="92"/>
      <c r="R45" s="48"/>
      <c r="S45" s="139"/>
      <c r="U45" s="83"/>
      <c r="V45" s="84">
        <f>Inputs!$B56</f>
        <v>45897</v>
      </c>
      <c r="AE45" s="88"/>
      <c r="AG45" s="83"/>
      <c r="AH45" s="84">
        <f>$V$45</f>
        <v>45897</v>
      </c>
      <c r="AI45" s="136">
        <f>VLOOKUP($AH45,Inputs!$B$44:$G$56,MATCH(AI$30,Inputs!$B$41:$G$41,0),FALSE)*'WES Charge True-up Calculation'!$C$46</f>
        <v>80114.921171999988</v>
      </c>
      <c r="AJ45" s="136">
        <f>VLOOKUP($AH45,Inputs!$B$44:$G$56,MATCH(AJ$30,Inputs!$B$41:$G$41,0),FALSE)*'WES Charge True-up Calculation'!$D$46</f>
        <v>340544.91080130002</v>
      </c>
      <c r="AK45" s="136">
        <f>VLOOKUP($AH45,Inputs!$B$44:$G$56,MATCH(AK$30,Inputs!$B$41:$G$41,0),FALSE)*'WES Charge True-up Calculation'!$E$46</f>
        <v>168174.01539123</v>
      </c>
      <c r="AL45" s="136">
        <f>VLOOKUP($AH45,Inputs!$B$44:$G$56,MATCH(AL$30,Inputs!$B$41:$G$41,0),FALSE)*'WES Charge True-up Calculation'!$F$46</f>
        <v>50216.652392759999</v>
      </c>
      <c r="AM45" s="136">
        <f>VLOOKUP($AH45,Inputs!$B$44:$G$56,MATCH(AM$30,Inputs!$B$41:$G$41,0),FALSE)*'WES Charge True-up Calculation'!$G$46</f>
        <v>4247079.1603496028</v>
      </c>
      <c r="AN45" s="86">
        <f t="shared" si="7"/>
        <v>4886129.6601068927</v>
      </c>
      <c r="AQ45" s="88"/>
    </row>
    <row r="46" spans="2:43" ht="6" customHeight="1">
      <c r="E46" s="93"/>
      <c r="F46" s="80"/>
      <c r="G46" s="80"/>
      <c r="H46" s="80"/>
      <c r="I46" s="80"/>
      <c r="J46" s="80"/>
      <c r="K46" s="80"/>
      <c r="L46" s="87"/>
      <c r="M46" s="87"/>
      <c r="N46" s="87"/>
      <c r="O46" s="88"/>
      <c r="P46" s="80"/>
      <c r="Q46" s="80"/>
      <c r="R46" s="48"/>
      <c r="S46" s="139"/>
      <c r="U46" s="93"/>
      <c r="V46" s="80"/>
      <c r="W46" s="80"/>
      <c r="X46" s="80"/>
      <c r="Y46" s="80"/>
      <c r="Z46" s="80"/>
      <c r="AA46" s="80"/>
      <c r="AB46" s="87"/>
      <c r="AC46" s="87"/>
      <c r="AD46" s="87"/>
      <c r="AE46" s="88"/>
      <c r="AG46" s="93"/>
      <c r="AH46" s="80"/>
      <c r="AI46" s="80"/>
      <c r="AJ46" s="80"/>
      <c r="AK46" s="80"/>
      <c r="AL46" s="80"/>
      <c r="AM46" s="80"/>
      <c r="AN46" s="87"/>
      <c r="AO46" s="87"/>
      <c r="AP46" s="87"/>
      <c r="AQ46" s="88"/>
    </row>
    <row r="47" spans="2:43" ht="12" thickBot="1">
      <c r="E47" s="94" t="s">
        <v>172</v>
      </c>
      <c r="F47" s="65"/>
      <c r="G47" s="66">
        <f t="shared" ref="G47:L47" si="9">SUM(G33:G46)</f>
        <v>4666.7017000000005</v>
      </c>
      <c r="H47" s="66">
        <f t="shared" si="9"/>
        <v>19794.237290000001</v>
      </c>
      <c r="I47" s="66">
        <f t="shared" si="9"/>
        <v>2318100462</v>
      </c>
      <c r="J47" s="66">
        <f t="shared" si="9"/>
        <v>493621060</v>
      </c>
      <c r="K47" s="66">
        <f t="shared" si="9"/>
        <v>18600027031.082611</v>
      </c>
      <c r="L47" s="66">
        <f t="shared" si="9"/>
        <v>21411773014.021606</v>
      </c>
      <c r="M47" s="92"/>
      <c r="N47" s="87"/>
      <c r="O47" s="88"/>
      <c r="P47" s="80"/>
      <c r="Q47" s="80"/>
      <c r="R47" s="48"/>
      <c r="S47" s="139"/>
      <c r="U47" s="94" t="s">
        <v>172</v>
      </c>
      <c r="V47" s="65"/>
      <c r="W47" s="66">
        <f>SUM(W31:W46)</f>
        <v>718.26179999999999</v>
      </c>
      <c r="X47" s="66">
        <f t="shared" ref="X47:AB47" si="10">SUM(X31:X46)</f>
        <v>3035.89581</v>
      </c>
      <c r="Y47" s="66">
        <f t="shared" si="10"/>
        <v>384973698</v>
      </c>
      <c r="Z47" s="66">
        <f t="shared" si="10"/>
        <v>81722389</v>
      </c>
      <c r="AA47" s="66">
        <f t="shared" si="10"/>
        <v>3375404396</v>
      </c>
      <c r="AB47" s="66">
        <f t="shared" si="10"/>
        <v>3842104237.1576099</v>
      </c>
      <c r="AC47" s="92"/>
      <c r="AD47" s="87"/>
      <c r="AE47" s="88"/>
      <c r="AG47" s="94" t="s">
        <v>172</v>
      </c>
      <c r="AH47" s="65"/>
      <c r="AI47" s="66">
        <f t="shared" ref="AI47:AN47" si="11">SUM(AI33:AI46)</f>
        <v>881264.13289199991</v>
      </c>
      <c r="AJ47" s="66">
        <f t="shared" si="11"/>
        <v>3745994.0188142997</v>
      </c>
      <c r="AK47" s="66">
        <f t="shared" si="11"/>
        <v>1844250.0823295903</v>
      </c>
      <c r="AL47" s="66">
        <f t="shared" si="11"/>
        <v>481822.13576915994</v>
      </c>
      <c r="AM47" s="66">
        <f t="shared" si="11"/>
        <v>36304607.920588031</v>
      </c>
      <c r="AN47" s="66">
        <f t="shared" si="11"/>
        <v>43257938.290393077</v>
      </c>
      <c r="AO47" s="92"/>
      <c r="AP47" s="87"/>
      <c r="AQ47" s="88"/>
    </row>
    <row r="48" spans="2:43" ht="12" thickTop="1">
      <c r="E48" s="93"/>
      <c r="F48" s="80"/>
      <c r="G48" s="80"/>
      <c r="H48" s="95"/>
      <c r="I48" s="80"/>
      <c r="J48" s="80"/>
      <c r="K48" s="80"/>
      <c r="L48" s="80"/>
      <c r="M48" s="80"/>
      <c r="N48" s="80"/>
      <c r="O48" s="88"/>
      <c r="P48" s="80"/>
      <c r="Q48" s="80"/>
      <c r="R48" s="48"/>
      <c r="S48" s="139"/>
      <c r="U48" s="93"/>
      <c r="V48" s="80"/>
      <c r="W48" s="80"/>
      <c r="X48" s="95"/>
      <c r="Y48" s="80"/>
      <c r="Z48" s="80"/>
      <c r="AA48" s="80"/>
      <c r="AB48" s="80"/>
      <c r="AC48" s="80"/>
      <c r="AD48" s="80"/>
      <c r="AE48" s="88"/>
      <c r="AG48" s="93"/>
      <c r="AH48" s="80"/>
      <c r="AI48" s="80"/>
      <c r="AJ48" s="95"/>
      <c r="AK48" s="80"/>
      <c r="AL48" s="80"/>
      <c r="AM48" s="80"/>
      <c r="AN48" s="80"/>
      <c r="AO48" s="80"/>
      <c r="AP48" s="80"/>
      <c r="AQ48" s="88"/>
    </row>
    <row r="49" spans="2:43">
      <c r="E49" s="93"/>
      <c r="F49" s="80"/>
      <c r="G49" s="80"/>
      <c r="H49" s="95"/>
      <c r="I49" s="80"/>
      <c r="J49" s="80"/>
      <c r="K49" s="80"/>
      <c r="L49" s="80"/>
      <c r="M49" s="80"/>
      <c r="N49" s="80"/>
      <c r="O49" s="88"/>
      <c r="P49" s="80"/>
      <c r="Q49" s="333"/>
      <c r="R49" s="48"/>
      <c r="S49" s="139"/>
      <c r="U49" s="93"/>
      <c r="V49" s="80"/>
      <c r="W49" s="80"/>
      <c r="X49" s="95"/>
      <c r="Y49" s="80"/>
      <c r="Z49" s="80"/>
      <c r="AA49" s="80"/>
      <c r="AB49" s="80"/>
      <c r="AC49" s="80"/>
      <c r="AD49" s="80"/>
      <c r="AE49" s="88"/>
      <c r="AG49" s="93"/>
      <c r="AH49" s="80"/>
      <c r="AI49" s="80"/>
      <c r="AJ49" s="95"/>
      <c r="AK49" s="80"/>
      <c r="AL49" s="80"/>
      <c r="AM49" s="80"/>
      <c r="AN49" s="80"/>
      <c r="AO49" s="80"/>
      <c r="AP49" s="80"/>
      <c r="AQ49" s="88"/>
    </row>
    <row r="50" spans="2:43" ht="15.75">
      <c r="E50" s="137" t="s">
        <v>177</v>
      </c>
      <c r="F50" s="138"/>
      <c r="G50" s="138"/>
      <c r="H50" s="138"/>
      <c r="I50" s="138"/>
      <c r="J50" s="138"/>
      <c r="K50" s="138"/>
      <c r="L50" s="138"/>
      <c r="M50" s="138"/>
      <c r="N50" s="137"/>
      <c r="O50" s="138"/>
      <c r="P50" s="134"/>
      <c r="Q50" s="334"/>
      <c r="R50" s="48"/>
      <c r="S50" s="139"/>
      <c r="U50" s="137" t="s">
        <v>178</v>
      </c>
      <c r="V50" s="138"/>
      <c r="W50" s="138"/>
      <c r="X50" s="138"/>
      <c r="Y50" s="138"/>
      <c r="Z50" s="138"/>
      <c r="AA50" s="138"/>
      <c r="AB50" s="138"/>
      <c r="AC50" s="138"/>
      <c r="AD50" s="131"/>
      <c r="AE50" s="132"/>
      <c r="AG50" s="137" t="s">
        <v>179</v>
      </c>
      <c r="AH50" s="138"/>
      <c r="AI50" s="138"/>
      <c r="AJ50" s="138"/>
      <c r="AK50" s="138"/>
      <c r="AL50" s="138"/>
      <c r="AM50" s="138"/>
      <c r="AN50" s="138"/>
      <c r="AO50" s="138"/>
      <c r="AP50" s="131"/>
      <c r="AQ50" s="132"/>
    </row>
    <row r="51" spans="2:43" ht="21.6" customHeight="1" thickBot="1">
      <c r="E51" s="79"/>
      <c r="F51" s="80"/>
      <c r="G51" s="80"/>
      <c r="H51" s="80"/>
      <c r="I51" s="80"/>
      <c r="J51" s="80"/>
      <c r="K51" s="80"/>
      <c r="L51" s="496"/>
      <c r="M51" s="496"/>
      <c r="N51" s="496"/>
      <c r="O51" s="497"/>
      <c r="P51" s="134"/>
      <c r="Q51" s="134"/>
      <c r="R51" s="48"/>
      <c r="S51" s="139"/>
      <c r="U51" s="79"/>
      <c r="V51" s="80"/>
      <c r="W51" s="80"/>
      <c r="X51" s="80"/>
      <c r="Y51" s="80"/>
      <c r="Z51" s="80"/>
      <c r="AA51" s="80"/>
      <c r="AB51" s="496"/>
      <c r="AC51" s="496"/>
      <c r="AD51" s="496"/>
      <c r="AE51" s="497"/>
      <c r="AG51" s="79"/>
      <c r="AH51" s="80"/>
      <c r="AI51" s="80"/>
      <c r="AJ51" s="80"/>
      <c r="AK51" s="80"/>
      <c r="AL51" s="80"/>
      <c r="AM51" s="80"/>
      <c r="AN51" s="496"/>
      <c r="AO51" s="496"/>
      <c r="AP51" s="496"/>
      <c r="AQ51" s="497"/>
    </row>
    <row r="52" spans="2:43" s="55" customFormat="1" ht="35.25" customHeight="1" thickBot="1">
      <c r="E52" s="193" t="s">
        <v>162</v>
      </c>
      <c r="F52" s="194" t="s">
        <v>40</v>
      </c>
      <c r="G52" s="208" t="s">
        <v>180</v>
      </c>
      <c r="H52" s="209"/>
      <c r="I52" s="209"/>
      <c r="J52" s="209"/>
      <c r="K52" s="209"/>
      <c r="L52" s="210"/>
      <c r="M52" s="196"/>
      <c r="N52" s="81"/>
      <c r="O52" s="82"/>
      <c r="P52" s="134"/>
      <c r="Q52" s="134"/>
      <c r="S52" s="142"/>
      <c r="T52" s="48"/>
      <c r="U52" s="193" t="s">
        <v>162</v>
      </c>
      <c r="V52" s="194" t="s">
        <v>40</v>
      </c>
      <c r="W52" s="208" t="s">
        <v>180</v>
      </c>
      <c r="X52" s="209"/>
      <c r="Y52" s="209"/>
      <c r="Z52" s="209"/>
      <c r="AA52" s="209"/>
      <c r="AB52" s="210"/>
      <c r="AC52" s="196"/>
      <c r="AD52" s="81"/>
      <c r="AE52" s="82"/>
      <c r="AF52" s="48"/>
      <c r="AG52" s="193" t="s">
        <v>162</v>
      </c>
      <c r="AH52" s="194" t="s">
        <v>40</v>
      </c>
      <c r="AI52" s="208" t="s">
        <v>180</v>
      </c>
      <c r="AJ52" s="209"/>
      <c r="AK52" s="209"/>
      <c r="AL52" s="209"/>
      <c r="AM52" s="209"/>
      <c r="AN52" s="210"/>
      <c r="AO52" s="196"/>
      <c r="AP52" s="81"/>
      <c r="AQ52" s="82"/>
    </row>
    <row r="53" spans="2:43" s="55" customFormat="1" ht="25.5" customHeight="1" thickBot="1">
      <c r="B53" s="145"/>
      <c r="C53" s="145"/>
      <c r="E53" s="197"/>
      <c r="F53" s="198"/>
      <c r="G53" s="195" t="str">
        <f t="shared" ref="G53:L53" si="12">G30</f>
        <v>SL 1 (Blocks)</v>
      </c>
      <c r="H53" s="195" t="str">
        <f t="shared" si="12"/>
        <v>SL 2 (Blocks)</v>
      </c>
      <c r="I53" s="195" t="str">
        <f t="shared" si="12"/>
        <v>SL 3 (KWH)</v>
      </c>
      <c r="J53" s="195" t="str">
        <f t="shared" si="12"/>
        <v>SL 4 (KWH)</v>
      </c>
      <c r="K53" s="195" t="str">
        <f t="shared" si="12"/>
        <v>SL 5 (KWH)</v>
      </c>
      <c r="L53" s="198" t="str">
        <f t="shared" si="12"/>
        <v>Total</v>
      </c>
      <c r="M53" s="196"/>
      <c r="N53" s="81"/>
      <c r="O53" s="82"/>
      <c r="P53" s="134"/>
      <c r="Q53" s="134"/>
      <c r="S53" s="142"/>
      <c r="U53" s="197"/>
      <c r="V53" s="198"/>
      <c r="W53" s="195" t="str">
        <f>$W$30</f>
        <v>SL 1 (Blocks)</v>
      </c>
      <c r="X53" s="195" t="str">
        <f>$X$30</f>
        <v>SL 2 (Blocks)</v>
      </c>
      <c r="Y53" s="195" t="str">
        <f>$Y$30</f>
        <v>SL 3 (KWH)</v>
      </c>
      <c r="Z53" s="195" t="str">
        <f>$Z$30</f>
        <v>SL 4 (KWH)</v>
      </c>
      <c r="AA53" s="195" t="str">
        <f>$AA$30</f>
        <v>SL 5 (KWH)</v>
      </c>
      <c r="AB53" s="198" t="str">
        <f>$AB$30</f>
        <v>Total</v>
      </c>
      <c r="AC53" s="196"/>
      <c r="AD53" s="81"/>
      <c r="AE53" s="82"/>
      <c r="AF53" s="48"/>
      <c r="AG53" s="197"/>
      <c r="AH53" s="198"/>
      <c r="AI53" s="195" t="str">
        <f>$W$30</f>
        <v>SL 1 (Blocks)</v>
      </c>
      <c r="AJ53" s="195" t="str">
        <f>$X$30</f>
        <v>SL 2 (Blocks)</v>
      </c>
      <c r="AK53" s="195" t="str">
        <f>$Y$30</f>
        <v>SL 3 (KWH)</v>
      </c>
      <c r="AL53" s="195" t="str">
        <f>$Z$30</f>
        <v>SL 4 (KWH)</v>
      </c>
      <c r="AM53" s="195" t="str">
        <f>$AA$30</f>
        <v>SL 5 (KWH)</v>
      </c>
      <c r="AN53" s="198" t="str">
        <f>$AB$30</f>
        <v>Total</v>
      </c>
      <c r="AO53" s="196"/>
      <c r="AP53" s="81"/>
      <c r="AQ53" s="82"/>
    </row>
    <row r="54" spans="2:43">
      <c r="B54" s="154"/>
      <c r="C54" s="154"/>
      <c r="E54" s="203"/>
      <c r="F54" s="190">
        <f>F31</f>
        <v>45444</v>
      </c>
      <c r="G54" s="202">
        <f>SUM(AI54,W54)</f>
        <v>339.90902457932424</v>
      </c>
      <c r="H54" s="202">
        <f t="shared" ref="H54:H55" si="13">SUM(AJ54,X54)</f>
        <v>1355.2007940775056</v>
      </c>
      <c r="I54" s="202">
        <f t="shared" ref="I54:I55" si="14">SUM(AK54,Y54)</f>
        <v>152181874.1603224</v>
      </c>
      <c r="J54" s="202">
        <f t="shared" ref="J54:J55" si="15">SUM(AL54,Z54)</f>
        <v>31631029.205116041</v>
      </c>
      <c r="K54" s="202">
        <f t="shared" ref="K54:K55" si="16">SUM(AM54,AA54)</f>
        <v>1207752234.357033</v>
      </c>
      <c r="L54" s="202">
        <f t="shared" ref="L54:L68" si="17">SUM(G54:K54)</f>
        <v>1391566832.8322902</v>
      </c>
      <c r="M54" s="86"/>
      <c r="N54" s="87"/>
      <c r="O54" s="88"/>
      <c r="P54" s="134"/>
      <c r="Q54" s="134"/>
      <c r="R54" s="48"/>
      <c r="S54" s="139"/>
      <c r="U54" s="189"/>
      <c r="V54" s="190">
        <f>$V$31</f>
        <v>45444</v>
      </c>
      <c r="W54" s="205">
        <f>'Aug. 1, 2024 Payment Date'!C64/'Aug. 1, 2024 Payment Date'!C40</f>
        <v>339.90902457932424</v>
      </c>
      <c r="X54" s="205">
        <f>'Aug. 1, 2024 Payment Date'!D64/'Aug. 1, 2024 Payment Date'!D40</f>
        <v>1355.2007940775056</v>
      </c>
      <c r="Y54" s="205">
        <f>'Aug. 1, 2024 Payment Date'!E64/'Aug. 1, 2024 Payment Date'!E40</f>
        <v>152181874.1603224</v>
      </c>
      <c r="Z54" s="205">
        <f>'Aug. 1, 2024 Payment Date'!F64/'Aug. 1, 2024 Payment Date'!F40</f>
        <v>31631029.205116041</v>
      </c>
      <c r="AA54" s="205">
        <f>'Aug. 1, 2024 Payment Date'!G64/'Aug. 1, 2024 Payment Date'!G40</f>
        <v>1207752234.357033</v>
      </c>
      <c r="AB54" s="191">
        <f t="shared" ref="AB54:AB68" si="18">SUM(W54:AA54)</f>
        <v>1391566832.8322902</v>
      </c>
      <c r="AC54" s="136"/>
      <c r="AD54" s="87"/>
      <c r="AE54" s="82"/>
      <c r="AG54" s="187">
        <v>0</v>
      </c>
      <c r="AH54" s="188">
        <f>$V$31</f>
        <v>45444</v>
      </c>
      <c r="AI54" s="202"/>
      <c r="AJ54" s="202"/>
      <c r="AK54" s="202"/>
      <c r="AL54" s="202"/>
      <c r="AM54" s="202"/>
      <c r="AN54" s="202">
        <f t="shared" ref="AN54:AN68" si="19">SUM(AI54:AM54)</f>
        <v>0</v>
      </c>
      <c r="AO54" s="136"/>
      <c r="AQ54" s="88"/>
    </row>
    <row r="55" spans="2:43">
      <c r="B55" s="154"/>
      <c r="C55" s="154"/>
      <c r="E55" s="203"/>
      <c r="F55" s="190">
        <f t="shared" ref="F55:F68" si="20">F32</f>
        <v>45474</v>
      </c>
      <c r="G55" s="202">
        <f t="shared" ref="G55" si="21">SUM(AI55,W55)</f>
        <v>343.06283916275243</v>
      </c>
      <c r="H55" s="202">
        <f t="shared" si="13"/>
        <v>1537.2057157037098</v>
      </c>
      <c r="I55" s="202">
        <f t="shared" si="14"/>
        <v>219011251.67935511</v>
      </c>
      <c r="J55" s="202">
        <f t="shared" si="15"/>
        <v>43702059.484278649</v>
      </c>
      <c r="K55" s="202">
        <f t="shared" si="16"/>
        <v>1732380351.4763288</v>
      </c>
      <c r="L55" s="202">
        <f t="shared" si="17"/>
        <v>1995095542.9085174</v>
      </c>
      <c r="M55" s="96"/>
      <c r="N55" s="87"/>
      <c r="O55" s="88"/>
      <c r="P55" s="80"/>
      <c r="Q55" s="80"/>
      <c r="R55" s="48"/>
      <c r="S55" s="139"/>
      <c r="U55" s="189"/>
      <c r="V55" s="190">
        <f>$V$32</f>
        <v>45474</v>
      </c>
      <c r="W55" s="205">
        <f>W31*(1-'Aug. 1, 2024 Payment Date'!J64)+W32*'Aug. 1, 2024 Payment Date'!J65</f>
        <v>343.06283916275243</v>
      </c>
      <c r="X55" s="205">
        <f>X31*(1-'Aug. 1, 2024 Payment Date'!K64)+X32*'Aug. 1, 2024 Payment Date'!K65</f>
        <v>1537.2057157037098</v>
      </c>
      <c r="Y55" s="205">
        <f>Y31*(1-'Aug. 1, 2024 Payment Date'!L64)+Y32*'Aug. 1, 2024 Payment Date'!L65</f>
        <v>219011251.67935511</v>
      </c>
      <c r="Z55" s="205">
        <f>Z31*(1-'Aug. 1, 2024 Payment Date'!M64)+Z32*'Aug. 1, 2024 Payment Date'!M65</f>
        <v>43702059.484278649</v>
      </c>
      <c r="AA55" s="205">
        <f>AA31*(1-'Aug. 1, 2024 Payment Date'!N64)+AA32*'Aug. 1, 2024 Payment Date'!N65</f>
        <v>1732380351.4763288</v>
      </c>
      <c r="AB55" s="191">
        <f t="shared" si="18"/>
        <v>1995095542.9085174</v>
      </c>
      <c r="AC55" s="136"/>
      <c r="AD55" s="87"/>
      <c r="AE55" s="88"/>
      <c r="AG55" s="187">
        <v>0</v>
      </c>
      <c r="AH55" s="188">
        <f>$V$32</f>
        <v>45474</v>
      </c>
      <c r="AI55" s="202"/>
      <c r="AJ55" s="202"/>
      <c r="AK55" s="202"/>
      <c r="AL55" s="202"/>
      <c r="AM55" s="202"/>
      <c r="AN55" s="202">
        <f t="shared" si="19"/>
        <v>0</v>
      </c>
      <c r="AO55" s="136"/>
      <c r="AQ55" s="88"/>
    </row>
    <row r="56" spans="2:43">
      <c r="B56" s="154"/>
      <c r="C56" s="154"/>
      <c r="E56" s="83">
        <v>0</v>
      </c>
      <c r="F56" s="84">
        <f t="shared" si="20"/>
        <v>45535</v>
      </c>
      <c r="G56" s="86">
        <f>SUM(AI56,W56)</f>
        <v>358.13089999999994</v>
      </c>
      <c r="H56" s="86">
        <f t="shared" ref="H56:J56" si="22">SUM(AJ56,X56)</f>
        <v>1520.9413300000001</v>
      </c>
      <c r="I56" s="86">
        <f t="shared" si="22"/>
        <v>177262251</v>
      </c>
      <c r="J56" s="86">
        <f t="shared" si="22"/>
        <v>42367626</v>
      </c>
      <c r="K56" s="86">
        <f>SUM(AM56,AA56)</f>
        <v>1754063705.7836466</v>
      </c>
      <c r="L56" s="86">
        <f t="shared" si="17"/>
        <v>1973695461.8558767</v>
      </c>
      <c r="M56" s="86"/>
      <c r="N56" s="87"/>
      <c r="O56" s="88"/>
      <c r="P56" s="80"/>
      <c r="Q56" s="80"/>
      <c r="R56" s="48"/>
      <c r="S56" s="139"/>
      <c r="U56" s="83">
        <f>U55+1</f>
        <v>1</v>
      </c>
      <c r="V56" s="84">
        <f>$V$33</f>
        <v>45535</v>
      </c>
      <c r="W56" s="86">
        <f>G33</f>
        <v>358.13089999999994</v>
      </c>
      <c r="X56" s="86">
        <f t="shared" ref="X56:Z56" si="23">H33</f>
        <v>1520.9413300000001</v>
      </c>
      <c r="Y56" s="86">
        <f t="shared" si="23"/>
        <v>177262251</v>
      </c>
      <c r="Z56" s="86">
        <f t="shared" si="23"/>
        <v>42367626</v>
      </c>
      <c r="AA56" s="86">
        <f>K33</f>
        <v>1754063705.7836466</v>
      </c>
      <c r="AB56" s="86">
        <f t="shared" si="18"/>
        <v>1973695461.8558767</v>
      </c>
      <c r="AC56" s="86"/>
      <c r="AD56" s="87"/>
      <c r="AE56" s="88"/>
      <c r="AG56" s="83">
        <f>AG55+1</f>
        <v>1</v>
      </c>
      <c r="AH56" s="84">
        <f>$V$33</f>
        <v>45535</v>
      </c>
      <c r="AI56" s="322"/>
      <c r="AJ56" s="86"/>
      <c r="AK56" s="86"/>
      <c r="AL56" s="86"/>
      <c r="AM56" s="86"/>
      <c r="AN56" s="86">
        <f t="shared" si="19"/>
        <v>0</v>
      </c>
      <c r="AO56" s="86"/>
      <c r="AP56" s="87"/>
      <c r="AQ56" s="88"/>
    </row>
    <row r="57" spans="2:43">
      <c r="E57" s="83">
        <v>0</v>
      </c>
      <c r="F57" s="84">
        <f t="shared" si="20"/>
        <v>45565</v>
      </c>
      <c r="G57" s="86">
        <f t="shared" ref="G57:G68" si="24">SUM(AI57,W57)</f>
        <v>358.13089999999994</v>
      </c>
      <c r="H57" s="86">
        <f t="shared" ref="H57:H68" si="25">SUM(AJ57,X57)</f>
        <v>1520.9413300000001</v>
      </c>
      <c r="I57" s="86">
        <f t="shared" ref="I57:I68" si="26">SUM(AK57,Y57)</f>
        <v>196923628</v>
      </c>
      <c r="J57" s="86">
        <f t="shared" ref="J57:J68" si="27">SUM(AL57,Z57)</f>
        <v>44741668</v>
      </c>
      <c r="K57" s="86">
        <f t="shared" ref="K57:K68" si="28">SUM(AM57,AA57)</f>
        <v>1708068384.5552499</v>
      </c>
      <c r="L57" s="86">
        <f t="shared" si="17"/>
        <v>1949735559.62748</v>
      </c>
      <c r="M57" s="86"/>
      <c r="N57" s="87"/>
      <c r="O57" s="88"/>
      <c r="P57" s="80"/>
      <c r="Q57" s="80"/>
      <c r="R57" s="48"/>
      <c r="S57" s="139"/>
      <c r="U57" s="83">
        <f>U56+1</f>
        <v>2</v>
      </c>
      <c r="V57" s="84">
        <f>$V$34</f>
        <v>45565</v>
      </c>
      <c r="W57" s="86">
        <f t="shared" ref="W57" si="29">G34</f>
        <v>358.13089999999994</v>
      </c>
      <c r="X57" s="86">
        <f t="shared" ref="X57" si="30">H34</f>
        <v>1520.9413300000001</v>
      </c>
      <c r="Y57" s="86">
        <f t="shared" ref="Y57" si="31">I34</f>
        <v>196923628</v>
      </c>
      <c r="Z57" s="86">
        <f t="shared" ref="Z57" si="32">J34</f>
        <v>44741668</v>
      </c>
      <c r="AA57" s="86">
        <f t="shared" ref="AA57" si="33">K34</f>
        <v>1708068384.5552499</v>
      </c>
      <c r="AB57" s="86">
        <f t="shared" si="18"/>
        <v>1949735559.62748</v>
      </c>
      <c r="AC57" s="86"/>
      <c r="AD57" s="87"/>
      <c r="AE57" s="88"/>
      <c r="AG57" s="83">
        <f>AG56+1</f>
        <v>2</v>
      </c>
      <c r="AH57" s="84">
        <f>$V$34</f>
        <v>45565</v>
      </c>
      <c r="AI57" s="86"/>
      <c r="AJ57" s="86"/>
      <c r="AK57" s="86"/>
      <c r="AL57" s="86"/>
      <c r="AM57" s="86"/>
      <c r="AN57" s="86">
        <f t="shared" si="19"/>
        <v>0</v>
      </c>
      <c r="AO57" s="86"/>
      <c r="AP57" s="87"/>
      <c r="AQ57" s="88"/>
    </row>
    <row r="58" spans="2:43">
      <c r="B58" s="155"/>
      <c r="C58" s="155"/>
      <c r="E58" s="83">
        <f t="shared" ref="E58:E68" si="34">E57+1</f>
        <v>1</v>
      </c>
      <c r="F58" s="84">
        <f t="shared" si="20"/>
        <v>45595</v>
      </c>
      <c r="G58" s="86">
        <f t="shared" si="24"/>
        <v>359.13089999999994</v>
      </c>
      <c r="H58" s="86">
        <f t="shared" si="25"/>
        <v>1522.9413300000001</v>
      </c>
      <c r="I58" s="86">
        <f t="shared" si="26"/>
        <v>166979740</v>
      </c>
      <c r="J58" s="86">
        <f t="shared" si="27"/>
        <v>37737699</v>
      </c>
      <c r="K58" s="86">
        <f t="shared" si="28"/>
        <v>1238760541.908345</v>
      </c>
      <c r="L58" s="86">
        <f t="shared" si="17"/>
        <v>1443479862.9805751</v>
      </c>
      <c r="M58" s="86"/>
      <c r="N58" s="86"/>
      <c r="O58" s="88"/>
      <c r="P58" s="80"/>
      <c r="Q58" s="80"/>
      <c r="R58" s="48"/>
      <c r="S58" s="139"/>
      <c r="T58" s="62"/>
      <c r="U58" s="83"/>
      <c r="V58" s="84">
        <f>$V$35</f>
        <v>45595</v>
      </c>
      <c r="W58" s="86">
        <v>0</v>
      </c>
      <c r="X58" s="86">
        <v>0</v>
      </c>
      <c r="Y58" s="86">
        <v>0</v>
      </c>
      <c r="Z58" s="86">
        <v>0</v>
      </c>
      <c r="AA58" s="86">
        <v>0</v>
      </c>
      <c r="AB58" s="86">
        <f t="shared" si="18"/>
        <v>0</v>
      </c>
      <c r="AC58" s="86"/>
      <c r="AD58" s="87"/>
      <c r="AE58" s="88"/>
      <c r="AF58" s="62"/>
      <c r="AG58" s="83"/>
      <c r="AH58" s="84">
        <f>$V$35</f>
        <v>45595</v>
      </c>
      <c r="AI58" s="86">
        <f>G35</f>
        <v>359.13089999999994</v>
      </c>
      <c r="AJ58" s="86">
        <f t="shared" ref="AJ58:AM58" si="35">H35</f>
        <v>1522.9413300000001</v>
      </c>
      <c r="AK58" s="86">
        <f t="shared" si="35"/>
        <v>166979740</v>
      </c>
      <c r="AL58" s="86">
        <f t="shared" si="35"/>
        <v>37737699</v>
      </c>
      <c r="AM58" s="86">
        <f t="shared" si="35"/>
        <v>1238760541.908345</v>
      </c>
      <c r="AN58" s="86">
        <f t="shared" si="19"/>
        <v>1443479862.9805751</v>
      </c>
      <c r="AO58" s="86"/>
      <c r="AP58" s="87"/>
      <c r="AQ58" s="88"/>
    </row>
    <row r="59" spans="2:43">
      <c r="B59" s="146"/>
      <c r="C59" s="146"/>
      <c r="E59" s="83">
        <f t="shared" si="34"/>
        <v>2</v>
      </c>
      <c r="F59" s="84">
        <f t="shared" si="20"/>
        <v>45626</v>
      </c>
      <c r="G59" s="86">
        <f t="shared" si="24"/>
        <v>359.13089999999994</v>
      </c>
      <c r="H59" s="86">
        <f t="shared" si="25"/>
        <v>1522.9413300000001</v>
      </c>
      <c r="I59" s="86">
        <f t="shared" si="26"/>
        <v>167058296</v>
      </c>
      <c r="J59" s="86">
        <f t="shared" si="27"/>
        <v>35570796</v>
      </c>
      <c r="K59" s="86">
        <f t="shared" si="28"/>
        <v>1129437598.2346365</v>
      </c>
      <c r="L59" s="86">
        <f t="shared" si="17"/>
        <v>1332068572.3068666</v>
      </c>
      <c r="M59" s="86"/>
      <c r="N59" s="86"/>
      <c r="O59" s="88"/>
      <c r="P59" s="80"/>
      <c r="Q59" s="80"/>
      <c r="R59" s="48"/>
      <c r="S59" s="139"/>
      <c r="T59" s="62"/>
      <c r="U59" s="83"/>
      <c r="V59" s="84">
        <f>$V$36</f>
        <v>45626</v>
      </c>
      <c r="W59" s="86">
        <v>0</v>
      </c>
      <c r="X59" s="86">
        <v>0</v>
      </c>
      <c r="Y59" s="86">
        <v>0</v>
      </c>
      <c r="Z59" s="86">
        <v>0</v>
      </c>
      <c r="AA59" s="86">
        <v>0</v>
      </c>
      <c r="AB59" s="86">
        <f t="shared" si="18"/>
        <v>0</v>
      </c>
      <c r="AC59" s="87"/>
      <c r="AD59" s="87"/>
      <c r="AE59" s="88"/>
      <c r="AF59" s="62"/>
      <c r="AG59" s="83"/>
      <c r="AH59" s="84">
        <f>$V$36</f>
        <v>45626</v>
      </c>
      <c r="AI59" s="86">
        <f t="shared" ref="AI59:AI68" si="36">G36</f>
        <v>359.13089999999994</v>
      </c>
      <c r="AJ59" s="86">
        <f t="shared" ref="AJ59:AJ68" si="37">H36</f>
        <v>1522.9413300000001</v>
      </c>
      <c r="AK59" s="86">
        <f t="shared" ref="AK59:AK68" si="38">I36</f>
        <v>167058296</v>
      </c>
      <c r="AL59" s="86">
        <f t="shared" ref="AL59:AL68" si="39">J36</f>
        <v>35570796</v>
      </c>
      <c r="AM59" s="86">
        <f t="shared" ref="AM59:AM68" si="40">K36</f>
        <v>1129437598.2346365</v>
      </c>
      <c r="AN59" s="86">
        <f t="shared" si="19"/>
        <v>1332068572.3068666</v>
      </c>
      <c r="AO59" s="86"/>
      <c r="AP59" s="87"/>
      <c r="AQ59" s="88"/>
    </row>
    <row r="60" spans="2:43">
      <c r="B60" s="156"/>
      <c r="C60" s="156"/>
      <c r="E60" s="83">
        <f t="shared" si="34"/>
        <v>3</v>
      </c>
      <c r="F60" s="84">
        <f t="shared" si="20"/>
        <v>45656</v>
      </c>
      <c r="G60" s="86">
        <f t="shared" si="24"/>
        <v>359.13089999999994</v>
      </c>
      <c r="H60" s="86">
        <f t="shared" si="25"/>
        <v>1522.9413300000001</v>
      </c>
      <c r="I60" s="86">
        <f t="shared" si="26"/>
        <v>162594595</v>
      </c>
      <c r="J60" s="86">
        <f t="shared" si="27"/>
        <v>34115713</v>
      </c>
      <c r="K60" s="86">
        <f t="shared" si="28"/>
        <v>1321431259.573719</v>
      </c>
      <c r="L60" s="86">
        <f t="shared" si="17"/>
        <v>1518143449.6459491</v>
      </c>
      <c r="M60" s="86"/>
      <c r="N60" s="86"/>
      <c r="O60" s="88"/>
      <c r="P60" s="80"/>
      <c r="Q60" s="80"/>
      <c r="R60" s="48"/>
      <c r="S60" s="139"/>
      <c r="T60" s="50"/>
      <c r="U60" s="83"/>
      <c r="V60" s="84">
        <f>$V$37</f>
        <v>45656</v>
      </c>
      <c r="W60" s="86">
        <v>0</v>
      </c>
      <c r="X60" s="86">
        <v>0</v>
      </c>
      <c r="Y60" s="86">
        <v>0</v>
      </c>
      <c r="Z60" s="86">
        <v>0</v>
      </c>
      <c r="AA60" s="86">
        <v>0</v>
      </c>
      <c r="AB60" s="86">
        <f t="shared" si="18"/>
        <v>0</v>
      </c>
      <c r="AC60" s="87"/>
      <c r="AD60" s="87"/>
      <c r="AE60" s="88"/>
      <c r="AF60" s="50"/>
      <c r="AG60" s="83"/>
      <c r="AH60" s="84">
        <f>$V$37</f>
        <v>45656</v>
      </c>
      <c r="AI60" s="86">
        <f t="shared" si="36"/>
        <v>359.13089999999994</v>
      </c>
      <c r="AJ60" s="86">
        <f t="shared" si="37"/>
        <v>1522.9413300000001</v>
      </c>
      <c r="AK60" s="86">
        <f t="shared" si="38"/>
        <v>162594595</v>
      </c>
      <c r="AL60" s="86">
        <f t="shared" si="39"/>
        <v>34115713</v>
      </c>
      <c r="AM60" s="86">
        <f t="shared" si="40"/>
        <v>1321431259.573719</v>
      </c>
      <c r="AN60" s="86">
        <f t="shared" si="19"/>
        <v>1518143449.6459491</v>
      </c>
      <c r="AO60" s="86"/>
      <c r="AP60" s="87"/>
      <c r="AQ60" s="88"/>
    </row>
    <row r="61" spans="2:43">
      <c r="E61" s="83">
        <f t="shared" si="34"/>
        <v>4</v>
      </c>
      <c r="F61" s="84">
        <f t="shared" si="20"/>
        <v>45687</v>
      </c>
      <c r="G61" s="86">
        <f t="shared" si="24"/>
        <v>359.13089999999994</v>
      </c>
      <c r="H61" s="86">
        <f t="shared" si="25"/>
        <v>1522.9413300000001</v>
      </c>
      <c r="I61" s="86">
        <f t="shared" si="26"/>
        <v>172491485</v>
      </c>
      <c r="J61" s="86">
        <f t="shared" si="27"/>
        <v>35428288</v>
      </c>
      <c r="K61" s="86">
        <f t="shared" si="28"/>
        <v>1471055748.6132283</v>
      </c>
      <c r="L61" s="86">
        <f t="shared" si="17"/>
        <v>1678977403.6854584</v>
      </c>
      <c r="M61" s="86"/>
      <c r="N61" s="86"/>
      <c r="O61" s="88"/>
      <c r="P61" s="80"/>
      <c r="Q61" s="80"/>
      <c r="R61" s="48"/>
      <c r="S61" s="139"/>
      <c r="T61" s="50"/>
      <c r="U61" s="83"/>
      <c r="V61" s="84">
        <f>$V$38</f>
        <v>45687</v>
      </c>
      <c r="W61" s="86">
        <v>0</v>
      </c>
      <c r="X61" s="86">
        <v>0</v>
      </c>
      <c r="Y61" s="86">
        <v>0</v>
      </c>
      <c r="Z61" s="86">
        <v>0</v>
      </c>
      <c r="AA61" s="86">
        <v>0</v>
      </c>
      <c r="AB61" s="86">
        <f t="shared" si="18"/>
        <v>0</v>
      </c>
      <c r="AC61" s="87"/>
      <c r="AD61" s="87"/>
      <c r="AE61" s="88"/>
      <c r="AF61" s="50"/>
      <c r="AG61" s="83"/>
      <c r="AH61" s="84">
        <f>$V$38</f>
        <v>45687</v>
      </c>
      <c r="AI61" s="86">
        <f t="shared" si="36"/>
        <v>359.13089999999994</v>
      </c>
      <c r="AJ61" s="86">
        <f t="shared" si="37"/>
        <v>1522.9413300000001</v>
      </c>
      <c r="AK61" s="86">
        <f t="shared" si="38"/>
        <v>172491485</v>
      </c>
      <c r="AL61" s="86">
        <f t="shared" si="39"/>
        <v>35428288</v>
      </c>
      <c r="AM61" s="86">
        <f t="shared" si="40"/>
        <v>1471055748.6132283</v>
      </c>
      <c r="AN61" s="86">
        <f t="shared" si="19"/>
        <v>1678977403.6854584</v>
      </c>
      <c r="AO61" s="87"/>
      <c r="AP61" s="87"/>
      <c r="AQ61" s="88"/>
    </row>
    <row r="62" spans="2:43">
      <c r="E62" s="83">
        <f t="shared" si="34"/>
        <v>5</v>
      </c>
      <c r="F62" s="84">
        <f t="shared" si="20"/>
        <v>45716</v>
      </c>
      <c r="G62" s="86">
        <f t="shared" si="24"/>
        <v>359.13089999999994</v>
      </c>
      <c r="H62" s="86">
        <f t="shared" si="25"/>
        <v>1522.9413300000001</v>
      </c>
      <c r="I62" s="86">
        <f t="shared" si="26"/>
        <v>179534221</v>
      </c>
      <c r="J62" s="86">
        <f t="shared" si="27"/>
        <v>34096499</v>
      </c>
      <c r="K62" s="86">
        <f t="shared" si="28"/>
        <v>1407230683.8339107</v>
      </c>
      <c r="L62" s="86">
        <f t="shared" si="17"/>
        <v>1620863285.9061408</v>
      </c>
      <c r="M62" s="86"/>
      <c r="N62" s="87"/>
      <c r="O62" s="88"/>
      <c r="P62" s="80"/>
      <c r="Q62" s="80"/>
      <c r="R62" s="48"/>
      <c r="S62" s="139"/>
      <c r="T62" s="54"/>
      <c r="U62" s="83"/>
      <c r="V62" s="84">
        <f>$V$39</f>
        <v>45716</v>
      </c>
      <c r="W62" s="86">
        <v>0</v>
      </c>
      <c r="X62" s="86">
        <v>0</v>
      </c>
      <c r="Y62" s="86">
        <v>0</v>
      </c>
      <c r="Z62" s="86">
        <v>0</v>
      </c>
      <c r="AA62" s="86">
        <v>0</v>
      </c>
      <c r="AB62" s="86">
        <f t="shared" si="18"/>
        <v>0</v>
      </c>
      <c r="AC62" s="87"/>
      <c r="AD62" s="87"/>
      <c r="AE62" s="88"/>
      <c r="AF62" s="54"/>
      <c r="AG62" s="83"/>
      <c r="AH62" s="84">
        <f>$V$39</f>
        <v>45716</v>
      </c>
      <c r="AI62" s="86">
        <f t="shared" si="36"/>
        <v>359.13089999999994</v>
      </c>
      <c r="AJ62" s="86">
        <f t="shared" si="37"/>
        <v>1522.9413300000001</v>
      </c>
      <c r="AK62" s="86">
        <f t="shared" si="38"/>
        <v>179534221</v>
      </c>
      <c r="AL62" s="86">
        <f t="shared" si="39"/>
        <v>34096499</v>
      </c>
      <c r="AM62" s="86">
        <f t="shared" si="40"/>
        <v>1407230683.8339107</v>
      </c>
      <c r="AN62" s="86">
        <f t="shared" si="19"/>
        <v>1620863285.9061408</v>
      </c>
      <c r="AO62" s="87"/>
      <c r="AP62" s="87"/>
      <c r="AQ62" s="88"/>
    </row>
    <row r="63" spans="2:43">
      <c r="E63" s="83">
        <f t="shared" si="34"/>
        <v>6</v>
      </c>
      <c r="F63" s="84">
        <f t="shared" si="20"/>
        <v>45744</v>
      </c>
      <c r="G63" s="86">
        <f t="shared" si="24"/>
        <v>359.13089999999994</v>
      </c>
      <c r="H63" s="86">
        <f t="shared" si="25"/>
        <v>1522.9413300000001</v>
      </c>
      <c r="I63" s="86">
        <f t="shared" si="26"/>
        <v>172730922</v>
      </c>
      <c r="J63" s="86">
        <f t="shared" si="27"/>
        <v>33707983</v>
      </c>
      <c r="K63" s="86">
        <f t="shared" si="28"/>
        <v>1218973854.21662</v>
      </c>
      <c r="L63" s="86">
        <f t="shared" si="17"/>
        <v>1425414641.2888501</v>
      </c>
      <c r="M63" s="86"/>
      <c r="N63" s="87"/>
      <c r="O63" s="88"/>
      <c r="P63" s="80"/>
      <c r="Q63" s="80"/>
      <c r="R63" s="48"/>
      <c r="S63" s="139"/>
      <c r="T63" s="55"/>
      <c r="U63" s="83"/>
      <c r="V63" s="84">
        <f>$V$40</f>
        <v>45744</v>
      </c>
      <c r="W63" s="86">
        <v>0</v>
      </c>
      <c r="X63" s="86">
        <v>0</v>
      </c>
      <c r="Y63" s="86">
        <v>0</v>
      </c>
      <c r="Z63" s="86">
        <v>0</v>
      </c>
      <c r="AA63" s="86">
        <v>0</v>
      </c>
      <c r="AB63" s="86">
        <f t="shared" si="18"/>
        <v>0</v>
      </c>
      <c r="AC63" s="87"/>
      <c r="AD63" s="87"/>
      <c r="AE63" s="88"/>
      <c r="AF63" s="55"/>
      <c r="AG63" s="83"/>
      <c r="AH63" s="84">
        <f>$V$40</f>
        <v>45744</v>
      </c>
      <c r="AI63" s="86">
        <f t="shared" si="36"/>
        <v>359.13089999999994</v>
      </c>
      <c r="AJ63" s="86">
        <f t="shared" si="37"/>
        <v>1522.9413300000001</v>
      </c>
      <c r="AK63" s="86">
        <f t="shared" si="38"/>
        <v>172730922</v>
      </c>
      <c r="AL63" s="86">
        <f t="shared" si="39"/>
        <v>33707983</v>
      </c>
      <c r="AM63" s="86">
        <f t="shared" si="40"/>
        <v>1218973854.21662</v>
      </c>
      <c r="AN63" s="86">
        <f t="shared" si="19"/>
        <v>1425414641.2888501</v>
      </c>
      <c r="AO63" s="87"/>
      <c r="AP63" s="87"/>
      <c r="AQ63" s="88"/>
    </row>
    <row r="64" spans="2:43">
      <c r="E64" s="83">
        <f t="shared" si="34"/>
        <v>7</v>
      </c>
      <c r="F64" s="84">
        <f t="shared" si="20"/>
        <v>45775</v>
      </c>
      <c r="G64" s="86">
        <f t="shared" si="24"/>
        <v>359.13089999999994</v>
      </c>
      <c r="H64" s="86">
        <f t="shared" si="25"/>
        <v>1522.9413300000001</v>
      </c>
      <c r="I64" s="86">
        <f t="shared" si="26"/>
        <v>173732506</v>
      </c>
      <c r="J64" s="86">
        <f t="shared" si="27"/>
        <v>35019844</v>
      </c>
      <c r="K64" s="86">
        <f t="shared" si="28"/>
        <v>1126592308.3507383</v>
      </c>
      <c r="L64" s="86">
        <f t="shared" si="17"/>
        <v>1335346540.4229684</v>
      </c>
      <c r="M64" s="86"/>
      <c r="N64" s="87"/>
      <c r="O64" s="88"/>
      <c r="P64" s="80"/>
      <c r="Q64" s="80"/>
      <c r="R64" s="48"/>
      <c r="S64" s="139"/>
      <c r="U64" s="83"/>
      <c r="V64" s="84">
        <f>$V$41</f>
        <v>45775</v>
      </c>
      <c r="W64" s="86">
        <v>0</v>
      </c>
      <c r="X64" s="86">
        <v>0</v>
      </c>
      <c r="Y64" s="86">
        <v>0</v>
      </c>
      <c r="Z64" s="86">
        <v>0</v>
      </c>
      <c r="AA64" s="86">
        <v>0</v>
      </c>
      <c r="AB64" s="86">
        <f t="shared" si="18"/>
        <v>0</v>
      </c>
      <c r="AC64" s="87"/>
      <c r="AD64" s="87"/>
      <c r="AE64" s="88"/>
      <c r="AG64" s="83"/>
      <c r="AH64" s="84">
        <f>$V$41</f>
        <v>45775</v>
      </c>
      <c r="AI64" s="86">
        <f t="shared" si="36"/>
        <v>359.13089999999994</v>
      </c>
      <c r="AJ64" s="86">
        <f t="shared" si="37"/>
        <v>1522.9413300000001</v>
      </c>
      <c r="AK64" s="86">
        <f t="shared" si="38"/>
        <v>173732506</v>
      </c>
      <c r="AL64" s="86">
        <f t="shared" si="39"/>
        <v>35019844</v>
      </c>
      <c r="AM64" s="86">
        <f t="shared" si="40"/>
        <v>1126592308.3507383</v>
      </c>
      <c r="AN64" s="86">
        <f t="shared" si="19"/>
        <v>1335346540.4229684</v>
      </c>
      <c r="AO64" s="87"/>
      <c r="AP64" s="87"/>
      <c r="AQ64" s="88"/>
    </row>
    <row r="65" spans="5:43">
      <c r="E65" s="83">
        <f t="shared" si="34"/>
        <v>8</v>
      </c>
      <c r="F65" s="84">
        <f t="shared" si="20"/>
        <v>45805</v>
      </c>
      <c r="G65" s="86">
        <f t="shared" si="24"/>
        <v>359.13089999999994</v>
      </c>
      <c r="H65" s="86">
        <f t="shared" si="25"/>
        <v>1522.9413300000001</v>
      </c>
      <c r="I65" s="86">
        <f t="shared" si="26"/>
        <v>186555814</v>
      </c>
      <c r="J65" s="86">
        <f t="shared" si="27"/>
        <v>36667226</v>
      </c>
      <c r="K65" s="86">
        <f t="shared" si="28"/>
        <v>1135605811.4275689</v>
      </c>
      <c r="L65" s="86">
        <f t="shared" si="17"/>
        <v>1358830733.499799</v>
      </c>
      <c r="M65" s="86"/>
      <c r="N65" s="87"/>
      <c r="O65" s="88"/>
      <c r="P65" s="80"/>
      <c r="Q65" s="80"/>
      <c r="R65" s="48"/>
      <c r="S65" s="139"/>
      <c r="U65" s="83"/>
      <c r="V65" s="84">
        <f>$V$42</f>
        <v>45805</v>
      </c>
      <c r="W65" s="86">
        <v>0</v>
      </c>
      <c r="X65" s="86">
        <v>0</v>
      </c>
      <c r="Y65" s="86">
        <v>0</v>
      </c>
      <c r="Z65" s="86">
        <v>0</v>
      </c>
      <c r="AA65" s="86">
        <v>0</v>
      </c>
      <c r="AB65" s="86">
        <f t="shared" si="18"/>
        <v>0</v>
      </c>
      <c r="AC65" s="87"/>
      <c r="AD65" s="87"/>
      <c r="AE65" s="88"/>
      <c r="AG65" s="83"/>
      <c r="AH65" s="84">
        <f>$V$42</f>
        <v>45805</v>
      </c>
      <c r="AI65" s="86">
        <f t="shared" si="36"/>
        <v>359.13089999999994</v>
      </c>
      <c r="AJ65" s="86">
        <f t="shared" si="37"/>
        <v>1522.9413300000001</v>
      </c>
      <c r="AK65" s="86">
        <f t="shared" si="38"/>
        <v>186555814</v>
      </c>
      <c r="AL65" s="86">
        <f t="shared" si="39"/>
        <v>36667226</v>
      </c>
      <c r="AM65" s="86">
        <f t="shared" si="40"/>
        <v>1135605811.4275689</v>
      </c>
      <c r="AN65" s="86">
        <f t="shared" si="19"/>
        <v>1358830733.499799</v>
      </c>
      <c r="AO65" s="87"/>
      <c r="AP65" s="87"/>
      <c r="AQ65" s="88"/>
    </row>
    <row r="66" spans="5:43">
      <c r="E66" s="83">
        <f t="shared" si="34"/>
        <v>9</v>
      </c>
      <c r="F66" s="84">
        <f t="shared" si="20"/>
        <v>45836</v>
      </c>
      <c r="G66" s="86">
        <f t="shared" si="24"/>
        <v>359.13089999999994</v>
      </c>
      <c r="H66" s="86">
        <f t="shared" si="25"/>
        <v>1522.9413300000001</v>
      </c>
      <c r="I66" s="86">
        <f t="shared" si="26"/>
        <v>191803430</v>
      </c>
      <c r="J66" s="86">
        <f t="shared" si="27"/>
        <v>39971456</v>
      </c>
      <c r="K66" s="86">
        <f t="shared" si="28"/>
        <v>1459995399.6408403</v>
      </c>
      <c r="L66" s="86">
        <f t="shared" si="17"/>
        <v>1691772167.7130704</v>
      </c>
      <c r="M66" s="86"/>
      <c r="N66" s="87"/>
      <c r="O66" s="88"/>
      <c r="P66" s="80"/>
      <c r="Q66" s="80"/>
      <c r="R66" s="48"/>
      <c r="S66" s="139"/>
      <c r="U66" s="83"/>
      <c r="V66" s="84">
        <f>$V$43</f>
        <v>45836</v>
      </c>
      <c r="W66" s="86">
        <v>0</v>
      </c>
      <c r="X66" s="86">
        <v>0</v>
      </c>
      <c r="Y66" s="86">
        <v>0</v>
      </c>
      <c r="Z66" s="86">
        <v>0</v>
      </c>
      <c r="AA66" s="86">
        <v>0</v>
      </c>
      <c r="AB66" s="86">
        <f t="shared" si="18"/>
        <v>0</v>
      </c>
      <c r="AE66" s="88"/>
      <c r="AG66" s="83"/>
      <c r="AH66" s="84">
        <f>$V$43</f>
        <v>45836</v>
      </c>
      <c r="AI66" s="86">
        <f t="shared" si="36"/>
        <v>359.13089999999994</v>
      </c>
      <c r="AJ66" s="86">
        <f t="shared" si="37"/>
        <v>1522.9413300000001</v>
      </c>
      <c r="AK66" s="86">
        <f t="shared" si="38"/>
        <v>191803430</v>
      </c>
      <c r="AL66" s="86">
        <f t="shared" si="39"/>
        <v>39971456</v>
      </c>
      <c r="AM66" s="86">
        <f t="shared" si="40"/>
        <v>1459995399.6408403</v>
      </c>
      <c r="AN66" s="86">
        <f t="shared" si="19"/>
        <v>1691772167.7130704</v>
      </c>
      <c r="AO66" s="87"/>
      <c r="AP66" s="87"/>
      <c r="AQ66" s="88"/>
    </row>
    <row r="67" spans="5:43">
      <c r="E67" s="83">
        <f t="shared" si="34"/>
        <v>10</v>
      </c>
      <c r="F67" s="84">
        <f t="shared" si="20"/>
        <v>45866</v>
      </c>
      <c r="G67" s="86">
        <f t="shared" si="24"/>
        <v>359.13089999999994</v>
      </c>
      <c r="H67" s="86">
        <f t="shared" si="25"/>
        <v>1522.9413300000001</v>
      </c>
      <c r="I67" s="86">
        <f t="shared" si="26"/>
        <v>193171323</v>
      </c>
      <c r="J67" s="86">
        <f t="shared" si="27"/>
        <v>41828636</v>
      </c>
      <c r="K67" s="86">
        <f t="shared" si="28"/>
        <v>1857911515.4726591</v>
      </c>
      <c r="L67" s="86">
        <f t="shared" si="17"/>
        <v>2092913356.5448892</v>
      </c>
      <c r="M67" s="86"/>
      <c r="N67" s="87"/>
      <c r="O67" s="88"/>
      <c r="P67" s="80"/>
      <c r="Q67" s="80"/>
      <c r="R67" s="48"/>
      <c r="S67" s="139"/>
      <c r="U67" s="83"/>
      <c r="V67" s="84">
        <f>$V$44</f>
        <v>45866</v>
      </c>
      <c r="W67" s="86">
        <v>0</v>
      </c>
      <c r="X67" s="86">
        <v>0</v>
      </c>
      <c r="Y67" s="86">
        <v>0</v>
      </c>
      <c r="Z67" s="86">
        <v>0</v>
      </c>
      <c r="AA67" s="86">
        <v>0</v>
      </c>
      <c r="AB67" s="86">
        <f t="shared" si="18"/>
        <v>0</v>
      </c>
      <c r="AE67" s="88"/>
      <c r="AG67" s="83"/>
      <c r="AH67" s="84">
        <f>$V$44</f>
        <v>45866</v>
      </c>
      <c r="AI67" s="86">
        <f t="shared" si="36"/>
        <v>359.13089999999994</v>
      </c>
      <c r="AJ67" s="86">
        <f t="shared" si="37"/>
        <v>1522.9413300000001</v>
      </c>
      <c r="AK67" s="86">
        <f t="shared" si="38"/>
        <v>193171323</v>
      </c>
      <c r="AL67" s="86">
        <f t="shared" si="39"/>
        <v>41828636</v>
      </c>
      <c r="AM67" s="86">
        <f t="shared" si="40"/>
        <v>1857911515.4726591</v>
      </c>
      <c r="AN67" s="86">
        <f t="shared" si="19"/>
        <v>2092913356.5448892</v>
      </c>
      <c r="AO67" s="87"/>
      <c r="AP67" s="87"/>
      <c r="AQ67" s="88"/>
    </row>
    <row r="68" spans="5:43">
      <c r="E68" s="83">
        <f t="shared" si="34"/>
        <v>11</v>
      </c>
      <c r="F68" s="84">
        <f t="shared" si="20"/>
        <v>45897</v>
      </c>
      <c r="G68" s="86">
        <f t="shared" si="24"/>
        <v>359.13089999999994</v>
      </c>
      <c r="H68" s="86">
        <f t="shared" si="25"/>
        <v>1522.9413300000001</v>
      </c>
      <c r="I68" s="86">
        <f t="shared" si="26"/>
        <v>177262251</v>
      </c>
      <c r="J68" s="86">
        <f t="shared" si="27"/>
        <v>42367626</v>
      </c>
      <c r="K68" s="86">
        <f t="shared" si="28"/>
        <v>1770900219.471451</v>
      </c>
      <c r="L68" s="86">
        <f t="shared" si="17"/>
        <v>1990531978.5436811</v>
      </c>
      <c r="M68" s="86"/>
      <c r="N68" s="87"/>
      <c r="O68" s="88"/>
      <c r="P68" s="80"/>
      <c r="Q68" s="80"/>
      <c r="R68" s="48"/>
      <c r="S68" s="139"/>
      <c r="U68" s="83"/>
      <c r="V68" s="84">
        <f>$V$45</f>
        <v>45897</v>
      </c>
      <c r="W68" s="86">
        <v>0</v>
      </c>
      <c r="X68" s="86">
        <v>0</v>
      </c>
      <c r="Y68" s="86">
        <v>0</v>
      </c>
      <c r="Z68" s="86">
        <v>0</v>
      </c>
      <c r="AA68" s="86">
        <v>0</v>
      </c>
      <c r="AB68" s="86">
        <f t="shared" si="18"/>
        <v>0</v>
      </c>
      <c r="AE68" s="88"/>
      <c r="AG68" s="83"/>
      <c r="AH68" s="84">
        <f>$V$45</f>
        <v>45897</v>
      </c>
      <c r="AI68" s="86">
        <f t="shared" si="36"/>
        <v>359.13089999999994</v>
      </c>
      <c r="AJ68" s="86">
        <f t="shared" si="37"/>
        <v>1522.9413300000001</v>
      </c>
      <c r="AK68" s="86">
        <f t="shared" si="38"/>
        <v>177262251</v>
      </c>
      <c r="AL68" s="86">
        <f t="shared" si="39"/>
        <v>42367626</v>
      </c>
      <c r="AM68" s="86">
        <f t="shared" si="40"/>
        <v>1770900219.471451</v>
      </c>
      <c r="AN68" s="86">
        <f t="shared" si="19"/>
        <v>1990531978.5436811</v>
      </c>
      <c r="AQ68" s="88"/>
    </row>
    <row r="69" spans="5:43" ht="6" customHeight="1">
      <c r="E69" s="93"/>
      <c r="F69" s="80"/>
      <c r="G69" s="80"/>
      <c r="H69" s="80"/>
      <c r="I69" s="80"/>
      <c r="J69" s="80"/>
      <c r="K69" s="80"/>
      <c r="L69" s="87"/>
      <c r="M69" s="87"/>
      <c r="N69" s="87"/>
      <c r="O69" s="88"/>
      <c r="P69" s="80"/>
      <c r="Q69" s="80"/>
      <c r="R69" s="48"/>
      <c r="S69" s="139"/>
      <c r="U69" s="93"/>
      <c r="V69" s="80"/>
      <c r="W69" s="80"/>
      <c r="X69" s="80"/>
      <c r="Y69" s="80"/>
      <c r="Z69" s="80"/>
      <c r="AA69" s="80"/>
      <c r="AB69" s="87"/>
      <c r="AC69" s="87"/>
      <c r="AD69" s="87"/>
      <c r="AE69" s="88"/>
      <c r="AG69" s="93"/>
      <c r="AH69" s="80"/>
      <c r="AI69" s="80"/>
      <c r="AJ69" s="80"/>
      <c r="AK69" s="80"/>
      <c r="AL69" s="80"/>
      <c r="AM69" s="80"/>
      <c r="AN69" s="87"/>
      <c r="AO69" s="87"/>
      <c r="AP69" s="87"/>
      <c r="AQ69" s="88"/>
    </row>
    <row r="70" spans="5:43">
      <c r="E70" s="97" t="s">
        <v>172</v>
      </c>
      <c r="F70" s="98"/>
      <c r="G70" s="99">
        <f t="shared" ref="G70:L70" si="41">SUM(G56:G69)</f>
        <v>4666.7017000000005</v>
      </c>
      <c r="H70" s="99">
        <f t="shared" si="41"/>
        <v>19794.237290000001</v>
      </c>
      <c r="I70" s="99">
        <f t="shared" si="41"/>
        <v>2318100462</v>
      </c>
      <c r="J70" s="99">
        <f t="shared" si="41"/>
        <v>493621060</v>
      </c>
      <c r="K70" s="99">
        <f t="shared" si="41"/>
        <v>18600027031.082611</v>
      </c>
      <c r="L70" s="99">
        <f t="shared" si="41"/>
        <v>21411773014.021606</v>
      </c>
      <c r="M70" s="92"/>
      <c r="N70" s="87"/>
      <c r="O70" s="88"/>
      <c r="P70" s="80"/>
      <c r="Q70" s="80"/>
      <c r="R70" s="48"/>
      <c r="S70" s="139"/>
      <c r="U70" s="97" t="s">
        <v>172</v>
      </c>
      <c r="V70" s="98"/>
      <c r="W70" s="99">
        <f t="shared" ref="W70:AB70" si="42">SUM(W54:W69)</f>
        <v>1399.2336637420765</v>
      </c>
      <c r="X70" s="99">
        <f t="shared" si="42"/>
        <v>5934.2891697812156</v>
      </c>
      <c r="Y70" s="99">
        <f t="shared" si="42"/>
        <v>745379004.83967757</v>
      </c>
      <c r="Z70" s="99">
        <f t="shared" si="42"/>
        <v>162442382.68939468</v>
      </c>
      <c r="AA70" s="99">
        <f t="shared" si="42"/>
        <v>6402264676.1722584</v>
      </c>
      <c r="AB70" s="99">
        <f t="shared" si="42"/>
        <v>7310093397.224165</v>
      </c>
      <c r="AC70" s="92"/>
      <c r="AD70" s="87"/>
      <c r="AE70" s="88"/>
      <c r="AG70" s="97" t="s">
        <v>172</v>
      </c>
      <c r="AH70" s="98"/>
      <c r="AI70" s="99">
        <f t="shared" ref="AI70:AN70" si="43">SUM(AI56:AI69)</f>
        <v>3950.4399000000003</v>
      </c>
      <c r="AJ70" s="99">
        <f t="shared" si="43"/>
        <v>16752.354629999998</v>
      </c>
      <c r="AK70" s="99">
        <f t="shared" si="43"/>
        <v>1943914583</v>
      </c>
      <c r="AL70" s="99">
        <f t="shared" si="43"/>
        <v>406511766</v>
      </c>
      <c r="AM70" s="99">
        <f t="shared" si="43"/>
        <v>15137894940.743717</v>
      </c>
      <c r="AN70" s="99">
        <f t="shared" si="43"/>
        <v>17488341992.53825</v>
      </c>
      <c r="AO70" s="92"/>
      <c r="AP70" s="87"/>
      <c r="AQ70" s="88"/>
    </row>
    <row r="71" spans="5:43">
      <c r="E71" s="112"/>
      <c r="F71" s="80"/>
      <c r="G71" s="92"/>
      <c r="H71" s="92"/>
      <c r="I71" s="92"/>
      <c r="J71" s="92"/>
      <c r="K71" s="92"/>
      <c r="L71" s="92"/>
      <c r="M71" s="92"/>
      <c r="N71" s="92"/>
      <c r="O71" s="113"/>
      <c r="P71" s="92"/>
      <c r="Q71" s="92"/>
      <c r="R71" s="48"/>
      <c r="S71" s="139"/>
      <c r="U71" s="93"/>
      <c r="V71" s="80"/>
      <c r="W71" s="80"/>
      <c r="X71" s="95"/>
      <c r="Y71" s="80"/>
      <c r="Z71" s="80"/>
      <c r="AA71" s="80"/>
      <c r="AB71" s="80"/>
      <c r="AC71" s="80"/>
      <c r="AD71" s="80"/>
      <c r="AE71" s="88"/>
      <c r="AG71" s="93"/>
      <c r="AH71" s="80"/>
      <c r="AI71" s="80"/>
      <c r="AJ71" s="95"/>
      <c r="AK71" s="80"/>
      <c r="AL71" s="80"/>
      <c r="AM71" s="80"/>
      <c r="AN71" s="80"/>
      <c r="AO71" s="80"/>
      <c r="AP71" s="80"/>
      <c r="AQ71" s="88"/>
    </row>
    <row r="72" spans="5:43" ht="15.75">
      <c r="E72" s="137" t="s">
        <v>181</v>
      </c>
      <c r="F72" s="138"/>
      <c r="G72" s="138"/>
      <c r="H72" s="138"/>
      <c r="I72" s="138"/>
      <c r="J72" s="138"/>
      <c r="K72" s="138"/>
      <c r="L72" s="138"/>
      <c r="M72" s="138"/>
      <c r="N72" s="137"/>
      <c r="O72" s="138"/>
      <c r="P72" s="134"/>
      <c r="Q72" s="134"/>
      <c r="R72" s="48"/>
      <c r="S72" s="139"/>
      <c r="U72" s="137" t="s">
        <v>182</v>
      </c>
      <c r="V72" s="138"/>
      <c r="W72" s="138"/>
      <c r="X72" s="138"/>
      <c r="Y72" s="138"/>
      <c r="Z72" s="138"/>
      <c r="AA72" s="138"/>
      <c r="AB72" s="138"/>
      <c r="AC72" s="138"/>
      <c r="AD72" s="131"/>
      <c r="AE72" s="132"/>
      <c r="AG72" s="137" t="s">
        <v>183</v>
      </c>
      <c r="AH72" s="138"/>
      <c r="AI72" s="138"/>
      <c r="AJ72" s="138"/>
      <c r="AK72" s="138"/>
      <c r="AL72" s="138"/>
      <c r="AM72" s="138"/>
      <c r="AN72" s="138"/>
      <c r="AO72" s="138"/>
      <c r="AP72" s="131"/>
      <c r="AQ72" s="132"/>
    </row>
    <row r="73" spans="5:43" ht="12" thickBot="1">
      <c r="E73" s="79"/>
      <c r="F73" s="80"/>
      <c r="G73" s="80"/>
      <c r="H73" s="80"/>
      <c r="I73" s="80"/>
      <c r="J73" s="80"/>
      <c r="K73" s="80"/>
      <c r="L73" s="496"/>
      <c r="M73" s="496"/>
      <c r="N73" s="496"/>
      <c r="O73" s="497"/>
      <c r="P73" s="134"/>
      <c r="Q73" s="134"/>
      <c r="R73" s="48"/>
      <c r="S73" s="139"/>
      <c r="U73" s="79"/>
      <c r="V73" s="80"/>
      <c r="W73" s="80"/>
      <c r="X73" s="80"/>
      <c r="Y73" s="80"/>
      <c r="Z73" s="80"/>
      <c r="AA73" s="80"/>
      <c r="AB73" s="496"/>
      <c r="AC73" s="496"/>
      <c r="AD73" s="496"/>
      <c r="AE73" s="497"/>
      <c r="AG73" s="79"/>
      <c r="AH73" s="80"/>
      <c r="AI73" s="80"/>
      <c r="AJ73" s="80"/>
      <c r="AK73" s="80"/>
      <c r="AL73" s="80"/>
      <c r="AM73" s="80"/>
      <c r="AN73" s="496"/>
      <c r="AO73" s="496"/>
      <c r="AP73" s="496"/>
      <c r="AQ73" s="497"/>
    </row>
    <row r="74" spans="5:43" s="55" customFormat="1" ht="35.25" customHeight="1" thickBot="1">
      <c r="E74" s="193" t="s">
        <v>162</v>
      </c>
      <c r="F74" s="194" t="s">
        <v>40</v>
      </c>
      <c r="G74" s="208" t="s">
        <v>184</v>
      </c>
      <c r="H74" s="209"/>
      <c r="I74" s="209"/>
      <c r="J74" s="209"/>
      <c r="K74" s="209"/>
      <c r="L74" s="210"/>
      <c r="M74" s="196"/>
      <c r="N74" s="196"/>
      <c r="O74" s="82"/>
      <c r="P74" s="134"/>
      <c r="Q74" s="134"/>
      <c r="S74" s="142"/>
      <c r="T74" s="48"/>
      <c r="U74" s="193" t="s">
        <v>162</v>
      </c>
      <c r="V74" s="194" t="s">
        <v>40</v>
      </c>
      <c r="W74" s="208" t="s">
        <v>184</v>
      </c>
      <c r="X74" s="209"/>
      <c r="Y74" s="209"/>
      <c r="Z74" s="209"/>
      <c r="AA74" s="209"/>
      <c r="AB74" s="210"/>
      <c r="AC74" s="196"/>
      <c r="AD74" s="196"/>
      <c r="AE74" s="82"/>
      <c r="AF74" s="48"/>
      <c r="AG74" s="193" t="s">
        <v>162</v>
      </c>
      <c r="AH74" s="194" t="s">
        <v>40</v>
      </c>
      <c r="AI74" s="208" t="s">
        <v>184</v>
      </c>
      <c r="AJ74" s="209"/>
      <c r="AK74" s="209"/>
      <c r="AL74" s="209"/>
      <c r="AM74" s="209"/>
      <c r="AN74" s="210"/>
      <c r="AO74" s="196"/>
      <c r="AP74" s="196"/>
      <c r="AQ74" s="82"/>
    </row>
    <row r="75" spans="5:43" s="55" customFormat="1" ht="27" customHeight="1" thickBot="1">
      <c r="E75" s="197"/>
      <c r="F75" s="198"/>
      <c r="G75" s="195" t="str">
        <f>G53</f>
        <v>SL 1 (Blocks)</v>
      </c>
      <c r="H75" s="195" t="str">
        <f t="shared" ref="H75:L75" si="44">H53</f>
        <v>SL 2 (Blocks)</v>
      </c>
      <c r="I75" s="195" t="str">
        <f t="shared" si="44"/>
        <v>SL 3 (KWH)</v>
      </c>
      <c r="J75" s="195" t="str">
        <f t="shared" si="44"/>
        <v>SL 4 (KWH)</v>
      </c>
      <c r="K75" s="195" t="str">
        <f t="shared" si="44"/>
        <v>SL 5 (KWH)</v>
      </c>
      <c r="L75" s="198" t="str">
        <f t="shared" si="44"/>
        <v>Total</v>
      </c>
      <c r="M75" s="198" t="s">
        <v>40</v>
      </c>
      <c r="N75" s="198" t="s">
        <v>185</v>
      </c>
      <c r="O75" s="82"/>
      <c r="P75" s="134"/>
      <c r="Q75" s="134"/>
      <c r="S75" s="142"/>
      <c r="T75" s="48"/>
      <c r="U75" s="197"/>
      <c r="V75" s="198"/>
      <c r="W75" s="195" t="str">
        <f>$W$30</f>
        <v>SL 1 (Blocks)</v>
      </c>
      <c r="X75" s="195" t="str">
        <f>$X$30</f>
        <v>SL 2 (Blocks)</v>
      </c>
      <c r="Y75" s="195" t="str">
        <f>$Y$30</f>
        <v>SL 3 (KWH)</v>
      </c>
      <c r="Z75" s="195" t="str">
        <f>$Z$30</f>
        <v>SL 4 (KWH)</v>
      </c>
      <c r="AA75" s="195" t="str">
        <f>$AA$30</f>
        <v>SL 5 (KWH)</v>
      </c>
      <c r="AB75" s="198" t="str">
        <f>$AB$30</f>
        <v>Total</v>
      </c>
      <c r="AC75" s="198" t="s">
        <v>40</v>
      </c>
      <c r="AD75" s="198" t="s">
        <v>185</v>
      </c>
      <c r="AE75" s="82"/>
      <c r="AF75" s="48"/>
      <c r="AG75" s="197"/>
      <c r="AH75" s="198"/>
      <c r="AI75" s="195" t="str">
        <f>$W$30</f>
        <v>SL 1 (Blocks)</v>
      </c>
      <c r="AJ75" s="195" t="str">
        <f>$X$30</f>
        <v>SL 2 (Blocks)</v>
      </c>
      <c r="AK75" s="195" t="str">
        <f>$Y$30</f>
        <v>SL 3 (KWH)</v>
      </c>
      <c r="AL75" s="195" t="str">
        <f>$Z$30</f>
        <v>SL 4 (KWH)</v>
      </c>
      <c r="AM75" s="195" t="str">
        <f>$AA$30</f>
        <v>SL 5 (KWH)</v>
      </c>
      <c r="AN75" s="198" t="str">
        <f>$AB$30</f>
        <v>Total</v>
      </c>
      <c r="AO75" s="198" t="s">
        <v>40</v>
      </c>
      <c r="AP75" s="198" t="s">
        <v>185</v>
      </c>
      <c r="AQ75" s="82"/>
    </row>
    <row r="76" spans="5:43" s="55" customFormat="1" ht="22.5">
      <c r="E76" s="199"/>
      <c r="F76" s="196" t="s">
        <v>186</v>
      </c>
      <c r="G76" s="200"/>
      <c r="H76" s="200"/>
      <c r="I76" s="200"/>
      <c r="J76" s="200"/>
      <c r="K76" s="200"/>
      <c r="L76" s="196"/>
      <c r="M76" s="196"/>
      <c r="N76" s="196"/>
      <c r="O76" s="82"/>
      <c r="P76" s="134"/>
      <c r="Q76" s="134"/>
      <c r="S76" s="142"/>
      <c r="T76" s="48"/>
      <c r="U76" s="199"/>
      <c r="V76" s="196" t="s">
        <v>186</v>
      </c>
      <c r="W76" s="200">
        <f>'WES Charge True-up Calculation'!C39</f>
        <v>219.29</v>
      </c>
      <c r="X76" s="200">
        <f>'WES Charge True-up Calculation'!D39</f>
        <v>241.79</v>
      </c>
      <c r="Y76" s="200">
        <f>'WES Charge True-up Calculation'!E39*100</f>
        <v>7.1456000000000006E-2</v>
      </c>
      <c r="Z76" s="200">
        <f>'WES Charge True-up Calculation'!F39*100</f>
        <v>0.11172699999999998</v>
      </c>
      <c r="AA76" s="200">
        <f>'WES Charge True-up Calculation'!G39*100</f>
        <v>0.20263100000000001</v>
      </c>
      <c r="AB76" s="196"/>
      <c r="AC76" s="196"/>
      <c r="AD76" s="196"/>
      <c r="AE76" s="88"/>
      <c r="AF76" s="48"/>
      <c r="AG76" s="199"/>
      <c r="AH76" s="196" t="s">
        <v>186</v>
      </c>
      <c r="AI76" s="200">
        <f>'WES Charge True-up Calculation'!C38</f>
        <v>223.07999999999998</v>
      </c>
      <c r="AJ76" s="200">
        <f>'WES Charge True-up Calculation'!D38</f>
        <v>223.60999999999999</v>
      </c>
      <c r="AK76" s="200">
        <f>'WES Charge True-up Calculation'!E38*100</f>
        <v>9.4873000000000013E-2</v>
      </c>
      <c r="AL76" s="200">
        <f>'WES Charge True-up Calculation'!F38*100</f>
        <v>0.11852600000000001</v>
      </c>
      <c r="AM76" s="200">
        <f>'WES Charge True-up Calculation'!G38*100</f>
        <v>0.23982600000000001</v>
      </c>
      <c r="AN76" s="196"/>
      <c r="AO76" s="196"/>
      <c r="AP76" s="196"/>
      <c r="AQ76" s="88"/>
    </row>
    <row r="77" spans="5:43">
      <c r="E77" s="187">
        <v>0</v>
      </c>
      <c r="F77" s="190">
        <f>F54</f>
        <v>45444</v>
      </c>
      <c r="G77" s="202">
        <f>'Aug. 1, 2024 Payment Date'!C64</f>
        <v>74538.650000000009</v>
      </c>
      <c r="H77" s="202">
        <f>'Aug. 1, 2024 Payment Date'!D64</f>
        <v>327674.00000000006</v>
      </c>
      <c r="I77" s="202">
        <f>'Aug. 1, 2024 Payment Date'!E64</f>
        <v>108743.07999999997</v>
      </c>
      <c r="J77" s="202">
        <f>'Aug. 1, 2024 Payment Date'!F64</f>
        <v>35340.399999999994</v>
      </c>
      <c r="K77" s="202">
        <f>'Aug. 1, 2024 Payment Date'!G64</f>
        <v>2447280.4299999997</v>
      </c>
      <c r="L77" s="202">
        <f t="shared" ref="L77:L91" si="45">SUM(G77:K77)</f>
        <v>2993576.5599999996</v>
      </c>
      <c r="M77" s="206" t="str">
        <f t="shared" ref="M77:M91" si="46">TEXT(F77,"mmmm")</f>
        <v>June</v>
      </c>
      <c r="N77" s="206"/>
      <c r="O77" s="82"/>
      <c r="P77" s="134"/>
      <c r="Q77" s="134"/>
      <c r="R77" s="48"/>
      <c r="S77" s="139"/>
      <c r="U77" s="189"/>
      <c r="V77" s="190">
        <f>$V$31</f>
        <v>45444</v>
      </c>
      <c r="W77" s="202">
        <f t="shared" ref="W77:X81" si="47">W54*W$76</f>
        <v>74538.650000000009</v>
      </c>
      <c r="X77" s="202">
        <f t="shared" si="47"/>
        <v>327674.00000000006</v>
      </c>
      <c r="Y77" s="202">
        <f t="shared" ref="Y77:AA81" si="48">Y54*Y$76/100</f>
        <v>108743.07999999999</v>
      </c>
      <c r="Z77" s="202">
        <f t="shared" si="48"/>
        <v>35340.399999999994</v>
      </c>
      <c r="AA77" s="202">
        <f t="shared" si="48"/>
        <v>2447280.4299999997</v>
      </c>
      <c r="AB77" s="202">
        <f t="shared" ref="AB77:AB91" si="49">SUM(W77:AA77)</f>
        <v>2993576.5599999996</v>
      </c>
      <c r="AC77" s="136" t="str">
        <f t="shared" ref="AC77:AC91" si="50">TEXT(V77,"mmmm")</f>
        <v>June</v>
      </c>
      <c r="AD77" s="201">
        <f t="shared" ref="AD77:AD78" si="51">AB77/SUM($AB$77:$AB$92)</f>
        <v>0.19402557939751008</v>
      </c>
      <c r="AE77" s="88"/>
      <c r="AG77" s="187">
        <v>0</v>
      </c>
      <c r="AH77" s="188">
        <f>$V$31</f>
        <v>45444</v>
      </c>
      <c r="AI77" s="207"/>
      <c r="AJ77" s="207"/>
      <c r="AK77" s="207"/>
      <c r="AL77" s="207"/>
      <c r="AM77" s="207"/>
      <c r="AN77" s="207"/>
      <c r="AO77" s="206"/>
      <c r="AP77" s="206"/>
      <c r="AQ77" s="88"/>
    </row>
    <row r="78" spans="5:43">
      <c r="E78" s="187">
        <v>0</v>
      </c>
      <c r="F78" s="190">
        <f t="shared" ref="F78:F91" si="52">F55</f>
        <v>45474</v>
      </c>
      <c r="G78" s="202">
        <f>'Aug. 1, 2024 Payment Date'!C89</f>
        <v>75230.249999999985</v>
      </c>
      <c r="H78" s="202">
        <f>'Aug. 1, 2024 Payment Date'!D89</f>
        <v>371680.97</v>
      </c>
      <c r="I78" s="202">
        <f>'Aug. 1, 2024 Payment Date'!E89</f>
        <v>156496.68000000002</v>
      </c>
      <c r="J78" s="202">
        <f>'Aug. 1, 2024 Payment Date'!F89</f>
        <v>48826.999999999993</v>
      </c>
      <c r="K78" s="202">
        <f>'Aug. 1, 2024 Payment Date'!G89</f>
        <v>3510339.63</v>
      </c>
      <c r="L78" s="202">
        <f t="shared" si="45"/>
        <v>4162574.53</v>
      </c>
      <c r="M78" s="206" t="str">
        <f t="shared" si="46"/>
        <v>July</v>
      </c>
      <c r="N78" s="206"/>
      <c r="O78" s="82"/>
      <c r="P78" s="134"/>
      <c r="Q78" s="134"/>
      <c r="R78" s="48"/>
      <c r="S78" s="139"/>
      <c r="U78" s="189"/>
      <c r="V78" s="190">
        <f>$V$32</f>
        <v>45474</v>
      </c>
      <c r="W78" s="202">
        <f t="shared" si="47"/>
        <v>75230.249999999971</v>
      </c>
      <c r="X78" s="202">
        <f t="shared" si="47"/>
        <v>371680.97</v>
      </c>
      <c r="Y78" s="202">
        <f t="shared" si="48"/>
        <v>156496.68</v>
      </c>
      <c r="Z78" s="202">
        <f t="shared" si="48"/>
        <v>48827</v>
      </c>
      <c r="AA78" s="202">
        <f t="shared" si="48"/>
        <v>3510339.63</v>
      </c>
      <c r="AB78" s="202">
        <f t="shared" si="49"/>
        <v>4162574.53</v>
      </c>
      <c r="AC78" s="136" t="str">
        <f t="shared" si="50"/>
        <v>July</v>
      </c>
      <c r="AD78" s="201">
        <f t="shared" si="51"/>
        <v>0.26979297799170648</v>
      </c>
      <c r="AE78" s="88"/>
      <c r="AG78" s="187">
        <v>0</v>
      </c>
      <c r="AH78" s="188">
        <f>$V$32</f>
        <v>45474</v>
      </c>
      <c r="AI78" s="207"/>
      <c r="AJ78" s="207"/>
      <c r="AK78" s="207"/>
      <c r="AL78" s="207"/>
      <c r="AM78" s="207"/>
      <c r="AN78" s="207"/>
      <c r="AO78" s="206"/>
      <c r="AP78" s="206"/>
      <c r="AQ78" s="88"/>
    </row>
    <row r="79" spans="5:43">
      <c r="E79" s="83">
        <v>0</v>
      </c>
      <c r="F79" s="84">
        <f t="shared" si="52"/>
        <v>45535</v>
      </c>
      <c r="G79" s="86">
        <f>SUM(AI79,W79)</f>
        <v>78534.525060999978</v>
      </c>
      <c r="H79" s="86">
        <f t="shared" ref="H79:H91" si="53">SUM(AJ79,X79)</f>
        <v>367748.40418070002</v>
      </c>
      <c r="I79" s="86">
        <f t="shared" ref="I79:I91" si="54">SUM(AK79,Y79)</f>
        <v>126664.51407456001</v>
      </c>
      <c r="J79" s="86">
        <f t="shared" ref="J79:J91" si="55">SUM(AL79,Z79)</f>
        <v>47336.077501019994</v>
      </c>
      <c r="K79" s="86">
        <f>SUM(AM79,AA79)</f>
        <v>3554276.827666461</v>
      </c>
      <c r="L79" s="86">
        <f t="shared" si="45"/>
        <v>4174560.3484837413</v>
      </c>
      <c r="M79" s="86" t="str">
        <f t="shared" si="46"/>
        <v>August</v>
      </c>
      <c r="N79" s="110">
        <f t="shared" ref="N79:N91" si="56">L79/SUM(L$79:L$91)</f>
        <v>8.101135244020298E-2</v>
      </c>
      <c r="O79" s="88"/>
      <c r="P79" s="134"/>
      <c r="Q79" s="134"/>
      <c r="R79" s="48"/>
      <c r="S79" s="139"/>
      <c r="U79" s="187"/>
      <c r="V79" s="188">
        <f>$V$33</f>
        <v>45535</v>
      </c>
      <c r="W79" s="136">
        <f t="shared" si="47"/>
        <v>78534.525060999978</v>
      </c>
      <c r="X79" s="136">
        <f t="shared" si="47"/>
        <v>367748.40418070002</v>
      </c>
      <c r="Y79" s="321">
        <f t="shared" si="48"/>
        <v>126664.51407456001</v>
      </c>
      <c r="Z79" s="321">
        <f t="shared" si="48"/>
        <v>47336.077501019994</v>
      </c>
      <c r="AA79" s="321">
        <f>AA56*AA$76/100</f>
        <v>3554276.827666461</v>
      </c>
      <c r="AB79" s="136">
        <f t="shared" si="49"/>
        <v>4174560.3484837413</v>
      </c>
      <c r="AC79" s="136" t="str">
        <f t="shared" si="50"/>
        <v>August</v>
      </c>
      <c r="AD79" s="201">
        <f>AB79/SUM($AB$77:$AB$92)</f>
        <v>0.27056982646350947</v>
      </c>
      <c r="AE79" s="88"/>
      <c r="AG79" s="83"/>
      <c r="AH79" s="84">
        <f>$V$33</f>
        <v>45535</v>
      </c>
      <c r="AI79" s="109">
        <f>AI56*AI$76</f>
        <v>0</v>
      </c>
      <c r="AJ79" s="109">
        <f>AJ56*AJ$76</f>
        <v>0</v>
      </c>
      <c r="AK79" s="109">
        <f t="shared" ref="AK79:AM81" si="57">AK56*AK$76/100</f>
        <v>0</v>
      </c>
      <c r="AL79" s="109">
        <f t="shared" si="57"/>
        <v>0</v>
      </c>
      <c r="AM79" s="109">
        <f t="shared" si="57"/>
        <v>0</v>
      </c>
      <c r="AN79" s="86">
        <f t="shared" ref="AN79:AN91" si="58">SUM(AI79:AM79)</f>
        <v>0</v>
      </c>
      <c r="AO79" s="86" t="str">
        <f t="shared" ref="AO79:AO91" si="59">TEXT(AH79,"mmmm")</f>
        <v>August</v>
      </c>
      <c r="AP79" s="110">
        <f t="shared" ref="AP79:AP91" si="60">AN79/SUM($AN$79:$AN$92)</f>
        <v>0</v>
      </c>
      <c r="AQ79" s="88"/>
    </row>
    <row r="80" spans="5:43">
      <c r="E80" s="83">
        <v>0</v>
      </c>
      <c r="F80" s="84">
        <f t="shared" si="52"/>
        <v>45565</v>
      </c>
      <c r="G80" s="86">
        <f t="shared" ref="G80:G91" si="61">SUM(AI80,W80)</f>
        <v>78534.525060999978</v>
      </c>
      <c r="H80" s="86">
        <f t="shared" si="53"/>
        <v>367748.40418070002</v>
      </c>
      <c r="I80" s="86">
        <f>SUM(AK80,Y80)</f>
        <v>140713.74762368001</v>
      </c>
      <c r="J80" s="86">
        <f t="shared" si="55"/>
        <v>49988.523406359993</v>
      </c>
      <c r="K80" s="86">
        <f>SUM(AM80,AA80)</f>
        <v>3461076.0483081485</v>
      </c>
      <c r="L80" s="86">
        <f>SUM(G80:K80)</f>
        <v>4098061.2485798886</v>
      </c>
      <c r="M80" s="86" t="str">
        <f t="shared" si="46"/>
        <v>September</v>
      </c>
      <c r="N80" s="110">
        <f t="shared" si="56"/>
        <v>7.9526813943611302E-2</v>
      </c>
      <c r="O80" s="88"/>
      <c r="P80" s="80"/>
      <c r="Q80" s="80"/>
      <c r="R80" s="48"/>
      <c r="S80" s="139"/>
      <c r="U80" s="83"/>
      <c r="V80" s="84">
        <f>$V$34</f>
        <v>45565</v>
      </c>
      <c r="W80" s="136">
        <f t="shared" si="47"/>
        <v>78534.525060999978</v>
      </c>
      <c r="X80" s="136">
        <f t="shared" si="47"/>
        <v>367748.40418070002</v>
      </c>
      <c r="Y80" s="321">
        <f t="shared" si="48"/>
        <v>140713.74762368001</v>
      </c>
      <c r="Z80" s="321">
        <f t="shared" si="48"/>
        <v>49988.523406359993</v>
      </c>
      <c r="AA80" s="321">
        <f t="shared" si="48"/>
        <v>3461076.0483081485</v>
      </c>
      <c r="AB80" s="136">
        <f t="shared" si="49"/>
        <v>4098061.2485798886</v>
      </c>
      <c r="AC80" s="86" t="str">
        <f t="shared" si="50"/>
        <v>September</v>
      </c>
      <c r="AD80" s="201">
        <f t="shared" ref="AD80:AD91" si="62">AB80/SUM($AB$77:$AB$92)</f>
        <v>0.26561161614727391</v>
      </c>
      <c r="AE80" s="88"/>
      <c r="AG80" s="83"/>
      <c r="AH80" s="84">
        <f>$V$34</f>
        <v>45565</v>
      </c>
      <c r="AI80" s="109">
        <f t="shared" ref="AI80:AJ81" si="63">AI57*AI$76</f>
        <v>0</v>
      </c>
      <c r="AJ80" s="109">
        <f t="shared" si="63"/>
        <v>0</v>
      </c>
      <c r="AK80" s="109">
        <f t="shared" si="57"/>
        <v>0</v>
      </c>
      <c r="AL80" s="109">
        <f t="shared" si="57"/>
        <v>0</v>
      </c>
      <c r="AM80" s="109">
        <f t="shared" si="57"/>
        <v>0</v>
      </c>
      <c r="AN80" s="86">
        <f t="shared" si="58"/>
        <v>0</v>
      </c>
      <c r="AO80" s="86" t="str">
        <f t="shared" si="59"/>
        <v>September</v>
      </c>
      <c r="AP80" s="110">
        <f t="shared" si="60"/>
        <v>0</v>
      </c>
      <c r="AQ80" s="88"/>
    </row>
    <row r="81" spans="5:43">
      <c r="E81" s="83">
        <f t="shared" ref="E81:E91" si="64">E80+1</f>
        <v>1</v>
      </c>
      <c r="F81" s="84">
        <f t="shared" si="52"/>
        <v>45595</v>
      </c>
      <c r="G81" s="86">
        <f t="shared" si="61"/>
        <v>80114.921171999988</v>
      </c>
      <c r="H81" s="86">
        <f t="shared" si="53"/>
        <v>340544.91080130002</v>
      </c>
      <c r="I81" s="86">
        <f t="shared" si="54"/>
        <v>158418.68873020003</v>
      </c>
      <c r="J81" s="86">
        <f t="shared" si="55"/>
        <v>44728.985116739997</v>
      </c>
      <c r="K81" s="86">
        <f>SUM(AM81,AA81)</f>
        <v>2970869.8572371076</v>
      </c>
      <c r="L81" s="86">
        <f t="shared" si="45"/>
        <v>3594677.3630573475</v>
      </c>
      <c r="M81" s="86" t="str">
        <f t="shared" si="46"/>
        <v>October</v>
      </c>
      <c r="N81" s="110">
        <f t="shared" si="56"/>
        <v>6.9758166239764552E-2</v>
      </c>
      <c r="O81" s="88"/>
      <c r="P81" s="80"/>
      <c r="Q81" s="80"/>
      <c r="R81" s="48"/>
      <c r="S81" s="139"/>
      <c r="U81" s="83"/>
      <c r="V81" s="84">
        <f>$V$35</f>
        <v>45595</v>
      </c>
      <c r="W81" s="136">
        <f t="shared" si="47"/>
        <v>0</v>
      </c>
      <c r="X81" s="136">
        <f t="shared" si="47"/>
        <v>0</v>
      </c>
      <c r="Y81" s="321">
        <f t="shared" si="48"/>
        <v>0</v>
      </c>
      <c r="Z81" s="321">
        <f t="shared" si="48"/>
        <v>0</v>
      </c>
      <c r="AA81" s="321">
        <f>AA58*AA$76/100</f>
        <v>0</v>
      </c>
      <c r="AB81" s="136">
        <f t="shared" si="49"/>
        <v>0</v>
      </c>
      <c r="AC81" s="86" t="str">
        <f t="shared" si="50"/>
        <v>October</v>
      </c>
      <c r="AD81" s="201">
        <f t="shared" si="62"/>
        <v>0</v>
      </c>
      <c r="AE81" s="88"/>
      <c r="AG81" s="83"/>
      <c r="AH81" s="84">
        <f>$V$35</f>
        <v>45595</v>
      </c>
      <c r="AI81" s="335">
        <f t="shared" si="63"/>
        <v>80114.921171999988</v>
      </c>
      <c r="AJ81" s="335">
        <f t="shared" si="63"/>
        <v>340544.91080130002</v>
      </c>
      <c r="AK81" s="335">
        <f t="shared" si="57"/>
        <v>158418.68873020003</v>
      </c>
      <c r="AL81" s="335">
        <f t="shared" si="57"/>
        <v>44728.985116739997</v>
      </c>
      <c r="AM81" s="335">
        <f>AM58*AM$76/100</f>
        <v>2970869.8572371076</v>
      </c>
      <c r="AN81" s="335">
        <f t="shared" si="58"/>
        <v>3594677.3630573475</v>
      </c>
      <c r="AO81" s="86" t="str">
        <f t="shared" si="59"/>
        <v>October</v>
      </c>
      <c r="AP81" s="110">
        <f t="shared" si="60"/>
        <v>8.309867518248483E-2</v>
      </c>
      <c r="AQ81" s="88"/>
    </row>
    <row r="82" spans="5:43">
      <c r="E82" s="83">
        <f t="shared" si="64"/>
        <v>2</v>
      </c>
      <c r="F82" s="84">
        <f t="shared" si="52"/>
        <v>45626</v>
      </c>
      <c r="G82" s="86">
        <f t="shared" si="61"/>
        <v>80114.921171999988</v>
      </c>
      <c r="H82" s="86">
        <f t="shared" si="53"/>
        <v>340544.91080130002</v>
      </c>
      <c r="I82" s="86">
        <f t="shared" si="54"/>
        <v>158493.21716408001</v>
      </c>
      <c r="J82" s="86">
        <f t="shared" si="55"/>
        <v>42160.64166696</v>
      </c>
      <c r="K82" s="86">
        <f>SUM(AM82,AA82)</f>
        <v>2708685.0143421995</v>
      </c>
      <c r="L82" s="86">
        <f t="shared" si="45"/>
        <v>3329998.7051465395</v>
      </c>
      <c r="M82" s="86" t="str">
        <f t="shared" si="46"/>
        <v>November</v>
      </c>
      <c r="N82" s="110">
        <f t="shared" si="56"/>
        <v>6.4621822709073851E-2</v>
      </c>
      <c r="O82" s="88"/>
      <c r="P82" s="80"/>
      <c r="Q82" s="80"/>
      <c r="R82" s="48"/>
      <c r="S82" s="139"/>
      <c r="U82" s="83"/>
      <c r="V82" s="84">
        <f>$V$36</f>
        <v>45626</v>
      </c>
      <c r="W82" s="136">
        <f t="shared" ref="W82:X82" si="65">W59*W$76</f>
        <v>0</v>
      </c>
      <c r="X82" s="136">
        <f t="shared" si="65"/>
        <v>0</v>
      </c>
      <c r="Y82" s="321">
        <f t="shared" ref="Y82:Z82" si="66">Y59*Y$76/100</f>
        <v>0</v>
      </c>
      <c r="Z82" s="321">
        <f t="shared" si="66"/>
        <v>0</v>
      </c>
      <c r="AA82" s="321">
        <f>AA59*AA$76/100</f>
        <v>0</v>
      </c>
      <c r="AB82" s="136">
        <f t="shared" si="49"/>
        <v>0</v>
      </c>
      <c r="AC82" s="86" t="str">
        <f t="shared" si="50"/>
        <v>November</v>
      </c>
      <c r="AD82" s="201">
        <f t="shared" si="62"/>
        <v>0</v>
      </c>
      <c r="AE82" s="88"/>
      <c r="AG82" s="83"/>
      <c r="AH82" s="84">
        <f>$V$36</f>
        <v>45626</v>
      </c>
      <c r="AI82" s="335">
        <f t="shared" ref="AI82:AJ82" si="67">AI59*AI$76</f>
        <v>80114.921171999988</v>
      </c>
      <c r="AJ82" s="335">
        <f t="shared" si="67"/>
        <v>340544.91080130002</v>
      </c>
      <c r="AK82" s="335">
        <f t="shared" ref="AK82:AM82" si="68">AK59*AK$76/100</f>
        <v>158493.21716408001</v>
      </c>
      <c r="AL82" s="335">
        <f t="shared" si="68"/>
        <v>42160.64166696</v>
      </c>
      <c r="AM82" s="335">
        <f t="shared" si="68"/>
        <v>2708685.0143421995</v>
      </c>
      <c r="AN82" s="335">
        <f t="shared" si="58"/>
        <v>3329998.7051465395</v>
      </c>
      <c r="AO82" s="86" t="str">
        <f t="shared" si="59"/>
        <v>November</v>
      </c>
      <c r="AP82" s="110">
        <f t="shared" si="60"/>
        <v>7.6980060464094766E-2</v>
      </c>
      <c r="AQ82" s="88"/>
    </row>
    <row r="83" spans="5:43">
      <c r="E83" s="83">
        <f t="shared" si="64"/>
        <v>3</v>
      </c>
      <c r="F83" s="84">
        <f t="shared" si="52"/>
        <v>45656</v>
      </c>
      <c r="G83" s="86">
        <f t="shared" si="61"/>
        <v>80114.921171999988</v>
      </c>
      <c r="H83" s="86">
        <f t="shared" si="53"/>
        <v>340544.91080130002</v>
      </c>
      <c r="I83" s="86">
        <f t="shared" si="54"/>
        <v>154258.37011435002</v>
      </c>
      <c r="J83" s="86">
        <f t="shared" si="55"/>
        <v>40435.989990380003</v>
      </c>
      <c r="K83" s="86">
        <f t="shared" ref="K83:K91" si="69">SUM(AM83,AA83)</f>
        <v>3169135.7325852676</v>
      </c>
      <c r="L83" s="86">
        <f t="shared" si="45"/>
        <v>3784489.9246632978</v>
      </c>
      <c r="M83" s="86" t="str">
        <f t="shared" si="46"/>
        <v>December</v>
      </c>
      <c r="N83" s="110">
        <f t="shared" si="56"/>
        <v>7.3441661276894041E-2</v>
      </c>
      <c r="O83" s="88"/>
      <c r="P83" s="80"/>
      <c r="Q83" s="80"/>
      <c r="R83" s="48"/>
      <c r="S83" s="139"/>
      <c r="U83" s="83"/>
      <c r="V83" s="84">
        <f>$V$37</f>
        <v>45656</v>
      </c>
      <c r="W83" s="136">
        <f t="shared" ref="W83:X83" si="70">W60*W$76</f>
        <v>0</v>
      </c>
      <c r="X83" s="136">
        <f t="shared" si="70"/>
        <v>0</v>
      </c>
      <c r="Y83" s="321">
        <f t="shared" ref="Y83:AA83" si="71">Y60*Y$76/100</f>
        <v>0</v>
      </c>
      <c r="Z83" s="321">
        <f t="shared" si="71"/>
        <v>0</v>
      </c>
      <c r="AA83" s="321">
        <f t="shared" si="71"/>
        <v>0</v>
      </c>
      <c r="AB83" s="136">
        <f t="shared" si="49"/>
        <v>0</v>
      </c>
      <c r="AC83" s="86" t="str">
        <f t="shared" si="50"/>
        <v>December</v>
      </c>
      <c r="AD83" s="201">
        <f t="shared" si="62"/>
        <v>0</v>
      </c>
      <c r="AE83" s="88"/>
      <c r="AG83" s="83"/>
      <c r="AH83" s="84">
        <f>$V$37</f>
        <v>45656</v>
      </c>
      <c r="AI83" s="335">
        <f t="shared" ref="AI83:AJ83" si="72">AI60*AI$76</f>
        <v>80114.921171999988</v>
      </c>
      <c r="AJ83" s="335">
        <f t="shared" si="72"/>
        <v>340544.91080130002</v>
      </c>
      <c r="AK83" s="335">
        <f t="shared" ref="AK83:AM83" si="73">AK60*AK$76/100</f>
        <v>154258.37011435002</v>
      </c>
      <c r="AL83" s="335">
        <f t="shared" si="73"/>
        <v>40435.989990380003</v>
      </c>
      <c r="AM83" s="335">
        <f t="shared" si="73"/>
        <v>3169135.7325852676</v>
      </c>
      <c r="AN83" s="335">
        <f t="shared" si="58"/>
        <v>3784489.9246632978</v>
      </c>
      <c r="AO83" s="86" t="str">
        <f t="shared" si="59"/>
        <v>December</v>
      </c>
      <c r="AP83" s="110">
        <f t="shared" si="60"/>
        <v>8.7486599552151448E-2</v>
      </c>
      <c r="AQ83" s="88"/>
    </row>
    <row r="84" spans="5:43">
      <c r="E84" s="83">
        <f t="shared" si="64"/>
        <v>4</v>
      </c>
      <c r="F84" s="84">
        <f t="shared" si="52"/>
        <v>45687</v>
      </c>
      <c r="G84" s="86">
        <f t="shared" si="61"/>
        <v>80114.921171999988</v>
      </c>
      <c r="H84" s="86">
        <f t="shared" si="53"/>
        <v>340544.91080130002</v>
      </c>
      <c r="I84" s="86">
        <f t="shared" si="54"/>
        <v>163647.84656405001</v>
      </c>
      <c r="J84" s="86">
        <f t="shared" si="55"/>
        <v>41991.732634880005</v>
      </c>
      <c r="K84" s="86">
        <f t="shared" si="69"/>
        <v>3527974.1596691608</v>
      </c>
      <c r="L84" s="86">
        <f t="shared" si="45"/>
        <v>4154273.5708413906</v>
      </c>
      <c r="M84" s="86" t="str">
        <f t="shared" si="46"/>
        <v>January</v>
      </c>
      <c r="N84" s="110">
        <f t="shared" si="56"/>
        <v>8.0617668038429416E-2</v>
      </c>
      <c r="O84" s="88"/>
      <c r="P84" s="80"/>
      <c r="Q84" s="80"/>
      <c r="R84" s="48"/>
      <c r="S84" s="139"/>
      <c r="U84" s="83"/>
      <c r="V84" s="84">
        <f>$V$38</f>
        <v>45687</v>
      </c>
      <c r="W84" s="136">
        <f t="shared" ref="W84:X84" si="74">W61*W$76</f>
        <v>0</v>
      </c>
      <c r="X84" s="136">
        <f t="shared" si="74"/>
        <v>0</v>
      </c>
      <c r="Y84" s="321">
        <f t="shared" ref="Y84:AA84" si="75">Y61*Y$76/100</f>
        <v>0</v>
      </c>
      <c r="Z84" s="321">
        <f t="shared" si="75"/>
        <v>0</v>
      </c>
      <c r="AA84" s="321">
        <f t="shared" si="75"/>
        <v>0</v>
      </c>
      <c r="AB84" s="136">
        <f t="shared" si="49"/>
        <v>0</v>
      </c>
      <c r="AC84" s="86" t="str">
        <f t="shared" si="50"/>
        <v>January</v>
      </c>
      <c r="AD84" s="201">
        <f t="shared" si="62"/>
        <v>0</v>
      </c>
      <c r="AE84" s="88"/>
      <c r="AG84" s="83"/>
      <c r="AH84" s="84">
        <f>$V$38</f>
        <v>45687</v>
      </c>
      <c r="AI84" s="335">
        <f t="shared" ref="AI84:AJ84" si="76">AI61*AI$76</f>
        <v>80114.921171999988</v>
      </c>
      <c r="AJ84" s="335">
        <f t="shared" si="76"/>
        <v>340544.91080130002</v>
      </c>
      <c r="AK84" s="335">
        <f t="shared" ref="AK84:AM84" si="77">AK61*AK$76/100</f>
        <v>163647.84656405001</v>
      </c>
      <c r="AL84" s="335">
        <f t="shared" si="77"/>
        <v>41991.732634880005</v>
      </c>
      <c r="AM84" s="335">
        <f t="shared" si="77"/>
        <v>3527974.1596691608</v>
      </c>
      <c r="AN84" s="335">
        <f t="shared" si="58"/>
        <v>4154273.5708413906</v>
      </c>
      <c r="AO84" s="86" t="str">
        <f t="shared" si="59"/>
        <v>January</v>
      </c>
      <c r="AP84" s="110">
        <f t="shared" si="60"/>
        <v>9.6034941447128347E-2</v>
      </c>
      <c r="AQ84" s="88"/>
    </row>
    <row r="85" spans="5:43">
      <c r="E85" s="83">
        <f t="shared" si="64"/>
        <v>5</v>
      </c>
      <c r="F85" s="84">
        <f t="shared" si="52"/>
        <v>45716</v>
      </c>
      <c r="G85" s="86">
        <f t="shared" si="61"/>
        <v>80114.921171999988</v>
      </c>
      <c r="H85" s="86">
        <f t="shared" si="53"/>
        <v>340544.91080130002</v>
      </c>
      <c r="I85" s="86">
        <f>SUM(AK85,Y85)</f>
        <v>170329.50148933</v>
      </c>
      <c r="J85" s="86">
        <f t="shared" si="55"/>
        <v>40413.21640474</v>
      </c>
      <c r="K85" s="86">
        <f t="shared" si="69"/>
        <v>3374905.0598115148</v>
      </c>
      <c r="L85" s="86">
        <f t="shared" si="45"/>
        <v>4006307.609678885</v>
      </c>
      <c r="M85" s="86" t="str">
        <f t="shared" si="46"/>
        <v>February</v>
      </c>
      <c r="N85" s="110">
        <f t="shared" si="56"/>
        <v>7.7746246468672259E-2</v>
      </c>
      <c r="O85" s="88"/>
      <c r="P85" s="80"/>
      <c r="Q85" s="80"/>
      <c r="R85" s="48"/>
      <c r="S85" s="139"/>
      <c r="U85" s="83"/>
      <c r="V85" s="84">
        <f>$V$39</f>
        <v>45716</v>
      </c>
      <c r="W85" s="136">
        <f t="shared" ref="W85:X85" si="78">W62*W$76</f>
        <v>0</v>
      </c>
      <c r="X85" s="136">
        <f t="shared" si="78"/>
        <v>0</v>
      </c>
      <c r="Y85" s="321">
        <f t="shared" ref="Y85:AA85" si="79">Y62*Y$76/100</f>
        <v>0</v>
      </c>
      <c r="Z85" s="321">
        <f t="shared" si="79"/>
        <v>0</v>
      </c>
      <c r="AA85" s="321">
        <f t="shared" si="79"/>
        <v>0</v>
      </c>
      <c r="AB85" s="136">
        <f t="shared" si="49"/>
        <v>0</v>
      </c>
      <c r="AC85" s="86" t="str">
        <f t="shared" si="50"/>
        <v>February</v>
      </c>
      <c r="AD85" s="201">
        <f t="shared" si="62"/>
        <v>0</v>
      </c>
      <c r="AE85" s="88"/>
      <c r="AG85" s="83"/>
      <c r="AH85" s="84">
        <f>$V$39</f>
        <v>45716</v>
      </c>
      <c r="AI85" s="335">
        <f t="shared" ref="AI85:AJ85" si="80">AI62*AI$76</f>
        <v>80114.921171999988</v>
      </c>
      <c r="AJ85" s="335">
        <f t="shared" si="80"/>
        <v>340544.91080130002</v>
      </c>
      <c r="AK85" s="335">
        <f t="shared" ref="AK85:AM85" si="81">AK62*AK$76/100</f>
        <v>170329.50148933</v>
      </c>
      <c r="AL85" s="335">
        <f t="shared" si="81"/>
        <v>40413.21640474</v>
      </c>
      <c r="AM85" s="335">
        <f t="shared" si="81"/>
        <v>3374905.0598115148</v>
      </c>
      <c r="AN85" s="335">
        <f t="shared" si="58"/>
        <v>4006307.609678885</v>
      </c>
      <c r="AO85" s="86" t="str">
        <f t="shared" si="59"/>
        <v>February</v>
      </c>
      <c r="AP85" s="110">
        <f t="shared" si="60"/>
        <v>9.2614390976849315E-2</v>
      </c>
      <c r="AQ85" s="88"/>
    </row>
    <row r="86" spans="5:43">
      <c r="E86" s="83">
        <f t="shared" si="64"/>
        <v>6</v>
      </c>
      <c r="F86" s="84">
        <f t="shared" si="52"/>
        <v>45744</v>
      </c>
      <c r="G86" s="86">
        <f t="shared" si="61"/>
        <v>80114.921171999988</v>
      </c>
      <c r="H86" s="86">
        <f t="shared" si="53"/>
        <v>340544.91080130002</v>
      </c>
      <c r="I86" s="86">
        <f t="shared" si="54"/>
        <v>163875.00762906001</v>
      </c>
      <c r="J86" s="86">
        <f t="shared" si="55"/>
        <v>39952.723930580003</v>
      </c>
      <c r="K86" s="86">
        <f t="shared" si="69"/>
        <v>2923416.235613551</v>
      </c>
      <c r="L86" s="86">
        <f t="shared" si="45"/>
        <v>3547903.7991464911</v>
      </c>
      <c r="M86" s="86" t="str">
        <f t="shared" si="46"/>
        <v>March</v>
      </c>
      <c r="N86" s="110">
        <f t="shared" si="56"/>
        <v>6.8850480314887927E-2</v>
      </c>
      <c r="O86" s="88"/>
      <c r="P86" s="80"/>
      <c r="Q86" s="80"/>
      <c r="R86" s="48"/>
      <c r="S86" s="139"/>
      <c r="U86" s="83"/>
      <c r="V86" s="84">
        <f>$V$40</f>
        <v>45744</v>
      </c>
      <c r="W86" s="136">
        <f t="shared" ref="W86:X86" si="82">W63*W$76</f>
        <v>0</v>
      </c>
      <c r="X86" s="136">
        <f t="shared" si="82"/>
        <v>0</v>
      </c>
      <c r="Y86" s="321">
        <f t="shared" ref="Y86:AA86" si="83">Y63*Y$76/100</f>
        <v>0</v>
      </c>
      <c r="Z86" s="321">
        <f t="shared" si="83"/>
        <v>0</v>
      </c>
      <c r="AA86" s="321">
        <f t="shared" si="83"/>
        <v>0</v>
      </c>
      <c r="AB86" s="136">
        <f t="shared" si="49"/>
        <v>0</v>
      </c>
      <c r="AC86" s="86" t="str">
        <f t="shared" si="50"/>
        <v>March</v>
      </c>
      <c r="AD86" s="201">
        <f t="shared" si="62"/>
        <v>0</v>
      </c>
      <c r="AE86" s="88"/>
      <c r="AG86" s="83"/>
      <c r="AH86" s="84">
        <f>$V$40</f>
        <v>45744</v>
      </c>
      <c r="AI86" s="335">
        <f t="shared" ref="AI86:AJ86" si="84">AI63*AI$76</f>
        <v>80114.921171999988</v>
      </c>
      <c r="AJ86" s="335">
        <f t="shared" si="84"/>
        <v>340544.91080130002</v>
      </c>
      <c r="AK86" s="335">
        <f t="shared" ref="AK86:AM86" si="85">AK63*AK$76/100</f>
        <v>163875.00762906001</v>
      </c>
      <c r="AL86" s="335">
        <f t="shared" si="85"/>
        <v>39952.723930580003</v>
      </c>
      <c r="AM86" s="335">
        <f t="shared" si="85"/>
        <v>2923416.235613551</v>
      </c>
      <c r="AN86" s="335">
        <f t="shared" si="58"/>
        <v>3547903.7991464911</v>
      </c>
      <c r="AO86" s="86" t="str">
        <f t="shared" si="59"/>
        <v>March</v>
      </c>
      <c r="AP86" s="110">
        <f t="shared" si="60"/>
        <v>8.2017403957840171E-2</v>
      </c>
      <c r="AQ86" s="88"/>
    </row>
    <row r="87" spans="5:43">
      <c r="E87" s="83">
        <f t="shared" si="64"/>
        <v>7</v>
      </c>
      <c r="F87" s="84">
        <f t="shared" si="52"/>
        <v>45775</v>
      </c>
      <c r="G87" s="86">
        <f t="shared" si="61"/>
        <v>80114.921171999988</v>
      </c>
      <c r="H87" s="86">
        <f t="shared" si="53"/>
        <v>340544.91080130002</v>
      </c>
      <c r="I87" s="86">
        <f t="shared" si="54"/>
        <v>164825.24041738</v>
      </c>
      <c r="J87" s="86">
        <f t="shared" si="55"/>
        <v>41507.620299440001</v>
      </c>
      <c r="K87" s="86">
        <f t="shared" si="69"/>
        <v>2701861.2694252417</v>
      </c>
      <c r="L87" s="86">
        <f t="shared" si="45"/>
        <v>3328853.9621153618</v>
      </c>
      <c r="M87" s="86" t="str">
        <f t="shared" si="46"/>
        <v>April</v>
      </c>
      <c r="N87" s="110">
        <f t="shared" si="56"/>
        <v>6.4599607871244066E-2</v>
      </c>
      <c r="O87" s="88"/>
      <c r="P87" s="80"/>
      <c r="Q87" s="80"/>
      <c r="R87" s="48"/>
      <c r="S87" s="139"/>
      <c r="U87" s="83"/>
      <c r="V87" s="84">
        <f>$V$41</f>
        <v>45775</v>
      </c>
      <c r="W87" s="136">
        <f t="shared" ref="W87:X87" si="86">W64*W$76</f>
        <v>0</v>
      </c>
      <c r="X87" s="136">
        <f t="shared" si="86"/>
        <v>0</v>
      </c>
      <c r="Y87" s="321">
        <f t="shared" ref="Y87:AA87" si="87">Y64*Y$76/100</f>
        <v>0</v>
      </c>
      <c r="Z87" s="321">
        <f t="shared" si="87"/>
        <v>0</v>
      </c>
      <c r="AA87" s="321">
        <f t="shared" si="87"/>
        <v>0</v>
      </c>
      <c r="AB87" s="136">
        <f t="shared" si="49"/>
        <v>0</v>
      </c>
      <c r="AC87" s="86" t="str">
        <f t="shared" si="50"/>
        <v>April</v>
      </c>
      <c r="AD87" s="201">
        <f t="shared" si="62"/>
        <v>0</v>
      </c>
      <c r="AE87" s="88"/>
      <c r="AG87" s="83"/>
      <c r="AH87" s="84">
        <f>$V$41</f>
        <v>45775</v>
      </c>
      <c r="AI87" s="335">
        <f t="shared" ref="AI87:AJ87" si="88">AI64*AI$76</f>
        <v>80114.921171999988</v>
      </c>
      <c r="AJ87" s="335">
        <f t="shared" si="88"/>
        <v>340544.91080130002</v>
      </c>
      <c r="AK87" s="335">
        <f t="shared" ref="AK87:AM87" si="89">AK64*AK$76/100</f>
        <v>164825.24041738</v>
      </c>
      <c r="AL87" s="335">
        <f t="shared" si="89"/>
        <v>41507.620299440001</v>
      </c>
      <c r="AM87" s="335">
        <f t="shared" si="89"/>
        <v>2701861.2694252417</v>
      </c>
      <c r="AN87" s="335">
        <f t="shared" si="58"/>
        <v>3328853.9621153618</v>
      </c>
      <c r="AO87" s="86" t="str">
        <f t="shared" si="59"/>
        <v>April</v>
      </c>
      <c r="AP87" s="110">
        <f t="shared" si="60"/>
        <v>7.6953597274298416E-2</v>
      </c>
      <c r="AQ87" s="88"/>
    </row>
    <row r="88" spans="5:43">
      <c r="E88" s="83">
        <f t="shared" si="64"/>
        <v>8</v>
      </c>
      <c r="F88" s="84">
        <f t="shared" si="52"/>
        <v>45805</v>
      </c>
      <c r="G88" s="86">
        <f t="shared" si="61"/>
        <v>80114.921171999988</v>
      </c>
      <c r="H88" s="86">
        <f t="shared" si="53"/>
        <v>340544.91080130002</v>
      </c>
      <c r="I88" s="86">
        <f t="shared" si="54"/>
        <v>176991.09741622</v>
      </c>
      <c r="J88" s="86">
        <f t="shared" si="55"/>
        <v>43460.196288760009</v>
      </c>
      <c r="K88" s="86">
        <f t="shared" si="69"/>
        <v>2723477.9933142816</v>
      </c>
      <c r="L88" s="86">
        <f t="shared" si="45"/>
        <v>3364589.1189925615</v>
      </c>
      <c r="M88" s="86" t="str">
        <f t="shared" si="46"/>
        <v>May</v>
      </c>
      <c r="N88" s="110">
        <f t="shared" si="56"/>
        <v>6.5293082907324523E-2</v>
      </c>
      <c r="O88" s="88"/>
      <c r="P88" s="80"/>
      <c r="Q88" s="80"/>
      <c r="R88" s="48"/>
      <c r="S88" s="139"/>
      <c r="U88" s="83"/>
      <c r="V88" s="84">
        <f>$V$42</f>
        <v>45805</v>
      </c>
      <c r="W88" s="136">
        <f t="shared" ref="W88:X88" si="90">W65*W$76</f>
        <v>0</v>
      </c>
      <c r="X88" s="136">
        <f t="shared" si="90"/>
        <v>0</v>
      </c>
      <c r="Y88" s="321">
        <f t="shared" ref="Y88:AA88" si="91">Y65*Y$76/100</f>
        <v>0</v>
      </c>
      <c r="Z88" s="321">
        <f t="shared" si="91"/>
        <v>0</v>
      </c>
      <c r="AA88" s="321">
        <f t="shared" si="91"/>
        <v>0</v>
      </c>
      <c r="AB88" s="136">
        <f t="shared" si="49"/>
        <v>0</v>
      </c>
      <c r="AC88" s="86" t="str">
        <f t="shared" si="50"/>
        <v>May</v>
      </c>
      <c r="AD88" s="201">
        <f t="shared" si="62"/>
        <v>0</v>
      </c>
      <c r="AE88" s="88"/>
      <c r="AG88" s="83"/>
      <c r="AH88" s="84">
        <f>$V$42</f>
        <v>45805</v>
      </c>
      <c r="AI88" s="335">
        <f t="shared" ref="AI88:AJ88" si="92">AI65*AI$76</f>
        <v>80114.921171999988</v>
      </c>
      <c r="AJ88" s="335">
        <f t="shared" si="92"/>
        <v>340544.91080130002</v>
      </c>
      <c r="AK88" s="335">
        <f t="shared" ref="AK88:AM88" si="93">AK65*AK$76/100</f>
        <v>176991.09741622</v>
      </c>
      <c r="AL88" s="335">
        <f t="shared" si="93"/>
        <v>43460.196288760009</v>
      </c>
      <c r="AM88" s="335">
        <f t="shared" si="93"/>
        <v>2723477.9933142816</v>
      </c>
      <c r="AN88" s="335">
        <f t="shared" si="58"/>
        <v>3364589.1189925615</v>
      </c>
      <c r="AO88" s="86" t="str">
        <f t="shared" si="59"/>
        <v>May</v>
      </c>
      <c r="AP88" s="110">
        <f t="shared" si="60"/>
        <v>7.777969205110695E-2</v>
      </c>
      <c r="AQ88" s="88"/>
    </row>
    <row r="89" spans="5:43">
      <c r="E89" s="83">
        <f t="shared" si="64"/>
        <v>9</v>
      </c>
      <c r="F89" s="84">
        <f t="shared" si="52"/>
        <v>45836</v>
      </c>
      <c r="G89" s="86">
        <f t="shared" si="61"/>
        <v>80114.921171999988</v>
      </c>
      <c r="H89" s="86">
        <f t="shared" si="53"/>
        <v>340544.91080130002</v>
      </c>
      <c r="I89" s="86">
        <f t="shared" si="54"/>
        <v>181969.66814390002</v>
      </c>
      <c r="J89" s="86">
        <f t="shared" si="55"/>
        <v>47376.567938560009</v>
      </c>
      <c r="K89" s="86">
        <f t="shared" si="69"/>
        <v>3501448.5671426416</v>
      </c>
      <c r="L89" s="86">
        <f t="shared" si="45"/>
        <v>4151454.6351984018</v>
      </c>
      <c r="M89" s="86" t="str">
        <f t="shared" si="46"/>
        <v>June</v>
      </c>
      <c r="N89" s="110">
        <f t="shared" si="56"/>
        <v>8.0562963885221189E-2</v>
      </c>
      <c r="O89" s="88"/>
      <c r="P89" s="80"/>
      <c r="Q89" s="80"/>
      <c r="R89" s="48"/>
      <c r="S89" s="139"/>
      <c r="U89" s="83"/>
      <c r="V89" s="84">
        <f>$V$43</f>
        <v>45836</v>
      </c>
      <c r="W89" s="136">
        <f t="shared" ref="W89:X89" si="94">W66*W$76</f>
        <v>0</v>
      </c>
      <c r="X89" s="136">
        <f t="shared" si="94"/>
        <v>0</v>
      </c>
      <c r="Y89" s="321">
        <f t="shared" ref="Y89:AA89" si="95">Y66*Y$76/100</f>
        <v>0</v>
      </c>
      <c r="Z89" s="321">
        <f t="shared" si="95"/>
        <v>0</v>
      </c>
      <c r="AA89" s="321">
        <f t="shared" si="95"/>
        <v>0</v>
      </c>
      <c r="AB89" s="136">
        <f t="shared" si="49"/>
        <v>0</v>
      </c>
      <c r="AC89" s="86" t="str">
        <f t="shared" si="50"/>
        <v>June</v>
      </c>
      <c r="AD89" s="201">
        <f t="shared" si="62"/>
        <v>0</v>
      </c>
      <c r="AE89" s="88"/>
      <c r="AG89" s="83"/>
      <c r="AH89" s="84">
        <f>$V$43</f>
        <v>45836</v>
      </c>
      <c r="AI89" s="335">
        <f t="shared" ref="AI89:AJ89" si="96">AI66*AI$76</f>
        <v>80114.921171999988</v>
      </c>
      <c r="AJ89" s="335">
        <f t="shared" si="96"/>
        <v>340544.91080130002</v>
      </c>
      <c r="AK89" s="335">
        <f t="shared" ref="AK89:AM89" si="97">AK66*AK$76/100</f>
        <v>181969.66814390002</v>
      </c>
      <c r="AL89" s="335">
        <f t="shared" si="97"/>
        <v>47376.567938560009</v>
      </c>
      <c r="AM89" s="335">
        <f t="shared" si="97"/>
        <v>3501448.5671426416</v>
      </c>
      <c r="AN89" s="335">
        <f t="shared" si="58"/>
        <v>4151454.6351984018</v>
      </c>
      <c r="AO89" s="86" t="str">
        <f t="shared" si="59"/>
        <v>June</v>
      </c>
      <c r="AP89" s="110">
        <f t="shared" si="60"/>
        <v>9.5969775705199892E-2</v>
      </c>
      <c r="AQ89" s="88"/>
    </row>
    <row r="90" spans="5:43">
      <c r="E90" s="83">
        <f t="shared" si="64"/>
        <v>10</v>
      </c>
      <c r="F90" s="84">
        <f t="shared" si="52"/>
        <v>45866</v>
      </c>
      <c r="G90" s="86">
        <f t="shared" si="61"/>
        <v>80114.921171999988</v>
      </c>
      <c r="H90" s="86">
        <f t="shared" si="53"/>
        <v>340544.91080130002</v>
      </c>
      <c r="I90" s="86">
        <f t="shared" si="54"/>
        <v>183267.42926979001</v>
      </c>
      <c r="J90" s="86">
        <f t="shared" si="55"/>
        <v>49577.809105360007</v>
      </c>
      <c r="K90" s="86">
        <f t="shared" si="69"/>
        <v>4455754.8710974595</v>
      </c>
      <c r="L90" s="86">
        <f t="shared" si="45"/>
        <v>5109259.9414459094</v>
      </c>
      <c r="M90" s="86" t="str">
        <f t="shared" si="46"/>
        <v>July</v>
      </c>
      <c r="N90" s="110">
        <f t="shared" si="56"/>
        <v>9.9150095644304825E-2</v>
      </c>
      <c r="O90" s="88"/>
      <c r="P90" s="80"/>
      <c r="Q90" s="80"/>
      <c r="R90" s="48"/>
      <c r="S90" s="139"/>
      <c r="U90" s="83"/>
      <c r="V90" s="84">
        <f>$V$44</f>
        <v>45866</v>
      </c>
      <c r="W90" s="136">
        <f t="shared" ref="W90:X90" si="98">W67*W$76</f>
        <v>0</v>
      </c>
      <c r="X90" s="136">
        <f t="shared" si="98"/>
        <v>0</v>
      </c>
      <c r="Y90" s="321">
        <f t="shared" ref="Y90:AA90" si="99">Y67*Y$76/100</f>
        <v>0</v>
      </c>
      <c r="Z90" s="321">
        <f t="shared" si="99"/>
        <v>0</v>
      </c>
      <c r="AA90" s="321">
        <f t="shared" si="99"/>
        <v>0</v>
      </c>
      <c r="AB90" s="136">
        <f t="shared" si="49"/>
        <v>0</v>
      </c>
      <c r="AC90" s="86" t="str">
        <f t="shared" si="50"/>
        <v>July</v>
      </c>
      <c r="AD90" s="201">
        <f t="shared" si="62"/>
        <v>0</v>
      </c>
      <c r="AE90" s="88"/>
      <c r="AG90" s="83"/>
      <c r="AH90" s="84">
        <f>$V$44</f>
        <v>45866</v>
      </c>
      <c r="AI90" s="335">
        <f t="shared" ref="AI90:AJ90" si="100">AI67*AI$76</f>
        <v>80114.921171999988</v>
      </c>
      <c r="AJ90" s="335">
        <f t="shared" si="100"/>
        <v>340544.91080130002</v>
      </c>
      <c r="AK90" s="335">
        <f t="shared" ref="AK90:AM90" si="101">AK67*AK$76/100</f>
        <v>183267.42926979001</v>
      </c>
      <c r="AL90" s="335">
        <f t="shared" si="101"/>
        <v>49577.809105360007</v>
      </c>
      <c r="AM90" s="335">
        <f t="shared" si="101"/>
        <v>4455754.8710974595</v>
      </c>
      <c r="AN90" s="335">
        <f t="shared" si="58"/>
        <v>5109259.9414459094</v>
      </c>
      <c r="AO90" s="86" t="str">
        <f t="shared" si="59"/>
        <v>July</v>
      </c>
      <c r="AP90" s="110">
        <f t="shared" si="60"/>
        <v>0.11811149914605611</v>
      </c>
      <c r="AQ90" s="88"/>
    </row>
    <row r="91" spans="5:43">
      <c r="E91" s="83">
        <f t="shared" si="64"/>
        <v>11</v>
      </c>
      <c r="F91" s="84">
        <f t="shared" si="52"/>
        <v>45897</v>
      </c>
      <c r="G91" s="86">
        <f t="shared" si="61"/>
        <v>80114.921171999988</v>
      </c>
      <c r="H91" s="86">
        <f t="shared" si="53"/>
        <v>340544.91080130002</v>
      </c>
      <c r="I91" s="86">
        <f t="shared" si="54"/>
        <v>168174.01539123003</v>
      </c>
      <c r="J91" s="86">
        <f t="shared" si="55"/>
        <v>50216.652392760006</v>
      </c>
      <c r="K91" s="86">
        <f t="shared" si="69"/>
        <v>4247079.1603496019</v>
      </c>
      <c r="L91" s="86">
        <f t="shared" si="45"/>
        <v>4886129.6601068918</v>
      </c>
      <c r="M91" s="86" t="str">
        <f t="shared" si="46"/>
        <v>August</v>
      </c>
      <c r="N91" s="110">
        <f t="shared" si="56"/>
        <v>9.4820038260369222E-2</v>
      </c>
      <c r="O91" s="88"/>
      <c r="P91" s="80"/>
      <c r="Q91" s="80"/>
      <c r="R91" s="48"/>
      <c r="S91" s="139"/>
      <c r="U91" s="83"/>
      <c r="V91" s="84">
        <f>$V$45</f>
        <v>45897</v>
      </c>
      <c r="W91" s="136">
        <f t="shared" ref="W91:X91" si="102">W68*W$76</f>
        <v>0</v>
      </c>
      <c r="X91" s="136">
        <f t="shared" si="102"/>
        <v>0</v>
      </c>
      <c r="Y91" s="321">
        <f t="shared" ref="Y91:AA91" si="103">Y68*Y$76/100</f>
        <v>0</v>
      </c>
      <c r="Z91" s="321">
        <f t="shared" si="103"/>
        <v>0</v>
      </c>
      <c r="AA91" s="321">
        <f t="shared" si="103"/>
        <v>0</v>
      </c>
      <c r="AB91" s="136">
        <f t="shared" si="49"/>
        <v>0</v>
      </c>
      <c r="AC91" s="86" t="str">
        <f t="shared" si="50"/>
        <v>August</v>
      </c>
      <c r="AD91" s="201">
        <f t="shared" si="62"/>
        <v>0</v>
      </c>
      <c r="AE91" s="88"/>
      <c r="AG91" s="83"/>
      <c r="AH91" s="84">
        <f>$V$45</f>
        <v>45897</v>
      </c>
      <c r="AI91" s="335">
        <f t="shared" ref="AI91:AJ91" si="104">AI68*AI$76</f>
        <v>80114.921171999988</v>
      </c>
      <c r="AJ91" s="335">
        <f t="shared" si="104"/>
        <v>340544.91080130002</v>
      </c>
      <c r="AK91" s="335">
        <f t="shared" ref="AK91:AM91" si="105">AK68*AK$76/100</f>
        <v>168174.01539123003</v>
      </c>
      <c r="AL91" s="335">
        <f t="shared" si="105"/>
        <v>50216.652392760006</v>
      </c>
      <c r="AM91" s="335">
        <f t="shared" si="105"/>
        <v>4247079.1603496019</v>
      </c>
      <c r="AN91" s="335">
        <f t="shared" si="58"/>
        <v>4886129.6601068918</v>
      </c>
      <c r="AO91" s="86" t="str">
        <f t="shared" si="59"/>
        <v>August</v>
      </c>
      <c r="AP91" s="110">
        <f t="shared" si="60"/>
        <v>0.11295336424278977</v>
      </c>
      <c r="AQ91" s="88"/>
    </row>
    <row r="92" spans="5:43" ht="6" customHeight="1">
      <c r="E92" s="93"/>
      <c r="F92" s="80"/>
      <c r="G92" s="80"/>
      <c r="H92" s="80"/>
      <c r="I92" s="80"/>
      <c r="J92" s="80"/>
      <c r="K92" s="80"/>
      <c r="L92" s="87"/>
      <c r="M92" s="87"/>
      <c r="N92" s="80"/>
      <c r="O92" s="88"/>
      <c r="P92" s="80"/>
      <c r="Q92" s="80"/>
      <c r="R92" s="48"/>
      <c r="S92" s="139"/>
      <c r="U92" s="93"/>
      <c r="V92" s="80"/>
      <c r="W92" s="80"/>
      <c r="X92" s="80"/>
      <c r="Y92" s="80"/>
      <c r="Z92" s="80"/>
      <c r="AA92" s="80"/>
      <c r="AB92" s="87"/>
      <c r="AC92" s="87"/>
      <c r="AD92" s="80"/>
      <c r="AE92" s="88"/>
      <c r="AG92" s="93"/>
      <c r="AH92" s="80"/>
      <c r="AI92" s="80"/>
      <c r="AJ92" s="80"/>
      <c r="AK92" s="80"/>
      <c r="AL92" s="80"/>
      <c r="AM92" s="80"/>
      <c r="AN92" s="87"/>
      <c r="AO92" s="87"/>
      <c r="AP92" s="80"/>
      <c r="AQ92" s="88"/>
    </row>
    <row r="93" spans="5:43">
      <c r="E93" s="97" t="s">
        <v>172</v>
      </c>
      <c r="F93" s="98"/>
      <c r="G93" s="99">
        <f t="shared" ref="G93:L93" si="106">SUM(G79:G92)</f>
        <v>1038333.183014</v>
      </c>
      <c r="H93" s="99">
        <f t="shared" si="106"/>
        <v>4481490.8271756992</v>
      </c>
      <c r="I93" s="99">
        <f t="shared" si="106"/>
        <v>2111628.3440278303</v>
      </c>
      <c r="J93" s="99">
        <f t="shared" si="106"/>
        <v>579146.73667654011</v>
      </c>
      <c r="K93" s="99">
        <f t="shared" si="106"/>
        <v>43319960.796562634</v>
      </c>
      <c r="L93" s="99">
        <f t="shared" si="106"/>
        <v>51530559.8874567</v>
      </c>
      <c r="M93" s="99"/>
      <c r="N93" s="111">
        <f>SUM(N79:N92)</f>
        <v>1.0000000000000002</v>
      </c>
      <c r="O93" s="100"/>
      <c r="P93" s="80"/>
      <c r="Q93" s="80"/>
      <c r="R93" s="48"/>
      <c r="S93" s="139"/>
      <c r="U93" s="97" t="s">
        <v>172</v>
      </c>
      <c r="V93" s="98"/>
      <c r="W93" s="99">
        <f t="shared" ref="W93:AB93" si="107">SUM(W77:W92)</f>
        <v>306837.95012199989</v>
      </c>
      <c r="X93" s="99">
        <f t="shared" si="107"/>
        <v>1434851.7783613999</v>
      </c>
      <c r="Y93" s="99">
        <f t="shared" si="107"/>
        <v>532618.02169824007</v>
      </c>
      <c r="Z93" s="99">
        <f t="shared" si="107"/>
        <v>181492.00090737996</v>
      </c>
      <c r="AA93" s="99">
        <f t="shared" si="107"/>
        <v>12972972.935974609</v>
      </c>
      <c r="AB93" s="99">
        <f t="shared" si="107"/>
        <v>15428772.687063631</v>
      </c>
      <c r="AC93" s="99"/>
      <c r="AD93" s="111">
        <f>SUM(AD77:AD92)</f>
        <v>1</v>
      </c>
      <c r="AE93" s="100"/>
      <c r="AG93" s="97" t="s">
        <v>172</v>
      </c>
      <c r="AH93" s="98"/>
      <c r="AI93" s="99">
        <f t="shared" ref="AI93:AN93" si="108">SUM(AI79:AI92)</f>
        <v>881264.13289199991</v>
      </c>
      <c r="AJ93" s="99">
        <f t="shared" si="108"/>
        <v>3745994.0188142997</v>
      </c>
      <c r="AK93" s="99">
        <f t="shared" si="108"/>
        <v>1844250.0823295903</v>
      </c>
      <c r="AL93" s="99">
        <f t="shared" si="108"/>
        <v>481822.13576916</v>
      </c>
      <c r="AM93" s="99">
        <f t="shared" si="108"/>
        <v>36304607.920588031</v>
      </c>
      <c r="AN93" s="99">
        <f t="shared" si="108"/>
        <v>43257938.290393077</v>
      </c>
      <c r="AO93" s="99"/>
      <c r="AP93" s="111">
        <f>SUM(AP79:AP92)</f>
        <v>1</v>
      </c>
      <c r="AQ93" s="100"/>
    </row>
    <row r="94" spans="5:43">
      <c r="R94" s="48"/>
      <c r="S94" s="139"/>
    </row>
    <row r="95" spans="5:43">
      <c r="R95" s="48"/>
      <c r="S95" s="139"/>
    </row>
    <row r="96" spans="5:43">
      <c r="R96" s="48"/>
      <c r="S96" s="139"/>
      <c r="AB96" s="68"/>
    </row>
    <row r="97" spans="4:28">
      <c r="R97" s="48"/>
      <c r="S97" s="139"/>
      <c r="W97" s="84"/>
      <c r="AB97" s="61"/>
    </row>
    <row r="98" spans="4:28">
      <c r="R98" s="48"/>
      <c r="S98" s="139"/>
    </row>
    <row r="99" spans="4:28">
      <c r="R99" s="48"/>
      <c r="S99" s="139"/>
    </row>
    <row r="100" spans="4:28">
      <c r="R100" s="48"/>
      <c r="S100" s="139"/>
    </row>
    <row r="101" spans="4:28">
      <c r="R101" s="48"/>
      <c r="S101" s="139"/>
    </row>
    <row r="102" spans="4:28">
      <c r="R102" s="48"/>
      <c r="S102" s="139"/>
    </row>
    <row r="103" spans="4:28">
      <c r="R103" s="48"/>
      <c r="S103" s="139"/>
    </row>
    <row r="104" spans="4:28">
      <c r="D104" s="50"/>
      <c r="R104" s="48"/>
      <c r="S104" s="139"/>
    </row>
    <row r="105" spans="4:28">
      <c r="D105" s="50"/>
      <c r="R105" s="48"/>
      <c r="S105" s="139"/>
    </row>
    <row r="106" spans="4:28">
      <c r="D106" s="50"/>
      <c r="R106" s="48"/>
      <c r="S106" s="139"/>
    </row>
    <row r="107" spans="4:28">
      <c r="D107" s="50"/>
      <c r="R107" s="48"/>
      <c r="S107" s="139"/>
    </row>
    <row r="108" spans="4:28">
      <c r="D108" s="50"/>
      <c r="R108" s="48"/>
      <c r="S108" s="139"/>
    </row>
    <row r="109" spans="4:28">
      <c r="D109" s="50"/>
      <c r="R109" s="48"/>
      <c r="S109" s="139"/>
    </row>
    <row r="110" spans="4:28">
      <c r="D110" s="50"/>
      <c r="R110" s="48"/>
      <c r="S110" s="139"/>
    </row>
    <row r="111" spans="4:28">
      <c r="D111" s="50"/>
      <c r="R111" s="48"/>
      <c r="S111" s="139"/>
    </row>
    <row r="112" spans="4:28">
      <c r="D112" s="50"/>
      <c r="R112" s="48"/>
      <c r="S112" s="139"/>
    </row>
    <row r="113" spans="4:19">
      <c r="D113" s="50"/>
      <c r="R113" s="48"/>
      <c r="S113" s="139"/>
    </row>
    <row r="114" spans="4:19">
      <c r="D114" s="50"/>
      <c r="R114" s="48"/>
      <c r="S114" s="139"/>
    </row>
    <row r="115" spans="4:19">
      <c r="D115" s="50"/>
      <c r="R115" s="48"/>
      <c r="S115" s="139"/>
    </row>
    <row r="116" spans="4:19">
      <c r="D116" s="50"/>
      <c r="R116" s="48"/>
      <c r="S116" s="139"/>
    </row>
    <row r="117" spans="4:19">
      <c r="D117" s="50"/>
      <c r="R117" s="48"/>
      <c r="S117" s="139"/>
    </row>
    <row r="118" spans="4:19">
      <c r="D118" s="50"/>
      <c r="R118" s="48"/>
      <c r="S118" s="139"/>
    </row>
    <row r="119" spans="4:19">
      <c r="D119" s="50"/>
      <c r="R119" s="48"/>
      <c r="S119" s="139"/>
    </row>
    <row r="120" spans="4:19">
      <c r="D120" s="50"/>
      <c r="R120" s="48"/>
      <c r="S120" s="139"/>
    </row>
    <row r="121" spans="4:19">
      <c r="D121" s="50"/>
      <c r="R121" s="48"/>
      <c r="S121" s="139"/>
    </row>
    <row r="122" spans="4:19">
      <c r="D122" s="50"/>
      <c r="R122" s="48"/>
      <c r="S122" s="139"/>
    </row>
    <row r="123" spans="4:19">
      <c r="D123" s="50"/>
      <c r="R123" s="48"/>
      <c r="S123" s="139"/>
    </row>
    <row r="124" spans="4:19">
      <c r="D124" s="50"/>
      <c r="R124" s="48"/>
      <c r="S124" s="139"/>
    </row>
    <row r="125" spans="4:19">
      <c r="D125" s="50"/>
      <c r="R125" s="48"/>
      <c r="S125" s="139"/>
    </row>
    <row r="126" spans="4:19">
      <c r="D126" s="50"/>
      <c r="R126" s="48"/>
      <c r="S126" s="139"/>
    </row>
    <row r="127" spans="4:19">
      <c r="D127" s="50"/>
      <c r="R127" s="48"/>
      <c r="S127" s="139"/>
    </row>
    <row r="128" spans="4:19">
      <c r="D128" s="50"/>
      <c r="R128" s="48"/>
      <c r="S128" s="139"/>
    </row>
    <row r="129" spans="4:19">
      <c r="D129" s="50"/>
      <c r="R129" s="48"/>
      <c r="S129" s="139"/>
    </row>
    <row r="130" spans="4:19">
      <c r="D130" s="50"/>
      <c r="R130" s="48"/>
      <c r="S130" s="139"/>
    </row>
    <row r="131" spans="4:19">
      <c r="D131" s="50"/>
      <c r="R131" s="48"/>
      <c r="S131" s="139"/>
    </row>
    <row r="132" spans="4:19">
      <c r="D132" s="50"/>
      <c r="R132" s="48"/>
      <c r="S132" s="139"/>
    </row>
    <row r="133" spans="4:19">
      <c r="D133" s="50"/>
      <c r="R133" s="48"/>
      <c r="S133" s="139"/>
    </row>
    <row r="134" spans="4:19">
      <c r="D134" s="50"/>
      <c r="R134" s="48"/>
      <c r="S134" s="139"/>
    </row>
    <row r="135" spans="4:19">
      <c r="D135" s="50"/>
      <c r="R135" s="48"/>
      <c r="S135" s="139"/>
    </row>
    <row r="136" spans="4:19">
      <c r="D136" s="50"/>
      <c r="R136" s="48"/>
      <c r="S136" s="139"/>
    </row>
  </sheetData>
  <sheetProtection formatCells="0" formatColumns="0" formatRows="0" insertColumns="0" insertRows="0" insertHyperlinks="0" deleteColumns="0" deleteRows="0" sort="0" autoFilter="0" pivotTables="0"/>
  <mergeCells count="4">
    <mergeCell ref="E5:O5"/>
    <mergeCell ref="O6:P6"/>
    <mergeCell ref="AB28:AE28"/>
    <mergeCell ref="AN28:AQ28"/>
  </mergeCells>
  <pageMargins left="0.7" right="0.7" top="0.75" bottom="0.75" header="0.3" footer="0.3"/>
  <pageSetup scale="41" fitToWidth="0" orientation="portrait" r:id="rId1"/>
  <headerFooter>
    <oddFooter>&amp;C&amp;1#&amp;"Calibri"&amp;10 Restricted - External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N69"/>
  <sheetViews>
    <sheetView workbookViewId="0"/>
  </sheetViews>
  <sheetFormatPr defaultColWidth="9.140625" defaultRowHeight="15"/>
  <cols>
    <col min="1" max="1" width="9.140625" style="104"/>
    <col min="2" max="2" width="27.85546875" style="104" customWidth="1"/>
    <col min="3" max="3" width="11.5703125" style="104" customWidth="1"/>
    <col min="4" max="4" width="18.5703125" style="104" customWidth="1"/>
    <col min="5" max="5" width="18" style="104" customWidth="1"/>
    <col min="6" max="6" width="17.42578125" style="104" customWidth="1"/>
    <col min="7" max="7" width="15.28515625" style="104" bestFit="1" customWidth="1"/>
    <col min="8" max="8" width="14.28515625" style="104" customWidth="1"/>
    <col min="9" max="9" width="5.140625" style="104" customWidth="1"/>
    <col min="10" max="10" width="13.42578125" style="104" customWidth="1"/>
    <col min="11" max="12" width="11.5703125" style="104" customWidth="1"/>
    <col min="13" max="13" width="12.85546875" style="104" customWidth="1"/>
    <col min="14" max="15" width="11.5703125" style="104" customWidth="1"/>
    <col min="16" max="18" width="9.85546875" style="104" customWidth="1"/>
    <col min="19" max="16384" width="9.140625" style="104"/>
  </cols>
  <sheetData>
    <row r="1" spans="2:14">
      <c r="B1" s="272"/>
      <c r="C1" s="273"/>
      <c r="D1" s="273"/>
      <c r="E1" s="273"/>
      <c r="F1" s="273"/>
      <c r="G1" s="273"/>
      <c r="H1" s="273"/>
      <c r="I1" s="273"/>
      <c r="J1" s="273"/>
      <c r="K1" s="273"/>
      <c r="L1" s="273"/>
      <c r="M1" s="273"/>
      <c r="N1" s="273"/>
    </row>
    <row r="2" spans="2:14" ht="18.75">
      <c r="B2" s="164" t="s">
        <v>187</v>
      </c>
      <c r="C2" s="273"/>
      <c r="D2" s="273"/>
      <c r="E2" s="273"/>
      <c r="F2" s="273"/>
      <c r="G2" s="273"/>
      <c r="H2" s="273"/>
      <c r="I2" s="273"/>
      <c r="J2" s="273"/>
      <c r="K2" s="273"/>
      <c r="L2" s="273"/>
      <c r="M2" s="273"/>
      <c r="N2" s="273"/>
    </row>
    <row r="3" spans="2:14">
      <c r="B3" s="272"/>
      <c r="C3" s="273"/>
      <c r="D3" s="273"/>
      <c r="E3" s="273"/>
      <c r="F3" s="273"/>
      <c r="G3" s="273"/>
      <c r="H3" s="273"/>
      <c r="I3" s="273"/>
      <c r="J3" s="273"/>
      <c r="K3" s="273"/>
      <c r="L3" s="273"/>
      <c r="M3" s="273"/>
      <c r="N3" s="273"/>
    </row>
    <row r="4" spans="2:14">
      <c r="B4" s="274" t="s">
        <v>188</v>
      </c>
      <c r="C4" s="273"/>
      <c r="D4" s="273"/>
      <c r="E4" s="273"/>
      <c r="F4" s="273"/>
      <c r="G4" s="273"/>
      <c r="H4" s="273"/>
      <c r="I4" s="273"/>
      <c r="J4" s="273"/>
      <c r="K4" s="273"/>
      <c r="L4" s="273"/>
      <c r="M4" s="273"/>
      <c r="N4" s="273"/>
    </row>
    <row r="5" spans="2:14" ht="15.75" thickBot="1">
      <c r="B5" s="276" t="s">
        <v>189</v>
      </c>
      <c r="C5" s="277"/>
      <c r="D5" s="277"/>
      <c r="E5" s="277"/>
      <c r="F5" s="277"/>
      <c r="G5" s="277"/>
      <c r="H5" s="273"/>
      <c r="I5" s="273"/>
      <c r="J5" s="273"/>
      <c r="K5" s="273"/>
      <c r="L5" s="273"/>
      <c r="M5" s="273"/>
      <c r="N5" s="273"/>
    </row>
    <row r="6" spans="2:14">
      <c r="B6" s="213"/>
    </row>
    <row r="7" spans="2:14">
      <c r="B7" s="253" t="s">
        <v>190</v>
      </c>
      <c r="C7" s="254"/>
      <c r="D7" s="254"/>
      <c r="E7" s="255"/>
      <c r="F7" s="255"/>
      <c r="G7" s="256"/>
    </row>
    <row r="8" spans="2:14">
      <c r="B8" s="250"/>
      <c r="C8" s="251"/>
      <c r="D8" s="251"/>
      <c r="E8" s="252"/>
      <c r="F8" s="234" t="s">
        <v>4</v>
      </c>
      <c r="G8" s="367" t="s">
        <v>5</v>
      </c>
    </row>
    <row r="9" spans="2:14">
      <c r="B9" s="107" t="s">
        <v>191</v>
      </c>
      <c r="C9" s="108"/>
      <c r="D9" s="108"/>
      <c r="E9" s="235"/>
      <c r="F9" s="246">
        <v>0</v>
      </c>
      <c r="G9" s="368">
        <v>0</v>
      </c>
    </row>
    <row r="10" spans="2:14">
      <c r="B10" s="116" t="s">
        <v>192</v>
      </c>
      <c r="C10" s="260"/>
      <c r="D10" s="260"/>
      <c r="E10" s="236"/>
      <c r="F10" s="245">
        <f>'WES Charge True-up Calculation'!E14</f>
        <v>56353.375</v>
      </c>
      <c r="G10" s="369">
        <f>'WES Charge True-up Calculation'!F14</f>
        <v>56353.375</v>
      </c>
    </row>
    <row r="11" spans="2:14">
      <c r="B11" s="107" t="s">
        <v>193</v>
      </c>
      <c r="C11" s="108"/>
      <c r="D11" s="108"/>
      <c r="E11" s="235"/>
      <c r="F11" s="245">
        <f>'WES Charge True-up Calculation'!E16</f>
        <v>37500</v>
      </c>
      <c r="G11" s="369">
        <f>'WES Charge True-up Calculation'!F16</f>
        <v>37500</v>
      </c>
    </row>
    <row r="12" spans="2:14">
      <c r="B12" s="107" t="s">
        <v>194</v>
      </c>
      <c r="C12" s="108"/>
      <c r="D12" s="108"/>
      <c r="E12" s="121"/>
      <c r="F12" s="245">
        <f>'WES Charge True-up Calculation'!E15-F22</f>
        <v>37500</v>
      </c>
      <c r="G12" s="369">
        <f>'WES Charge True-up Calculation'!F15-G22</f>
        <v>37500</v>
      </c>
    </row>
    <row r="13" spans="2:14">
      <c r="B13" s="107" t="s">
        <v>195</v>
      </c>
      <c r="C13" s="108"/>
      <c r="D13" s="108"/>
      <c r="E13" s="121"/>
      <c r="F13" s="245">
        <f>'WES Charge True-up Calculation'!E17</f>
        <v>3750</v>
      </c>
      <c r="G13" s="369">
        <f>'WES Charge True-up Calculation'!F17</f>
        <v>3750</v>
      </c>
    </row>
    <row r="14" spans="2:14">
      <c r="B14" s="107" t="s">
        <v>196</v>
      </c>
      <c r="C14" s="108"/>
      <c r="D14" s="108"/>
      <c r="E14" s="121"/>
      <c r="F14" s="245">
        <f>'WES Charge True-up Calculation'!E19</f>
        <v>15000</v>
      </c>
      <c r="G14" s="369">
        <f>'WES Charge True-up Calculation'!F19</f>
        <v>15000</v>
      </c>
    </row>
    <row r="15" spans="2:14">
      <c r="B15" s="107" t="s">
        <v>197</v>
      </c>
      <c r="C15" s="108"/>
      <c r="D15" s="108"/>
      <c r="E15" s="121"/>
      <c r="F15" s="245">
        <f>'WES Charge True-up Calculation'!E20</f>
        <v>2000</v>
      </c>
      <c r="G15" s="369">
        <f>'WES Charge True-up Calculation'!F20</f>
        <v>2000</v>
      </c>
    </row>
    <row r="16" spans="2:14">
      <c r="B16" s="107" t="s">
        <v>35</v>
      </c>
      <c r="C16" s="108"/>
      <c r="D16" s="108"/>
      <c r="E16" s="121"/>
      <c r="F16" s="246">
        <f>'WES Charge True-up Calculation'!E18</f>
        <v>2500</v>
      </c>
      <c r="G16" s="368">
        <f>'WES Charge True-up Calculation'!F18</f>
        <v>2500</v>
      </c>
    </row>
    <row r="17" spans="2:9">
      <c r="B17" s="107" t="s">
        <v>198</v>
      </c>
      <c r="C17" s="108"/>
      <c r="D17" s="108"/>
      <c r="E17" s="121"/>
      <c r="F17" s="246">
        <f>'WES Charge True-up Calculation'!E21</f>
        <v>30396.625</v>
      </c>
      <c r="G17" s="368">
        <f>'WES Charge True-up Calculation'!F21</f>
        <v>30396.625</v>
      </c>
    </row>
    <row r="18" spans="2:9" ht="15.75" thickBot="1">
      <c r="B18" s="261" t="s">
        <v>199</v>
      </c>
      <c r="C18" s="262"/>
      <c r="D18" s="262"/>
      <c r="E18" s="239"/>
      <c r="F18" s="259">
        <v>0</v>
      </c>
      <c r="G18" s="370">
        <v>0</v>
      </c>
    </row>
    <row r="19" spans="2:9">
      <c r="B19" s="238" t="s">
        <v>200</v>
      </c>
      <c r="C19" s="263"/>
      <c r="D19" s="263"/>
      <c r="E19" s="114"/>
      <c r="F19" s="123">
        <f>SUM(F9:F18)</f>
        <v>185000</v>
      </c>
      <c r="G19" s="365">
        <f>SUM(G9:G18)</f>
        <v>185000</v>
      </c>
    </row>
    <row r="20" spans="2:9">
      <c r="B20" s="107"/>
      <c r="C20" s="108"/>
      <c r="D20" s="108"/>
      <c r="E20" s="121"/>
      <c r="F20" s="237"/>
      <c r="G20" s="361"/>
    </row>
    <row r="21" spans="2:9">
      <c r="B21" s="107" t="s">
        <v>201</v>
      </c>
      <c r="C21" s="108"/>
      <c r="D21" s="108"/>
      <c r="E21" s="121"/>
      <c r="F21" s="237">
        <f>'WES Charge True-up Calculation'!E13</f>
        <v>190413.5</v>
      </c>
      <c r="G21" s="361">
        <f>'WES Charge True-up Calculation'!F13</f>
        <v>190413.5</v>
      </c>
    </row>
    <row r="22" spans="2:9" ht="15.75" thickBot="1">
      <c r="B22" s="261" t="s">
        <v>202</v>
      </c>
      <c r="C22" s="262"/>
      <c r="D22" s="262"/>
      <c r="E22" s="239"/>
      <c r="F22" s="323">
        <v>15000</v>
      </c>
      <c r="G22" s="371">
        <v>15000</v>
      </c>
    </row>
    <row r="23" spans="2:9">
      <c r="B23" s="238" t="s">
        <v>203</v>
      </c>
      <c r="C23" s="263"/>
      <c r="D23" s="263"/>
      <c r="E23" s="114"/>
      <c r="F23" s="123">
        <f>SUM(F21:F22)</f>
        <v>205413.5</v>
      </c>
      <c r="G23" s="365">
        <f>SUM(G21:G22)</f>
        <v>205413.5</v>
      </c>
    </row>
    <row r="24" spans="2:9">
      <c r="B24" s="238" t="s">
        <v>204</v>
      </c>
      <c r="C24" s="263"/>
      <c r="D24" s="263"/>
      <c r="E24" s="114"/>
      <c r="F24" s="324" t="s">
        <v>205</v>
      </c>
      <c r="G24" s="372"/>
    </row>
    <row r="25" spans="2:9">
      <c r="B25" s="107"/>
      <c r="C25" s="108"/>
      <c r="D25" s="108"/>
      <c r="E25" s="121"/>
      <c r="F25" s="237"/>
      <c r="G25" s="361"/>
    </row>
    <row r="26" spans="2:9">
      <c r="B26" s="107" t="s">
        <v>206</v>
      </c>
      <c r="C26" s="108"/>
      <c r="D26" s="108"/>
      <c r="E26" s="121"/>
      <c r="F26" s="237">
        <f>F19+F23</f>
        <v>390413.5</v>
      </c>
      <c r="G26" s="361">
        <f>G19+G23</f>
        <v>390413.5</v>
      </c>
    </row>
    <row r="27" spans="2:9">
      <c r="B27" s="107"/>
      <c r="C27" s="108"/>
      <c r="D27" s="108"/>
      <c r="E27" s="121"/>
      <c r="F27" s="237"/>
      <c r="G27" s="361"/>
    </row>
    <row r="28" spans="2:9">
      <c r="B28" s="107"/>
      <c r="C28" s="108"/>
      <c r="D28" s="108"/>
      <c r="E28" s="121"/>
      <c r="F28" s="237"/>
      <c r="G28" s="361"/>
    </row>
    <row r="29" spans="2:9">
      <c r="G29" s="373"/>
    </row>
    <row r="30" spans="2:9">
      <c r="G30" s="373"/>
    </row>
    <row r="31" spans="2:9">
      <c r="B31" s="240" t="s">
        <v>207</v>
      </c>
      <c r="C31" s="241"/>
      <c r="D31" s="241"/>
      <c r="E31" s="241"/>
      <c r="F31" s="242"/>
      <c r="G31" s="374"/>
    </row>
    <row r="32" spans="2:9">
      <c r="B32" s="243"/>
      <c r="C32" s="244"/>
      <c r="D32" s="244"/>
      <c r="E32" s="244"/>
      <c r="F32" s="234" t="s">
        <v>4</v>
      </c>
      <c r="G32" s="367" t="s">
        <v>5</v>
      </c>
      <c r="H32" s="104" t="s">
        <v>208</v>
      </c>
      <c r="I32" s="104" t="s">
        <v>209</v>
      </c>
    </row>
    <row r="33" spans="2:9">
      <c r="B33" s="116" t="s">
        <v>210</v>
      </c>
      <c r="C33" s="260"/>
      <c r="D33" s="260"/>
      <c r="E33" s="264"/>
      <c r="F33" s="360">
        <f>'WES Charge True-up Calculation'!H33</f>
        <v>9150016153.7151184</v>
      </c>
      <c r="G33" s="361">
        <f>'WES Charge True-up Calculation'!H34</f>
        <v>10300335084.661848</v>
      </c>
      <c r="H33" s="408"/>
      <c r="I33" s="408">
        <f>('WES Charge True-up Calculation'!H33+'WES Charge True-up Calculation'!H34)-('True Up Letter Tables'!F33+'True Up Letter Tables'!G33)</f>
        <v>0</v>
      </c>
    </row>
    <row r="34" spans="2:9">
      <c r="B34" s="107" t="s">
        <v>211</v>
      </c>
      <c r="C34" s="108"/>
      <c r="D34" s="108"/>
      <c r="E34" s="265"/>
      <c r="F34" s="362">
        <f>Inputs!E11</f>
        <v>1.2899999999999999E-3</v>
      </c>
      <c r="G34" s="362">
        <f>Inputs!E11</f>
        <v>1.2899999999999999E-3</v>
      </c>
    </row>
    <row r="35" spans="2:9">
      <c r="B35" s="107" t="s">
        <v>13</v>
      </c>
      <c r="C35" s="108"/>
      <c r="D35" s="108"/>
      <c r="E35" s="265"/>
      <c r="F35" s="363">
        <f>Inputs!E15</f>
        <v>18.7</v>
      </c>
      <c r="G35" s="363">
        <f>F35</f>
        <v>18.7</v>
      </c>
    </row>
    <row r="36" spans="2:9">
      <c r="B36" s="116" t="s">
        <v>212</v>
      </c>
      <c r="C36" s="260"/>
      <c r="D36" s="260"/>
      <c r="E36" s="264"/>
      <c r="F36" s="364"/>
      <c r="G36" s="364"/>
    </row>
    <row r="37" spans="2:9">
      <c r="B37" s="266" t="s">
        <v>213</v>
      </c>
      <c r="C37" s="263"/>
      <c r="D37" s="263"/>
      <c r="E37" s="267"/>
      <c r="F37" s="365">
        <f>SUM('Aug. 1, 2024 Payment Date'!H60:H65)+SUM('Aug. 1, 2024 Payment Date'!H71:H74)</f>
        <v>27816595.350000005</v>
      </c>
      <c r="G37" s="365">
        <f>F37</f>
        <v>27816595.350000005</v>
      </c>
      <c r="H37" s="119">
        <f>'Servicer Certficate'!C59-'Servicer Certficate'!C53</f>
        <v>27816595.349999998</v>
      </c>
      <c r="I37" s="407">
        <f>H37-F37</f>
        <v>0</v>
      </c>
    </row>
    <row r="38" spans="2:9">
      <c r="B38" s="116" t="s">
        <v>214</v>
      </c>
      <c r="C38" s="260"/>
      <c r="D38" s="260"/>
      <c r="E38" s="264"/>
      <c r="F38" s="364"/>
      <c r="G38" s="364"/>
    </row>
    <row r="39" spans="2:9">
      <c r="B39" s="266" t="s">
        <v>215</v>
      </c>
      <c r="C39" s="263"/>
      <c r="D39" s="263"/>
      <c r="E39" s="267"/>
      <c r="F39" s="365">
        <f>'Aug. 1, 2024 Payment Date'!H66+'Waterfall - ALT'!H8+'Waterfall - ALT'!H9</f>
        <v>9532621.5970636308</v>
      </c>
      <c r="G39" s="365">
        <f>F39</f>
        <v>9532621.5970636308</v>
      </c>
    </row>
    <row r="40" spans="2:9">
      <c r="B40" s="106"/>
      <c r="F40" s="366"/>
      <c r="G40" s="366"/>
    </row>
    <row r="41" spans="2:9">
      <c r="B41" s="107" t="s">
        <v>216</v>
      </c>
      <c r="C41" s="108"/>
      <c r="D41" s="108"/>
      <c r="E41" s="108"/>
      <c r="F41" s="361">
        <f>'WES Charge True-up Calculation'!E6</f>
        <v>7688534</v>
      </c>
      <c r="G41" s="361">
        <f>'WES Charge True-up Calculation'!F6</f>
        <v>7853261</v>
      </c>
    </row>
    <row r="42" spans="2:9">
      <c r="B42" s="107" t="s">
        <v>217</v>
      </c>
      <c r="C42" s="108"/>
      <c r="D42" s="108"/>
      <c r="E42" s="108"/>
      <c r="F42" s="361">
        <f>'WES Charge True-up Calculation'!E7</f>
        <v>17768912.827874999</v>
      </c>
      <c r="G42" s="361">
        <f>'WES Charge True-up Calculation'!F7</f>
        <v>17604185.986924998</v>
      </c>
    </row>
    <row r="43" spans="2:9">
      <c r="B43" s="116" t="s">
        <v>218</v>
      </c>
      <c r="C43" s="260"/>
      <c r="D43" s="260"/>
      <c r="E43" s="260"/>
      <c r="F43" s="364"/>
      <c r="G43" s="364"/>
    </row>
    <row r="44" spans="2:9">
      <c r="B44" s="266" t="s">
        <v>219</v>
      </c>
      <c r="C44" s="263"/>
      <c r="D44" s="263"/>
      <c r="E44" s="263"/>
      <c r="F44" s="365">
        <f>F19+F23</f>
        <v>390413.5</v>
      </c>
      <c r="G44" s="365">
        <f>G19+G23</f>
        <v>390413.5</v>
      </c>
    </row>
    <row r="45" spans="2:9">
      <c r="B45" s="107" t="s">
        <v>220</v>
      </c>
      <c r="C45" s="108"/>
      <c r="D45" s="108"/>
      <c r="E45" s="108"/>
      <c r="F45" s="361">
        <f>F41+F42+F44</f>
        <v>25847860.327874999</v>
      </c>
      <c r="G45" s="361">
        <f>G41+G42+G44</f>
        <v>25847860.486924998</v>
      </c>
      <c r="H45" s="408">
        <f>'WES Charge True-up Calculation'!E9</f>
        <v>25847860.327874999</v>
      </c>
      <c r="I45" s="408">
        <f>H45-F45</f>
        <v>0</v>
      </c>
    </row>
    <row r="46" spans="2:9">
      <c r="B46" s="107" t="s">
        <v>221</v>
      </c>
      <c r="C46" s="108"/>
      <c r="D46" s="108"/>
      <c r="E46" s="108"/>
      <c r="F46" s="361"/>
      <c r="G46" s="361"/>
    </row>
    <row r="49" spans="2:13">
      <c r="B49" s="274" t="s">
        <v>222</v>
      </c>
      <c r="M49" s="275"/>
    </row>
    <row r="50" spans="2:13" ht="15.75" thickBot="1">
      <c r="B50" s="276" t="s">
        <v>223</v>
      </c>
      <c r="C50" s="278"/>
      <c r="D50" s="278"/>
      <c r="E50" s="278"/>
      <c r="F50" s="278"/>
      <c r="G50" s="278"/>
      <c r="M50" s="213"/>
    </row>
    <row r="51" spans="2:13">
      <c r="B51" s="274" t="s">
        <v>224</v>
      </c>
      <c r="M51" s="213"/>
    </row>
    <row r="55" spans="2:13">
      <c r="B55" s="274" t="s">
        <v>225</v>
      </c>
      <c r="M55" s="275"/>
    </row>
    <row r="56" spans="2:13" ht="15.75" thickBot="1">
      <c r="B56" s="276" t="s">
        <v>226</v>
      </c>
      <c r="C56" s="278"/>
      <c r="D56" s="278"/>
      <c r="E56" s="278"/>
      <c r="F56" s="278"/>
      <c r="G56" s="278"/>
      <c r="M56" s="213"/>
    </row>
    <row r="59" spans="2:13">
      <c r="B59" s="247" t="s">
        <v>227</v>
      </c>
      <c r="C59" s="248"/>
      <c r="D59" s="249" t="s">
        <v>129</v>
      </c>
    </row>
    <row r="60" spans="2:13">
      <c r="B60" s="268">
        <v>1</v>
      </c>
      <c r="C60" s="269"/>
      <c r="D60" s="338">
        <f>'WES Charge True-up Calculation'!C46</f>
        <v>223.07999999999998</v>
      </c>
    </row>
    <row r="61" spans="2:13">
      <c r="B61" s="270">
        <v>2</v>
      </c>
      <c r="C61" s="271"/>
      <c r="D61" s="339">
        <f>'WES Charge True-up Calculation'!D46</f>
        <v>223.60999999999999</v>
      </c>
    </row>
    <row r="62" spans="2:13">
      <c r="B62" s="270">
        <v>3</v>
      </c>
      <c r="C62" s="271"/>
      <c r="D62" s="357">
        <f>'WES Charge True-up Calculation'!E46</f>
        <v>9.4873000000000006E-4</v>
      </c>
    </row>
    <row r="63" spans="2:13">
      <c r="B63" s="270">
        <v>4</v>
      </c>
      <c r="C63" s="271"/>
      <c r="D63" s="357">
        <f>'WES Charge True-up Calculation'!F46</f>
        <v>1.18526E-3</v>
      </c>
    </row>
    <row r="64" spans="2:13">
      <c r="B64" s="270">
        <v>5</v>
      </c>
      <c r="C64" s="271"/>
      <c r="D64" s="357">
        <f>'WES Charge True-up Calculation'!G46</f>
        <v>2.3982600000000001E-3</v>
      </c>
    </row>
    <row r="67" spans="2:2">
      <c r="B67" s="279" t="s">
        <v>228</v>
      </c>
    </row>
    <row r="68" spans="2:2">
      <c r="B68" s="279" t="s">
        <v>229</v>
      </c>
    </row>
    <row r="69" spans="2:2">
      <c r="B69" s="279" t="s">
        <v>230</v>
      </c>
    </row>
  </sheetData>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D251"/>
  <sheetViews>
    <sheetView topLeftCell="H1" workbookViewId="0">
      <selection activeCell="U19" sqref="U19"/>
    </sheetView>
  </sheetViews>
  <sheetFormatPr defaultColWidth="9.140625" defaultRowHeight="15"/>
  <cols>
    <col min="1" max="1" width="4.140625" style="104" customWidth="1"/>
    <col min="2" max="5" width="15.42578125" style="104" customWidth="1"/>
    <col min="6" max="7" width="15.85546875" style="104" customWidth="1"/>
    <col min="8" max="12" width="15.42578125" style="104" customWidth="1"/>
    <col min="13" max="13" width="4.140625" style="104" customWidth="1"/>
    <col min="14" max="18" width="15.42578125" style="104" customWidth="1"/>
    <col min="19" max="19" width="9.140625" style="104"/>
    <col min="20" max="20" width="17.42578125" style="104" bestFit="1" customWidth="1"/>
    <col min="21" max="24" width="18.42578125" style="104" customWidth="1"/>
    <col min="25" max="16384" width="9.140625" style="104"/>
  </cols>
  <sheetData>
    <row r="1" spans="2:24">
      <c r="J1" s="69"/>
    </row>
    <row r="2" spans="2:24" ht="18.75">
      <c r="B2" s="164" t="s">
        <v>231</v>
      </c>
      <c r="J2" s="70"/>
    </row>
    <row r="3" spans="2:24">
      <c r="J3" s="70"/>
    </row>
    <row r="4" spans="2:24">
      <c r="B4" s="165"/>
      <c r="C4" s="165" t="s">
        <v>232</v>
      </c>
      <c r="D4" s="165" t="s">
        <v>168</v>
      </c>
      <c r="E4" s="165" t="s">
        <v>233</v>
      </c>
      <c r="F4" s="165"/>
      <c r="G4" s="165"/>
      <c r="J4" s="70"/>
    </row>
    <row r="5" spans="2:24">
      <c r="B5" s="165"/>
      <c r="C5" s="165" t="s">
        <v>234</v>
      </c>
      <c r="D5" s="165" t="s">
        <v>235</v>
      </c>
      <c r="E5" s="165" t="s">
        <v>236</v>
      </c>
      <c r="F5" s="165" t="s">
        <v>237</v>
      </c>
      <c r="G5" s="165" t="s">
        <v>238</v>
      </c>
      <c r="J5" s="70"/>
    </row>
    <row r="6" spans="2:24">
      <c r="B6" s="166" t="s">
        <v>239</v>
      </c>
      <c r="C6" s="166" t="s">
        <v>240</v>
      </c>
      <c r="D6" s="166" t="s">
        <v>241</v>
      </c>
      <c r="E6" s="166" t="s">
        <v>242</v>
      </c>
      <c r="F6" s="166" t="s">
        <v>242</v>
      </c>
      <c r="G6" s="166" t="s">
        <v>243</v>
      </c>
      <c r="J6" s="70"/>
    </row>
    <row r="7" spans="2:24">
      <c r="B7" s="165" t="s">
        <v>244</v>
      </c>
      <c r="C7" s="167">
        <v>5.3607583033997166</v>
      </c>
      <c r="D7" s="168">
        <v>161654000</v>
      </c>
      <c r="E7" s="169">
        <v>48245</v>
      </c>
      <c r="F7" s="169">
        <v>48976</v>
      </c>
      <c r="G7" s="170">
        <v>4.2849999999999999E-2</v>
      </c>
      <c r="H7" s="161"/>
      <c r="J7" s="70"/>
    </row>
    <row r="8" spans="2:24">
      <c r="B8" s="165" t="s">
        <v>245</v>
      </c>
      <c r="C8" s="167">
        <v>15.692794552222221</v>
      </c>
      <c r="D8" s="168">
        <v>300000000</v>
      </c>
      <c r="E8" s="169">
        <v>52263</v>
      </c>
      <c r="F8" s="169">
        <v>52994</v>
      </c>
      <c r="G8" s="171">
        <v>4.8509999999999998E-2</v>
      </c>
      <c r="J8" s="70"/>
    </row>
    <row r="9" spans="2:24">
      <c r="B9" s="166" t="s">
        <v>246</v>
      </c>
      <c r="C9" s="172">
        <v>24.441061757222222</v>
      </c>
      <c r="D9" s="173">
        <v>300000000</v>
      </c>
      <c r="E9" s="174">
        <v>54820</v>
      </c>
      <c r="F9" s="174">
        <v>55550</v>
      </c>
      <c r="G9" s="175">
        <v>5.0869999999999999E-2</v>
      </c>
      <c r="J9" s="70"/>
    </row>
    <row r="10" spans="2:24">
      <c r="B10" s="30"/>
      <c r="D10" s="176">
        <f>SUM(D7:D9)</f>
        <v>761654000</v>
      </c>
      <c r="J10" s="70"/>
    </row>
    <row r="11" spans="2:24">
      <c r="B11" s="30"/>
      <c r="J11" s="70"/>
    </row>
    <row r="12" spans="2:24">
      <c r="B12" s="177"/>
    </row>
    <row r="13" spans="2:24">
      <c r="B13" s="178" t="s">
        <v>50</v>
      </c>
      <c r="C13" s="178"/>
      <c r="D13" s="178"/>
      <c r="E13" s="178"/>
      <c r="F13" s="178"/>
      <c r="H13" s="178" t="s">
        <v>51</v>
      </c>
      <c r="I13" s="178"/>
      <c r="J13" s="178"/>
      <c r="K13" s="178"/>
      <c r="L13" s="178"/>
      <c r="N13" s="178" t="s">
        <v>52</v>
      </c>
      <c r="O13" s="178"/>
      <c r="P13" s="178"/>
      <c r="Q13" s="178"/>
      <c r="R13" s="178"/>
      <c r="S13" s="178"/>
      <c r="T13" s="179" t="s">
        <v>247</v>
      </c>
      <c r="U13" s="179"/>
      <c r="V13" s="179"/>
      <c r="W13" s="179"/>
      <c r="X13" s="179"/>
    </row>
    <row r="14" spans="2:24">
      <c r="B14" s="180" t="s">
        <v>68</v>
      </c>
      <c r="C14" s="180" t="s">
        <v>248</v>
      </c>
      <c r="D14" s="180" t="s">
        <v>168</v>
      </c>
      <c r="E14" s="180" t="s">
        <v>238</v>
      </c>
      <c r="F14" s="180" t="s">
        <v>249</v>
      </c>
      <c r="H14" s="180" t="s">
        <v>68</v>
      </c>
      <c r="I14" s="180" t="s">
        <v>248</v>
      </c>
      <c r="J14" s="180" t="s">
        <v>168</v>
      </c>
      <c r="K14" s="180" t="s">
        <v>238</v>
      </c>
      <c r="L14" s="180" t="s">
        <v>249</v>
      </c>
      <c r="N14" s="180" t="s">
        <v>68</v>
      </c>
      <c r="O14" s="180" t="s">
        <v>248</v>
      </c>
      <c r="P14" s="180" t="s">
        <v>168</v>
      </c>
      <c r="Q14" s="180" t="s">
        <v>238</v>
      </c>
      <c r="R14" s="180" t="s">
        <v>249</v>
      </c>
      <c r="T14" s="180" t="s">
        <v>68</v>
      </c>
      <c r="U14" s="180" t="s">
        <v>248</v>
      </c>
      <c r="V14" s="180" t="s">
        <v>168</v>
      </c>
      <c r="W14" s="180" t="s">
        <v>238</v>
      </c>
      <c r="X14" s="180" t="s">
        <v>249</v>
      </c>
    </row>
    <row r="15" spans="2:24">
      <c r="B15" s="181">
        <v>44762</v>
      </c>
      <c r="C15" s="182">
        <f>D7</f>
        <v>161654000</v>
      </c>
      <c r="G15" s="183"/>
      <c r="H15" s="181">
        <f>B15</f>
        <v>44762</v>
      </c>
      <c r="I15" s="182">
        <f>D8</f>
        <v>300000000</v>
      </c>
      <c r="J15" s="182"/>
      <c r="K15" s="182"/>
      <c r="L15" s="182"/>
      <c r="M15" s="183"/>
      <c r="N15" s="181">
        <f>H15</f>
        <v>44762</v>
      </c>
      <c r="O15" s="182">
        <f>D9</f>
        <v>300000000</v>
      </c>
      <c r="P15" s="182"/>
      <c r="Q15" s="182"/>
      <c r="R15" s="182"/>
      <c r="T15" s="181">
        <f>N15</f>
        <v>44762</v>
      </c>
      <c r="U15" s="184">
        <f>C15+I15+O15</f>
        <v>761654000</v>
      </c>
      <c r="V15" s="184"/>
      <c r="W15" s="184"/>
      <c r="X15" s="184"/>
    </row>
    <row r="16" spans="2:24">
      <c r="B16" s="181">
        <v>44958</v>
      </c>
      <c r="C16" s="182">
        <f>C15-D16</f>
        <v>155689628</v>
      </c>
      <c r="D16" s="184">
        <v>5964372</v>
      </c>
      <c r="E16" s="182">
        <f>C15*$G$7/360*(DAYS360(B15,B16))</f>
        <v>3675091.4302777778</v>
      </c>
      <c r="F16" s="184">
        <f>SUM(D16:E16)</f>
        <v>9639463.4302777778</v>
      </c>
      <c r="G16" s="183"/>
      <c r="H16" s="181">
        <f t="shared" ref="H16:H79" si="0">B16</f>
        <v>44958</v>
      </c>
      <c r="I16" s="182">
        <f>I15-J16</f>
        <v>300000000</v>
      </c>
      <c r="J16" s="184">
        <v>0</v>
      </c>
      <c r="K16" s="182">
        <f>I15*$G$8/360*(DAYS360(H15,H16))</f>
        <v>7721175</v>
      </c>
      <c r="L16" s="184">
        <f>SUM(J16:K16)</f>
        <v>7721175</v>
      </c>
      <c r="M16" s="183"/>
      <c r="N16" s="181">
        <f t="shared" ref="N16:N79" si="1">H16</f>
        <v>44958</v>
      </c>
      <c r="O16" s="182">
        <f>O15-P16</f>
        <v>300000000</v>
      </c>
      <c r="P16" s="184">
        <v>0</v>
      </c>
      <c r="Q16" s="182">
        <f>O15*$G$9/360*(DAYS360(N15,N16))</f>
        <v>8096808.333333333</v>
      </c>
      <c r="R16" s="184">
        <f>SUM(P16:Q16)</f>
        <v>8096808.333333333</v>
      </c>
      <c r="T16" s="181">
        <f t="shared" ref="T16:T79" si="2">N16</f>
        <v>44958</v>
      </c>
      <c r="U16" s="184">
        <f t="shared" ref="U16:W65" si="3">C16+I16+O16</f>
        <v>755689628</v>
      </c>
      <c r="V16" s="184">
        <f t="shared" si="3"/>
        <v>5964372</v>
      </c>
      <c r="W16" s="184">
        <f t="shared" si="3"/>
        <v>19493074.763611112</v>
      </c>
      <c r="X16" s="184">
        <f>SUM(V16:W16)</f>
        <v>25457446.763611112</v>
      </c>
    </row>
    <row r="17" spans="2:24">
      <c r="B17" s="181">
        <v>45139</v>
      </c>
      <c r="C17" s="182">
        <f t="shared" ref="C17:C80" si="4">C16-D17</f>
        <v>148474831</v>
      </c>
      <c r="D17" s="184">
        <v>7214797</v>
      </c>
      <c r="E17" s="182">
        <f>C16*$G$7/2</f>
        <v>3335650.2799</v>
      </c>
      <c r="F17" s="184">
        <f t="shared" ref="F17:F80" si="5">SUM(D17:E17)</f>
        <v>10550447.279899999</v>
      </c>
      <c r="G17" s="183"/>
      <c r="H17" s="181">
        <f t="shared" si="0"/>
        <v>45139</v>
      </c>
      <c r="I17" s="182">
        <f t="shared" ref="I17:I80" si="6">I16-J17</f>
        <v>300000000</v>
      </c>
      <c r="J17" s="184">
        <v>0</v>
      </c>
      <c r="K17" s="182">
        <f>I16*$G$8/2</f>
        <v>7276500</v>
      </c>
      <c r="L17" s="184">
        <f t="shared" ref="L17:L80" si="7">SUM(J17:K17)</f>
        <v>7276500</v>
      </c>
      <c r="M17" s="183"/>
      <c r="N17" s="181">
        <f t="shared" si="1"/>
        <v>45139</v>
      </c>
      <c r="O17" s="182">
        <f t="shared" ref="O17:O80" si="8">O16-P17</f>
        <v>300000000</v>
      </c>
      <c r="P17" s="184">
        <v>0</v>
      </c>
      <c r="Q17" s="182">
        <f>O16*$G$9/2</f>
        <v>7630500</v>
      </c>
      <c r="R17" s="184">
        <f t="shared" ref="R17:R80" si="9">SUM(P17:Q17)</f>
        <v>7630500</v>
      </c>
      <c r="T17" s="181">
        <f t="shared" si="2"/>
        <v>45139</v>
      </c>
      <c r="U17" s="184">
        <f t="shared" si="3"/>
        <v>748474831</v>
      </c>
      <c r="V17" s="184">
        <f t="shared" ref="V17:V80" si="10">D17+J17+P17</f>
        <v>7214797</v>
      </c>
      <c r="W17" s="184">
        <f t="shared" ref="W17:W80" si="11">E17+K17+Q17</f>
        <v>18242650.279899999</v>
      </c>
      <c r="X17" s="184">
        <f t="shared" ref="X17:X80" si="12">SUM(V17:W17)</f>
        <v>25457447.279899999</v>
      </c>
    </row>
    <row r="18" spans="2:24">
      <c r="B18" s="181">
        <v>45323</v>
      </c>
      <c r="C18" s="182">
        <f t="shared" si="4"/>
        <v>141105458</v>
      </c>
      <c r="D18" s="184">
        <v>7369373</v>
      </c>
      <c r="E18" s="182">
        <f>C17*$G$7/2</f>
        <v>3181073.2541749999</v>
      </c>
      <c r="F18" s="184">
        <f t="shared" si="5"/>
        <v>10550446.254175</v>
      </c>
      <c r="G18" s="183"/>
      <c r="H18" s="181">
        <f t="shared" si="0"/>
        <v>45323</v>
      </c>
      <c r="I18" s="182">
        <f t="shared" si="6"/>
        <v>300000000</v>
      </c>
      <c r="J18" s="184">
        <v>0</v>
      </c>
      <c r="K18" s="182">
        <f t="shared" ref="K18:K80" si="13">I17*$G$8/2</f>
        <v>7276500</v>
      </c>
      <c r="L18" s="184">
        <f t="shared" si="7"/>
        <v>7276500</v>
      </c>
      <c r="M18" s="183"/>
      <c r="N18" s="181">
        <f t="shared" si="1"/>
        <v>45323</v>
      </c>
      <c r="O18" s="182">
        <f t="shared" si="8"/>
        <v>300000000</v>
      </c>
      <c r="P18" s="184">
        <v>0</v>
      </c>
      <c r="Q18" s="182">
        <f t="shared" ref="Q18:Q80" si="14">O17*$G$9/2</f>
        <v>7630500</v>
      </c>
      <c r="R18" s="184">
        <f t="shared" si="9"/>
        <v>7630500</v>
      </c>
      <c r="T18" s="181">
        <f t="shared" si="2"/>
        <v>45323</v>
      </c>
      <c r="U18" s="184">
        <f t="shared" si="3"/>
        <v>741105458</v>
      </c>
      <c r="V18" s="184">
        <f t="shared" si="10"/>
        <v>7369373</v>
      </c>
      <c r="W18" s="184">
        <f t="shared" si="11"/>
        <v>18088073.254175</v>
      </c>
      <c r="X18" s="184">
        <f t="shared" si="12"/>
        <v>25457446.254175</v>
      </c>
    </row>
    <row r="19" spans="2:24">
      <c r="B19" s="181">
        <v>45505</v>
      </c>
      <c r="C19" s="182">
        <f t="shared" si="4"/>
        <v>133578195</v>
      </c>
      <c r="D19" s="184">
        <v>7527263</v>
      </c>
      <c r="E19" s="182">
        <f t="shared" ref="E19:E80" si="15">C18*$G$7/2</f>
        <v>3023184.4376499997</v>
      </c>
      <c r="F19" s="184">
        <f t="shared" si="5"/>
        <v>10550447.437649999</v>
      </c>
      <c r="G19" s="183"/>
      <c r="H19" s="181">
        <f t="shared" si="0"/>
        <v>45505</v>
      </c>
      <c r="I19" s="182">
        <f t="shared" si="6"/>
        <v>300000000</v>
      </c>
      <c r="J19" s="184">
        <v>0</v>
      </c>
      <c r="K19" s="182">
        <f t="shared" si="13"/>
        <v>7276500</v>
      </c>
      <c r="L19" s="184">
        <f t="shared" si="7"/>
        <v>7276500</v>
      </c>
      <c r="M19" s="183"/>
      <c r="N19" s="181">
        <f t="shared" si="1"/>
        <v>45505</v>
      </c>
      <c r="O19" s="182">
        <f t="shared" si="8"/>
        <v>300000000</v>
      </c>
      <c r="P19" s="184">
        <v>0</v>
      </c>
      <c r="Q19" s="182">
        <f t="shared" si="14"/>
        <v>7630500</v>
      </c>
      <c r="R19" s="184">
        <f t="shared" si="9"/>
        <v>7630500</v>
      </c>
      <c r="T19" s="181">
        <f t="shared" si="2"/>
        <v>45505</v>
      </c>
      <c r="U19" s="184">
        <f t="shared" si="3"/>
        <v>733578195</v>
      </c>
      <c r="V19" s="184">
        <f t="shared" si="10"/>
        <v>7527263</v>
      </c>
      <c r="W19" s="184">
        <f t="shared" si="11"/>
        <v>17930184.437649999</v>
      </c>
      <c r="X19" s="184">
        <f t="shared" si="12"/>
        <v>25457447.437649999</v>
      </c>
    </row>
    <row r="20" spans="2:24">
      <c r="B20" s="181">
        <v>45689</v>
      </c>
      <c r="C20" s="182">
        <f t="shared" si="4"/>
        <v>125889661</v>
      </c>
      <c r="D20" s="184">
        <v>7688534</v>
      </c>
      <c r="E20" s="182">
        <f t="shared" si="15"/>
        <v>2861912.827875</v>
      </c>
      <c r="F20" s="184">
        <f t="shared" si="5"/>
        <v>10550446.827874999</v>
      </c>
      <c r="G20" s="183"/>
      <c r="H20" s="181">
        <f t="shared" si="0"/>
        <v>45689</v>
      </c>
      <c r="I20" s="182">
        <f t="shared" si="6"/>
        <v>300000000</v>
      </c>
      <c r="J20" s="184">
        <v>0</v>
      </c>
      <c r="K20" s="182">
        <f t="shared" si="13"/>
        <v>7276500</v>
      </c>
      <c r="L20" s="184">
        <f t="shared" si="7"/>
        <v>7276500</v>
      </c>
      <c r="M20" s="183"/>
      <c r="N20" s="181">
        <f t="shared" si="1"/>
        <v>45689</v>
      </c>
      <c r="O20" s="182">
        <f t="shared" si="8"/>
        <v>300000000</v>
      </c>
      <c r="P20" s="184">
        <v>0</v>
      </c>
      <c r="Q20" s="182">
        <f t="shared" si="14"/>
        <v>7630500</v>
      </c>
      <c r="R20" s="184">
        <f t="shared" si="9"/>
        <v>7630500</v>
      </c>
      <c r="T20" s="181">
        <f t="shared" si="2"/>
        <v>45689</v>
      </c>
      <c r="U20" s="184">
        <f t="shared" si="3"/>
        <v>725889661</v>
      </c>
      <c r="V20" s="184">
        <f t="shared" si="10"/>
        <v>7688534</v>
      </c>
      <c r="W20" s="184">
        <f t="shared" si="11"/>
        <v>17768912.827874999</v>
      </c>
      <c r="X20" s="184">
        <f t="shared" si="12"/>
        <v>25457446.827874999</v>
      </c>
    </row>
    <row r="21" spans="2:24">
      <c r="B21" s="181">
        <v>45870</v>
      </c>
      <c r="C21" s="182">
        <f t="shared" si="4"/>
        <v>118036400</v>
      </c>
      <c r="D21" s="184">
        <v>7853261</v>
      </c>
      <c r="E21" s="182">
        <f t="shared" si="15"/>
        <v>2697185.9869249999</v>
      </c>
      <c r="F21" s="184">
        <f t="shared" si="5"/>
        <v>10550446.986925</v>
      </c>
      <c r="G21" s="183"/>
      <c r="H21" s="181">
        <f t="shared" si="0"/>
        <v>45870</v>
      </c>
      <c r="I21" s="182">
        <f t="shared" si="6"/>
        <v>300000000</v>
      </c>
      <c r="J21" s="184">
        <v>0</v>
      </c>
      <c r="K21" s="182">
        <f t="shared" si="13"/>
        <v>7276500</v>
      </c>
      <c r="L21" s="184">
        <f t="shared" si="7"/>
        <v>7276500</v>
      </c>
      <c r="M21" s="183"/>
      <c r="N21" s="181">
        <f t="shared" si="1"/>
        <v>45870</v>
      </c>
      <c r="O21" s="182">
        <f t="shared" si="8"/>
        <v>300000000</v>
      </c>
      <c r="P21" s="184">
        <v>0</v>
      </c>
      <c r="Q21" s="182">
        <f t="shared" si="14"/>
        <v>7630500</v>
      </c>
      <c r="R21" s="184">
        <f t="shared" si="9"/>
        <v>7630500</v>
      </c>
      <c r="T21" s="181">
        <f t="shared" si="2"/>
        <v>45870</v>
      </c>
      <c r="U21" s="184">
        <f t="shared" si="3"/>
        <v>718036400</v>
      </c>
      <c r="V21" s="184">
        <f t="shared" si="10"/>
        <v>7853261</v>
      </c>
      <c r="W21" s="184">
        <f t="shared" si="11"/>
        <v>17604185.986924998</v>
      </c>
      <c r="X21" s="184">
        <f t="shared" si="12"/>
        <v>25457446.986924998</v>
      </c>
    </row>
    <row r="22" spans="2:24">
      <c r="B22" s="181">
        <v>46054</v>
      </c>
      <c r="C22" s="182">
        <f t="shared" si="4"/>
        <v>110014883</v>
      </c>
      <c r="D22" s="184">
        <v>8021517</v>
      </c>
      <c r="E22" s="182">
        <f t="shared" si="15"/>
        <v>2528929.87</v>
      </c>
      <c r="F22" s="184">
        <f t="shared" si="5"/>
        <v>10550446.870000001</v>
      </c>
      <c r="G22" s="183"/>
      <c r="H22" s="181">
        <f t="shared" si="0"/>
        <v>46054</v>
      </c>
      <c r="I22" s="182">
        <f t="shared" si="6"/>
        <v>300000000</v>
      </c>
      <c r="J22" s="184">
        <v>0</v>
      </c>
      <c r="K22" s="182">
        <f t="shared" si="13"/>
        <v>7276500</v>
      </c>
      <c r="L22" s="184">
        <f t="shared" si="7"/>
        <v>7276500</v>
      </c>
      <c r="M22" s="183"/>
      <c r="N22" s="181">
        <f t="shared" si="1"/>
        <v>46054</v>
      </c>
      <c r="O22" s="182">
        <f t="shared" si="8"/>
        <v>300000000</v>
      </c>
      <c r="P22" s="184">
        <v>0</v>
      </c>
      <c r="Q22" s="182">
        <f t="shared" si="14"/>
        <v>7630500</v>
      </c>
      <c r="R22" s="184">
        <f t="shared" si="9"/>
        <v>7630500</v>
      </c>
      <c r="T22" s="181">
        <f t="shared" si="2"/>
        <v>46054</v>
      </c>
      <c r="U22" s="184">
        <f t="shared" si="3"/>
        <v>710014883</v>
      </c>
      <c r="V22" s="184">
        <f t="shared" si="10"/>
        <v>8021517</v>
      </c>
      <c r="W22" s="184">
        <f t="shared" si="11"/>
        <v>17435929.870000001</v>
      </c>
      <c r="X22" s="184">
        <f t="shared" si="12"/>
        <v>25457446.870000001</v>
      </c>
    </row>
    <row r="23" spans="2:24">
      <c r="B23" s="181">
        <v>46235</v>
      </c>
      <c r="C23" s="182">
        <f t="shared" si="4"/>
        <v>101821505</v>
      </c>
      <c r="D23" s="184">
        <v>8193378</v>
      </c>
      <c r="E23" s="182">
        <f t="shared" si="15"/>
        <v>2357068.8682749998</v>
      </c>
      <c r="F23" s="184">
        <f t="shared" si="5"/>
        <v>10550446.868275</v>
      </c>
      <c r="G23" s="183"/>
      <c r="H23" s="181">
        <f t="shared" si="0"/>
        <v>46235</v>
      </c>
      <c r="I23" s="182">
        <f t="shared" si="6"/>
        <v>300000000</v>
      </c>
      <c r="J23" s="184">
        <v>0</v>
      </c>
      <c r="K23" s="182">
        <f t="shared" si="13"/>
        <v>7276500</v>
      </c>
      <c r="L23" s="184">
        <f t="shared" si="7"/>
        <v>7276500</v>
      </c>
      <c r="M23" s="183"/>
      <c r="N23" s="181">
        <f t="shared" si="1"/>
        <v>46235</v>
      </c>
      <c r="O23" s="182">
        <f t="shared" si="8"/>
        <v>300000000</v>
      </c>
      <c r="P23" s="184">
        <v>0</v>
      </c>
      <c r="Q23" s="182">
        <f t="shared" si="14"/>
        <v>7630500</v>
      </c>
      <c r="R23" s="184">
        <f t="shared" si="9"/>
        <v>7630500</v>
      </c>
      <c r="T23" s="181">
        <f t="shared" si="2"/>
        <v>46235</v>
      </c>
      <c r="U23" s="184">
        <f t="shared" si="3"/>
        <v>701821505</v>
      </c>
      <c r="V23" s="184">
        <f t="shared" si="10"/>
        <v>8193378</v>
      </c>
      <c r="W23" s="184">
        <f t="shared" si="11"/>
        <v>17264068.868275002</v>
      </c>
      <c r="X23" s="184">
        <f t="shared" si="12"/>
        <v>25457446.868275002</v>
      </c>
    </row>
    <row r="24" spans="2:24">
      <c r="B24" s="181">
        <v>46419</v>
      </c>
      <c r="C24" s="182">
        <f t="shared" si="4"/>
        <v>93452584</v>
      </c>
      <c r="D24" s="184">
        <v>8368921</v>
      </c>
      <c r="E24" s="182">
        <f t="shared" si="15"/>
        <v>2181525.7446249998</v>
      </c>
      <c r="F24" s="184">
        <f t="shared" si="5"/>
        <v>10550446.744625</v>
      </c>
      <c r="G24" s="183"/>
      <c r="H24" s="181">
        <f t="shared" si="0"/>
        <v>46419</v>
      </c>
      <c r="I24" s="182">
        <f t="shared" si="6"/>
        <v>300000000</v>
      </c>
      <c r="J24" s="184">
        <v>0</v>
      </c>
      <c r="K24" s="182">
        <f t="shared" si="13"/>
        <v>7276500</v>
      </c>
      <c r="L24" s="184">
        <f t="shared" si="7"/>
        <v>7276500</v>
      </c>
      <c r="M24" s="183"/>
      <c r="N24" s="181">
        <f t="shared" si="1"/>
        <v>46419</v>
      </c>
      <c r="O24" s="182">
        <f t="shared" si="8"/>
        <v>300000000</v>
      </c>
      <c r="P24" s="184">
        <v>0</v>
      </c>
      <c r="Q24" s="182">
        <f t="shared" si="14"/>
        <v>7630500</v>
      </c>
      <c r="R24" s="184">
        <f t="shared" si="9"/>
        <v>7630500</v>
      </c>
      <c r="T24" s="181">
        <f t="shared" si="2"/>
        <v>46419</v>
      </c>
      <c r="U24" s="184">
        <f t="shared" si="3"/>
        <v>693452584</v>
      </c>
      <c r="V24" s="184">
        <f t="shared" si="10"/>
        <v>8368921</v>
      </c>
      <c r="W24" s="184">
        <f t="shared" si="11"/>
        <v>17088525.744625002</v>
      </c>
      <c r="X24" s="184">
        <f t="shared" si="12"/>
        <v>25457446.744625002</v>
      </c>
    </row>
    <row r="25" spans="2:24">
      <c r="B25" s="181">
        <v>46600</v>
      </c>
      <c r="C25" s="182">
        <f t="shared" si="4"/>
        <v>84904359</v>
      </c>
      <c r="D25" s="184">
        <v>8548225</v>
      </c>
      <c r="E25" s="182">
        <f t="shared" si="15"/>
        <v>2002221.6121999999</v>
      </c>
      <c r="F25" s="184">
        <f t="shared" si="5"/>
        <v>10550446.612199999</v>
      </c>
      <c r="G25" s="183"/>
      <c r="H25" s="181">
        <f t="shared" si="0"/>
        <v>46600</v>
      </c>
      <c r="I25" s="182">
        <f t="shared" si="6"/>
        <v>300000000</v>
      </c>
      <c r="J25" s="184">
        <v>0</v>
      </c>
      <c r="K25" s="182">
        <f t="shared" si="13"/>
        <v>7276500</v>
      </c>
      <c r="L25" s="184">
        <f t="shared" si="7"/>
        <v>7276500</v>
      </c>
      <c r="M25" s="183"/>
      <c r="N25" s="181">
        <f t="shared" si="1"/>
        <v>46600</v>
      </c>
      <c r="O25" s="182">
        <f t="shared" si="8"/>
        <v>300000000</v>
      </c>
      <c r="P25" s="184">
        <v>0</v>
      </c>
      <c r="Q25" s="182">
        <f t="shared" si="14"/>
        <v>7630500</v>
      </c>
      <c r="R25" s="184">
        <f t="shared" si="9"/>
        <v>7630500</v>
      </c>
      <c r="T25" s="181">
        <f t="shared" si="2"/>
        <v>46600</v>
      </c>
      <c r="U25" s="184">
        <f t="shared" si="3"/>
        <v>684904359</v>
      </c>
      <c r="V25" s="184">
        <f t="shared" si="10"/>
        <v>8548225</v>
      </c>
      <c r="W25" s="184">
        <f t="shared" si="11"/>
        <v>16909221.612199999</v>
      </c>
      <c r="X25" s="184">
        <f t="shared" si="12"/>
        <v>25457446.612199999</v>
      </c>
    </row>
    <row r="26" spans="2:24">
      <c r="B26" s="181">
        <v>46784</v>
      </c>
      <c r="C26" s="182">
        <f t="shared" si="4"/>
        <v>76172988</v>
      </c>
      <c r="D26" s="184">
        <v>8731371</v>
      </c>
      <c r="E26" s="182">
        <f t="shared" si="15"/>
        <v>1819075.891575</v>
      </c>
      <c r="F26" s="184">
        <f t="shared" si="5"/>
        <v>10550446.891574999</v>
      </c>
      <c r="G26" s="183"/>
      <c r="H26" s="181">
        <f t="shared" si="0"/>
        <v>46784</v>
      </c>
      <c r="I26" s="182">
        <f t="shared" si="6"/>
        <v>300000000</v>
      </c>
      <c r="J26" s="184">
        <v>0</v>
      </c>
      <c r="K26" s="182">
        <f t="shared" si="13"/>
        <v>7276500</v>
      </c>
      <c r="L26" s="184">
        <f t="shared" si="7"/>
        <v>7276500</v>
      </c>
      <c r="M26" s="183"/>
      <c r="N26" s="181">
        <f t="shared" si="1"/>
        <v>46784</v>
      </c>
      <c r="O26" s="182">
        <f t="shared" si="8"/>
        <v>300000000</v>
      </c>
      <c r="P26" s="184">
        <v>0</v>
      </c>
      <c r="Q26" s="182">
        <f t="shared" si="14"/>
        <v>7630500</v>
      </c>
      <c r="R26" s="184">
        <f t="shared" si="9"/>
        <v>7630500</v>
      </c>
      <c r="T26" s="181">
        <f t="shared" si="2"/>
        <v>46784</v>
      </c>
      <c r="U26" s="184">
        <f t="shared" si="3"/>
        <v>676172988</v>
      </c>
      <c r="V26" s="184">
        <f t="shared" si="10"/>
        <v>8731371</v>
      </c>
      <c r="W26" s="184">
        <f t="shared" si="11"/>
        <v>16726075.891574999</v>
      </c>
      <c r="X26" s="184">
        <f t="shared" si="12"/>
        <v>25457446.891575001</v>
      </c>
    </row>
    <row r="27" spans="2:24">
      <c r="B27" s="181">
        <v>46966</v>
      </c>
      <c r="C27" s="182">
        <f t="shared" si="4"/>
        <v>67254547</v>
      </c>
      <c r="D27" s="184">
        <v>8918441</v>
      </c>
      <c r="E27" s="182">
        <f t="shared" si="15"/>
        <v>1632006.2678999999</v>
      </c>
      <c r="F27" s="184">
        <f t="shared" si="5"/>
        <v>10550447.267899999</v>
      </c>
      <c r="G27" s="183"/>
      <c r="H27" s="181">
        <f t="shared" si="0"/>
        <v>46966</v>
      </c>
      <c r="I27" s="182">
        <f t="shared" si="6"/>
        <v>300000000</v>
      </c>
      <c r="J27" s="184">
        <v>0</v>
      </c>
      <c r="K27" s="182">
        <f t="shared" si="13"/>
        <v>7276500</v>
      </c>
      <c r="L27" s="184">
        <f t="shared" si="7"/>
        <v>7276500</v>
      </c>
      <c r="M27" s="183"/>
      <c r="N27" s="181">
        <f t="shared" si="1"/>
        <v>46966</v>
      </c>
      <c r="O27" s="182">
        <f t="shared" si="8"/>
        <v>300000000</v>
      </c>
      <c r="P27" s="184">
        <v>0</v>
      </c>
      <c r="Q27" s="182">
        <f t="shared" si="14"/>
        <v>7630500</v>
      </c>
      <c r="R27" s="184">
        <f t="shared" si="9"/>
        <v>7630500</v>
      </c>
      <c r="T27" s="181">
        <f t="shared" si="2"/>
        <v>46966</v>
      </c>
      <c r="U27" s="184">
        <f t="shared" si="3"/>
        <v>667254547</v>
      </c>
      <c r="V27" s="184">
        <f t="shared" si="10"/>
        <v>8918441</v>
      </c>
      <c r="W27" s="184">
        <f t="shared" si="11"/>
        <v>16539006.267899999</v>
      </c>
      <c r="X27" s="184">
        <f t="shared" si="12"/>
        <v>25457447.267899998</v>
      </c>
    </row>
    <row r="28" spans="2:24">
      <c r="B28" s="181">
        <v>47150</v>
      </c>
      <c r="C28" s="182">
        <f t="shared" si="4"/>
        <v>58145029</v>
      </c>
      <c r="D28" s="184">
        <v>9109518</v>
      </c>
      <c r="E28" s="182">
        <f t="shared" si="15"/>
        <v>1440928.6694749999</v>
      </c>
      <c r="F28" s="184">
        <f t="shared" si="5"/>
        <v>10550446.669475</v>
      </c>
      <c r="G28" s="183"/>
      <c r="H28" s="181">
        <f t="shared" si="0"/>
        <v>47150</v>
      </c>
      <c r="I28" s="182">
        <f t="shared" si="6"/>
        <v>300000000</v>
      </c>
      <c r="J28" s="184">
        <v>0</v>
      </c>
      <c r="K28" s="182">
        <f t="shared" si="13"/>
        <v>7276500</v>
      </c>
      <c r="L28" s="184">
        <f t="shared" si="7"/>
        <v>7276500</v>
      </c>
      <c r="M28" s="183"/>
      <c r="N28" s="181">
        <f t="shared" si="1"/>
        <v>47150</v>
      </c>
      <c r="O28" s="182">
        <f t="shared" si="8"/>
        <v>300000000</v>
      </c>
      <c r="P28" s="184">
        <v>0</v>
      </c>
      <c r="Q28" s="182">
        <f t="shared" si="14"/>
        <v>7630500</v>
      </c>
      <c r="R28" s="184">
        <f t="shared" si="9"/>
        <v>7630500</v>
      </c>
      <c r="T28" s="181">
        <f t="shared" si="2"/>
        <v>47150</v>
      </c>
      <c r="U28" s="184">
        <f t="shared" si="3"/>
        <v>658145029</v>
      </c>
      <c r="V28" s="184">
        <f t="shared" si="10"/>
        <v>9109518</v>
      </c>
      <c r="W28" s="184">
        <f t="shared" si="11"/>
        <v>16347928.669475</v>
      </c>
      <c r="X28" s="184">
        <f t="shared" si="12"/>
        <v>25457446.669475</v>
      </c>
    </row>
    <row r="29" spans="2:24">
      <c r="B29" s="181">
        <v>47331</v>
      </c>
      <c r="C29" s="182">
        <f t="shared" si="4"/>
        <v>48840339</v>
      </c>
      <c r="D29" s="184">
        <v>9304690</v>
      </c>
      <c r="E29" s="182">
        <f t="shared" si="15"/>
        <v>1245757.246325</v>
      </c>
      <c r="F29" s="184">
        <f t="shared" si="5"/>
        <v>10550447.246324999</v>
      </c>
      <c r="G29" s="183"/>
      <c r="H29" s="181">
        <f t="shared" si="0"/>
        <v>47331</v>
      </c>
      <c r="I29" s="182">
        <f t="shared" si="6"/>
        <v>300000000</v>
      </c>
      <c r="J29" s="184">
        <v>0</v>
      </c>
      <c r="K29" s="182">
        <f t="shared" si="13"/>
        <v>7276500</v>
      </c>
      <c r="L29" s="184">
        <f t="shared" si="7"/>
        <v>7276500</v>
      </c>
      <c r="M29" s="183"/>
      <c r="N29" s="181">
        <f t="shared" si="1"/>
        <v>47331</v>
      </c>
      <c r="O29" s="182">
        <f t="shared" si="8"/>
        <v>300000000</v>
      </c>
      <c r="P29" s="184">
        <v>0</v>
      </c>
      <c r="Q29" s="182">
        <f t="shared" si="14"/>
        <v>7630500</v>
      </c>
      <c r="R29" s="184">
        <f t="shared" si="9"/>
        <v>7630500</v>
      </c>
      <c r="T29" s="181">
        <f t="shared" si="2"/>
        <v>47331</v>
      </c>
      <c r="U29" s="184">
        <f t="shared" si="3"/>
        <v>648840339</v>
      </c>
      <c r="V29" s="184">
        <f t="shared" si="10"/>
        <v>9304690</v>
      </c>
      <c r="W29" s="184">
        <f t="shared" si="11"/>
        <v>16152757.246324999</v>
      </c>
      <c r="X29" s="184">
        <f t="shared" si="12"/>
        <v>25457447.246325001</v>
      </c>
    </row>
    <row r="30" spans="2:24">
      <c r="B30" s="181">
        <v>47515</v>
      </c>
      <c r="C30" s="182">
        <f t="shared" si="4"/>
        <v>39336297</v>
      </c>
      <c r="D30" s="184">
        <v>9504042</v>
      </c>
      <c r="E30" s="182">
        <f t="shared" si="15"/>
        <v>1046404.263075</v>
      </c>
      <c r="F30" s="184">
        <f t="shared" si="5"/>
        <v>10550446.263075</v>
      </c>
      <c r="G30" s="183"/>
      <c r="H30" s="181">
        <f t="shared" si="0"/>
        <v>47515</v>
      </c>
      <c r="I30" s="182">
        <f t="shared" si="6"/>
        <v>300000000</v>
      </c>
      <c r="J30" s="184">
        <v>0</v>
      </c>
      <c r="K30" s="182">
        <f t="shared" si="13"/>
        <v>7276500</v>
      </c>
      <c r="L30" s="184">
        <f t="shared" si="7"/>
        <v>7276500</v>
      </c>
      <c r="M30" s="183"/>
      <c r="N30" s="181">
        <f t="shared" si="1"/>
        <v>47515</v>
      </c>
      <c r="O30" s="182">
        <f t="shared" si="8"/>
        <v>300000000</v>
      </c>
      <c r="P30" s="184">
        <v>0</v>
      </c>
      <c r="Q30" s="182">
        <f t="shared" si="14"/>
        <v>7630500</v>
      </c>
      <c r="R30" s="184">
        <f t="shared" si="9"/>
        <v>7630500</v>
      </c>
      <c r="T30" s="181">
        <f t="shared" si="2"/>
        <v>47515</v>
      </c>
      <c r="U30" s="184">
        <f t="shared" si="3"/>
        <v>639336297</v>
      </c>
      <c r="V30" s="184">
        <f t="shared" si="10"/>
        <v>9504042</v>
      </c>
      <c r="W30" s="184">
        <f t="shared" si="11"/>
        <v>15953404.263075</v>
      </c>
      <c r="X30" s="184">
        <f t="shared" si="12"/>
        <v>25457446.263075002</v>
      </c>
    </row>
    <row r="31" spans="2:24">
      <c r="B31" s="181">
        <v>47696</v>
      </c>
      <c r="C31" s="182">
        <f t="shared" si="4"/>
        <v>29628630</v>
      </c>
      <c r="D31" s="184">
        <v>9707667</v>
      </c>
      <c r="E31" s="182">
        <f t="shared" si="15"/>
        <v>842780.16322500003</v>
      </c>
      <c r="F31" s="184">
        <f t="shared" si="5"/>
        <v>10550447.163225001</v>
      </c>
      <c r="G31" s="183"/>
      <c r="H31" s="181">
        <f t="shared" si="0"/>
        <v>47696</v>
      </c>
      <c r="I31" s="182">
        <f t="shared" si="6"/>
        <v>300000000</v>
      </c>
      <c r="J31" s="184">
        <v>0</v>
      </c>
      <c r="K31" s="182">
        <f t="shared" si="13"/>
        <v>7276500</v>
      </c>
      <c r="L31" s="184">
        <f t="shared" si="7"/>
        <v>7276500</v>
      </c>
      <c r="M31" s="183"/>
      <c r="N31" s="181">
        <f t="shared" si="1"/>
        <v>47696</v>
      </c>
      <c r="O31" s="182">
        <f t="shared" si="8"/>
        <v>300000000</v>
      </c>
      <c r="P31" s="184">
        <v>0</v>
      </c>
      <c r="Q31" s="182">
        <f t="shared" si="14"/>
        <v>7630500</v>
      </c>
      <c r="R31" s="184">
        <f t="shared" si="9"/>
        <v>7630500</v>
      </c>
      <c r="T31" s="181">
        <f t="shared" si="2"/>
        <v>47696</v>
      </c>
      <c r="U31" s="184">
        <f t="shared" si="3"/>
        <v>629628630</v>
      </c>
      <c r="V31" s="184">
        <f t="shared" si="10"/>
        <v>9707667</v>
      </c>
      <c r="W31" s="184">
        <f t="shared" si="11"/>
        <v>15749780.163224999</v>
      </c>
      <c r="X31" s="184">
        <f t="shared" si="12"/>
        <v>25457447.163224999</v>
      </c>
    </row>
    <row r="32" spans="2:24">
      <c r="B32" s="181">
        <v>47880</v>
      </c>
      <c r="C32" s="182">
        <f t="shared" si="4"/>
        <v>19712976</v>
      </c>
      <c r="D32" s="184">
        <v>9915654</v>
      </c>
      <c r="E32" s="182">
        <f t="shared" si="15"/>
        <v>634793.39775</v>
      </c>
      <c r="F32" s="184">
        <f t="shared" si="5"/>
        <v>10550447.39775</v>
      </c>
      <c r="G32" s="183"/>
      <c r="H32" s="181">
        <f t="shared" si="0"/>
        <v>47880</v>
      </c>
      <c r="I32" s="182">
        <f t="shared" si="6"/>
        <v>300000000</v>
      </c>
      <c r="J32" s="184">
        <v>0</v>
      </c>
      <c r="K32" s="182">
        <f t="shared" si="13"/>
        <v>7276500</v>
      </c>
      <c r="L32" s="184">
        <f t="shared" si="7"/>
        <v>7276500</v>
      </c>
      <c r="M32" s="183"/>
      <c r="N32" s="181">
        <f t="shared" si="1"/>
        <v>47880</v>
      </c>
      <c r="O32" s="182">
        <f t="shared" si="8"/>
        <v>300000000</v>
      </c>
      <c r="P32" s="184">
        <v>0</v>
      </c>
      <c r="Q32" s="182">
        <f t="shared" si="14"/>
        <v>7630500</v>
      </c>
      <c r="R32" s="184">
        <f t="shared" si="9"/>
        <v>7630500</v>
      </c>
      <c r="T32" s="181">
        <f t="shared" si="2"/>
        <v>47880</v>
      </c>
      <c r="U32" s="184">
        <f t="shared" si="3"/>
        <v>619712976</v>
      </c>
      <c r="V32" s="184">
        <f t="shared" si="10"/>
        <v>9915654</v>
      </c>
      <c r="W32" s="184">
        <f t="shared" si="11"/>
        <v>15541793.39775</v>
      </c>
      <c r="X32" s="184">
        <f t="shared" si="12"/>
        <v>25457447.397749998</v>
      </c>
    </row>
    <row r="33" spans="2:24">
      <c r="B33" s="181">
        <v>48061</v>
      </c>
      <c r="C33" s="182">
        <f t="shared" si="4"/>
        <v>9584880</v>
      </c>
      <c r="D33" s="184">
        <v>10128096</v>
      </c>
      <c r="E33" s="182">
        <f t="shared" si="15"/>
        <v>422350.51079999999</v>
      </c>
      <c r="F33" s="184">
        <f t="shared" si="5"/>
        <v>10550446.5108</v>
      </c>
      <c r="G33" s="183"/>
      <c r="H33" s="181">
        <f t="shared" si="0"/>
        <v>48061</v>
      </c>
      <c r="I33" s="182">
        <f t="shared" si="6"/>
        <v>300000000</v>
      </c>
      <c r="J33" s="184">
        <v>0</v>
      </c>
      <c r="K33" s="182">
        <f t="shared" si="13"/>
        <v>7276500</v>
      </c>
      <c r="L33" s="184">
        <f t="shared" si="7"/>
        <v>7276500</v>
      </c>
      <c r="M33" s="183"/>
      <c r="N33" s="181">
        <f t="shared" si="1"/>
        <v>48061</v>
      </c>
      <c r="O33" s="182">
        <f t="shared" si="8"/>
        <v>300000000</v>
      </c>
      <c r="P33" s="184">
        <v>0</v>
      </c>
      <c r="Q33" s="182">
        <f t="shared" si="14"/>
        <v>7630500</v>
      </c>
      <c r="R33" s="184">
        <f t="shared" si="9"/>
        <v>7630500</v>
      </c>
      <c r="T33" s="181">
        <f t="shared" si="2"/>
        <v>48061</v>
      </c>
      <c r="U33" s="184">
        <f t="shared" si="3"/>
        <v>609584880</v>
      </c>
      <c r="V33" s="184">
        <f t="shared" si="10"/>
        <v>10128096</v>
      </c>
      <c r="W33" s="184">
        <f t="shared" si="11"/>
        <v>15329350.5108</v>
      </c>
      <c r="X33" s="184">
        <f t="shared" si="12"/>
        <v>25457446.5108</v>
      </c>
    </row>
    <row r="34" spans="2:24">
      <c r="B34" s="181">
        <v>48245</v>
      </c>
      <c r="C34" s="182">
        <f t="shared" si="4"/>
        <v>0</v>
      </c>
      <c r="D34" s="184">
        <v>9584880</v>
      </c>
      <c r="E34" s="182">
        <f t="shared" si="15"/>
        <v>205356.054</v>
      </c>
      <c r="F34" s="184">
        <f t="shared" si="5"/>
        <v>9790236.0539999995</v>
      </c>
      <c r="G34" s="183"/>
      <c r="H34" s="181">
        <f t="shared" si="0"/>
        <v>48245</v>
      </c>
      <c r="I34" s="182">
        <f t="shared" si="6"/>
        <v>299239789</v>
      </c>
      <c r="J34" s="184">
        <v>760211</v>
      </c>
      <c r="K34" s="182">
        <f t="shared" si="13"/>
        <v>7276500</v>
      </c>
      <c r="L34" s="184">
        <f t="shared" si="7"/>
        <v>8036711</v>
      </c>
      <c r="M34" s="183"/>
      <c r="N34" s="181">
        <f t="shared" si="1"/>
        <v>48245</v>
      </c>
      <c r="O34" s="182">
        <f t="shared" si="8"/>
        <v>300000000</v>
      </c>
      <c r="P34" s="184">
        <v>0</v>
      </c>
      <c r="Q34" s="182">
        <f t="shared" si="14"/>
        <v>7630500</v>
      </c>
      <c r="R34" s="184">
        <f t="shared" si="9"/>
        <v>7630500</v>
      </c>
      <c r="T34" s="181">
        <f t="shared" si="2"/>
        <v>48245</v>
      </c>
      <c r="U34" s="184">
        <f t="shared" si="3"/>
        <v>599239789</v>
      </c>
      <c r="V34" s="184">
        <f t="shared" si="10"/>
        <v>10345091</v>
      </c>
      <c r="W34" s="184">
        <f t="shared" si="11"/>
        <v>15112356.054</v>
      </c>
      <c r="X34" s="184">
        <f t="shared" si="12"/>
        <v>25457447.053999998</v>
      </c>
    </row>
    <row r="35" spans="2:24">
      <c r="B35" s="181">
        <v>48427</v>
      </c>
      <c r="C35" s="182">
        <f t="shared" si="4"/>
        <v>0</v>
      </c>
      <c r="D35" s="184">
        <v>0</v>
      </c>
      <c r="E35" s="182">
        <f t="shared" si="15"/>
        <v>0</v>
      </c>
      <c r="F35" s="184">
        <f t="shared" si="5"/>
        <v>0</v>
      </c>
      <c r="G35" s="183"/>
      <c r="H35" s="181">
        <f t="shared" si="0"/>
        <v>48427</v>
      </c>
      <c r="I35" s="182">
        <f t="shared" si="6"/>
        <v>288670903</v>
      </c>
      <c r="J35" s="184">
        <v>10568886</v>
      </c>
      <c r="K35" s="182">
        <f t="shared" si="13"/>
        <v>7258061.0821949998</v>
      </c>
      <c r="L35" s="184">
        <f t="shared" si="7"/>
        <v>17826947.082194999</v>
      </c>
      <c r="M35" s="183"/>
      <c r="N35" s="181">
        <f t="shared" si="1"/>
        <v>48427</v>
      </c>
      <c r="O35" s="182">
        <f t="shared" si="8"/>
        <v>300000000</v>
      </c>
      <c r="P35" s="184">
        <v>0</v>
      </c>
      <c r="Q35" s="182">
        <f t="shared" si="14"/>
        <v>7630500</v>
      </c>
      <c r="R35" s="184">
        <f t="shared" si="9"/>
        <v>7630500</v>
      </c>
      <c r="T35" s="181">
        <f t="shared" si="2"/>
        <v>48427</v>
      </c>
      <c r="U35" s="184">
        <f t="shared" si="3"/>
        <v>588670903</v>
      </c>
      <c r="V35" s="184">
        <f t="shared" si="10"/>
        <v>10568886</v>
      </c>
      <c r="W35" s="184">
        <f t="shared" si="11"/>
        <v>14888561.082194999</v>
      </c>
      <c r="X35" s="184">
        <f t="shared" si="12"/>
        <v>25457447.082194999</v>
      </c>
    </row>
    <row r="36" spans="2:24">
      <c r="B36" s="181">
        <v>48611</v>
      </c>
      <c r="C36" s="182">
        <f t="shared" si="4"/>
        <v>0</v>
      </c>
      <c r="D36" s="184">
        <v>0</v>
      </c>
      <c r="E36" s="182">
        <f t="shared" si="15"/>
        <v>0</v>
      </c>
      <c r="F36" s="184">
        <f t="shared" si="5"/>
        <v>0</v>
      </c>
      <c r="G36" s="183"/>
      <c r="H36" s="181">
        <f t="shared" si="0"/>
        <v>48611</v>
      </c>
      <c r="I36" s="182">
        <f t="shared" si="6"/>
        <v>277845669</v>
      </c>
      <c r="J36" s="184">
        <v>10825234</v>
      </c>
      <c r="K36" s="182">
        <f t="shared" si="13"/>
        <v>7001712.7522649998</v>
      </c>
      <c r="L36" s="184">
        <f t="shared" si="7"/>
        <v>17826946.752264999</v>
      </c>
      <c r="M36" s="183"/>
      <c r="N36" s="181">
        <f t="shared" si="1"/>
        <v>48611</v>
      </c>
      <c r="O36" s="182">
        <f t="shared" si="8"/>
        <v>300000000</v>
      </c>
      <c r="P36" s="184">
        <v>0</v>
      </c>
      <c r="Q36" s="182">
        <f t="shared" si="14"/>
        <v>7630500</v>
      </c>
      <c r="R36" s="184">
        <f t="shared" si="9"/>
        <v>7630500</v>
      </c>
      <c r="T36" s="181">
        <f t="shared" si="2"/>
        <v>48611</v>
      </c>
      <c r="U36" s="184">
        <f t="shared" si="3"/>
        <v>577845669</v>
      </c>
      <c r="V36" s="184">
        <f t="shared" si="10"/>
        <v>10825234</v>
      </c>
      <c r="W36" s="184">
        <f t="shared" si="11"/>
        <v>14632212.752264999</v>
      </c>
      <c r="X36" s="184">
        <f t="shared" si="12"/>
        <v>25457446.752264999</v>
      </c>
    </row>
    <row r="37" spans="2:24">
      <c r="B37" s="181">
        <v>48792</v>
      </c>
      <c r="C37" s="182">
        <f t="shared" si="4"/>
        <v>0</v>
      </c>
      <c r="D37" s="184">
        <v>0</v>
      </c>
      <c r="E37" s="182">
        <f t="shared" si="15"/>
        <v>0</v>
      </c>
      <c r="F37" s="184">
        <f t="shared" si="5"/>
        <v>0</v>
      </c>
      <c r="G37" s="183"/>
      <c r="H37" s="181">
        <f t="shared" si="0"/>
        <v>48792</v>
      </c>
      <c r="I37" s="182">
        <f t="shared" si="6"/>
        <v>266757869</v>
      </c>
      <c r="J37" s="184">
        <v>11087800</v>
      </c>
      <c r="K37" s="182">
        <f t="shared" si="13"/>
        <v>6739146.701595</v>
      </c>
      <c r="L37" s="184">
        <f t="shared" si="7"/>
        <v>17826946.701595001</v>
      </c>
      <c r="M37" s="183"/>
      <c r="N37" s="181">
        <f t="shared" si="1"/>
        <v>48792</v>
      </c>
      <c r="O37" s="182">
        <f t="shared" si="8"/>
        <v>300000000</v>
      </c>
      <c r="P37" s="184">
        <v>0</v>
      </c>
      <c r="Q37" s="182">
        <f t="shared" si="14"/>
        <v>7630500</v>
      </c>
      <c r="R37" s="184">
        <f t="shared" si="9"/>
        <v>7630500</v>
      </c>
      <c r="T37" s="181">
        <f t="shared" si="2"/>
        <v>48792</v>
      </c>
      <c r="U37" s="184">
        <f t="shared" si="3"/>
        <v>566757869</v>
      </c>
      <c r="V37" s="184">
        <f t="shared" si="10"/>
        <v>11087800</v>
      </c>
      <c r="W37" s="184">
        <f t="shared" si="11"/>
        <v>14369646.701595001</v>
      </c>
      <c r="X37" s="184">
        <f t="shared" si="12"/>
        <v>25457446.701595001</v>
      </c>
    </row>
    <row r="38" spans="2:24">
      <c r="B38" s="181">
        <v>48976</v>
      </c>
      <c r="C38" s="182">
        <f t="shared" si="4"/>
        <v>0</v>
      </c>
      <c r="D38" s="184">
        <v>0</v>
      </c>
      <c r="E38" s="182">
        <f t="shared" si="15"/>
        <v>0</v>
      </c>
      <c r="F38" s="184">
        <f t="shared" si="5"/>
        <v>0</v>
      </c>
      <c r="G38" s="183"/>
      <c r="H38" s="181">
        <f t="shared" si="0"/>
        <v>48976</v>
      </c>
      <c r="I38" s="182">
        <f t="shared" si="6"/>
        <v>255401134</v>
      </c>
      <c r="J38" s="184">
        <v>11356735</v>
      </c>
      <c r="K38" s="182">
        <f t="shared" si="13"/>
        <v>6470212.1125949994</v>
      </c>
      <c r="L38" s="184">
        <f t="shared" si="7"/>
        <v>17826947.112594999</v>
      </c>
      <c r="M38" s="183"/>
      <c r="N38" s="181">
        <f t="shared" si="1"/>
        <v>48976</v>
      </c>
      <c r="O38" s="182">
        <f t="shared" si="8"/>
        <v>300000000</v>
      </c>
      <c r="P38" s="184">
        <v>0</v>
      </c>
      <c r="Q38" s="182">
        <f t="shared" si="14"/>
        <v>7630500</v>
      </c>
      <c r="R38" s="184">
        <f t="shared" si="9"/>
        <v>7630500</v>
      </c>
      <c r="T38" s="181">
        <f t="shared" si="2"/>
        <v>48976</v>
      </c>
      <c r="U38" s="184">
        <f t="shared" si="3"/>
        <v>555401134</v>
      </c>
      <c r="V38" s="184">
        <f t="shared" si="10"/>
        <v>11356735</v>
      </c>
      <c r="W38" s="184">
        <f t="shared" si="11"/>
        <v>14100712.112594999</v>
      </c>
      <c r="X38" s="184">
        <f t="shared" si="12"/>
        <v>25457447.112594999</v>
      </c>
    </row>
    <row r="39" spans="2:24">
      <c r="B39" s="181">
        <v>49157</v>
      </c>
      <c r="C39" s="182">
        <f t="shared" si="4"/>
        <v>0</v>
      </c>
      <c r="D39" s="184">
        <v>0</v>
      </c>
      <c r="E39" s="182">
        <f t="shared" si="15"/>
        <v>0</v>
      </c>
      <c r="F39" s="184">
        <f t="shared" si="5"/>
        <v>0</v>
      </c>
      <c r="G39" s="183"/>
      <c r="H39" s="181">
        <f t="shared" si="0"/>
        <v>49157</v>
      </c>
      <c r="I39" s="182">
        <f t="shared" si="6"/>
        <v>243768942</v>
      </c>
      <c r="J39" s="184">
        <v>11632192</v>
      </c>
      <c r="K39" s="182">
        <f t="shared" si="13"/>
        <v>6194754.5051699998</v>
      </c>
      <c r="L39" s="184">
        <f t="shared" si="7"/>
        <v>17826946.505169999</v>
      </c>
      <c r="M39" s="183"/>
      <c r="N39" s="181">
        <f t="shared" si="1"/>
        <v>49157</v>
      </c>
      <c r="O39" s="182">
        <f t="shared" si="8"/>
        <v>300000000</v>
      </c>
      <c r="P39" s="184">
        <v>0</v>
      </c>
      <c r="Q39" s="182">
        <f t="shared" si="14"/>
        <v>7630500</v>
      </c>
      <c r="R39" s="184">
        <f t="shared" si="9"/>
        <v>7630500</v>
      </c>
      <c r="T39" s="181">
        <f t="shared" si="2"/>
        <v>49157</v>
      </c>
      <c r="U39" s="184">
        <f t="shared" si="3"/>
        <v>543768942</v>
      </c>
      <c r="V39" s="184">
        <f t="shared" si="10"/>
        <v>11632192</v>
      </c>
      <c r="W39" s="184">
        <f t="shared" si="11"/>
        <v>13825254.505169999</v>
      </c>
      <c r="X39" s="184">
        <f t="shared" si="12"/>
        <v>25457446.505169999</v>
      </c>
    </row>
    <row r="40" spans="2:24">
      <c r="B40" s="181">
        <v>49341</v>
      </c>
      <c r="C40" s="182">
        <f t="shared" si="4"/>
        <v>0</v>
      </c>
      <c r="D40" s="184">
        <v>0</v>
      </c>
      <c r="E40" s="182">
        <f t="shared" si="15"/>
        <v>0</v>
      </c>
      <c r="F40" s="184">
        <f t="shared" si="5"/>
        <v>0</v>
      </c>
      <c r="G40" s="183"/>
      <c r="H40" s="181">
        <f t="shared" si="0"/>
        <v>49341</v>
      </c>
      <c r="I40" s="182">
        <f t="shared" si="6"/>
        <v>231854611</v>
      </c>
      <c r="J40" s="184">
        <v>11914331</v>
      </c>
      <c r="K40" s="182">
        <f t="shared" si="13"/>
        <v>5912615.6882099994</v>
      </c>
      <c r="L40" s="184">
        <f t="shared" si="7"/>
        <v>17826946.688209999</v>
      </c>
      <c r="M40" s="183"/>
      <c r="N40" s="181">
        <f t="shared" si="1"/>
        <v>49341</v>
      </c>
      <c r="O40" s="182">
        <f t="shared" si="8"/>
        <v>300000000</v>
      </c>
      <c r="P40" s="184">
        <v>0</v>
      </c>
      <c r="Q40" s="182">
        <f t="shared" si="14"/>
        <v>7630500</v>
      </c>
      <c r="R40" s="184">
        <f t="shared" si="9"/>
        <v>7630500</v>
      </c>
      <c r="T40" s="181">
        <f t="shared" si="2"/>
        <v>49341</v>
      </c>
      <c r="U40" s="184">
        <f t="shared" si="3"/>
        <v>531854611</v>
      </c>
      <c r="V40" s="184">
        <f t="shared" si="10"/>
        <v>11914331</v>
      </c>
      <c r="W40" s="184">
        <f t="shared" si="11"/>
        <v>13543115.688209999</v>
      </c>
      <c r="X40" s="184">
        <f t="shared" si="12"/>
        <v>25457446.688209999</v>
      </c>
    </row>
    <row r="41" spans="2:24">
      <c r="B41" s="181">
        <v>49522</v>
      </c>
      <c r="C41" s="182">
        <f t="shared" si="4"/>
        <v>0</v>
      </c>
      <c r="D41" s="184">
        <v>0</v>
      </c>
      <c r="E41" s="182">
        <f t="shared" si="15"/>
        <v>0</v>
      </c>
      <c r="F41" s="184">
        <f t="shared" si="5"/>
        <v>0</v>
      </c>
      <c r="G41" s="183"/>
      <c r="H41" s="181">
        <f t="shared" si="0"/>
        <v>49522</v>
      </c>
      <c r="I41" s="182">
        <f t="shared" si="6"/>
        <v>219651297</v>
      </c>
      <c r="J41" s="184">
        <v>12203314</v>
      </c>
      <c r="K41" s="182">
        <f t="shared" si="13"/>
        <v>5623633.5898049995</v>
      </c>
      <c r="L41" s="184">
        <f t="shared" si="7"/>
        <v>17826947.589805</v>
      </c>
      <c r="M41" s="183"/>
      <c r="N41" s="181">
        <f t="shared" si="1"/>
        <v>49522</v>
      </c>
      <c r="O41" s="182">
        <f t="shared" si="8"/>
        <v>300000000</v>
      </c>
      <c r="P41" s="184">
        <v>0</v>
      </c>
      <c r="Q41" s="182">
        <f t="shared" si="14"/>
        <v>7630500</v>
      </c>
      <c r="R41" s="184">
        <f t="shared" si="9"/>
        <v>7630500</v>
      </c>
      <c r="T41" s="181">
        <f t="shared" si="2"/>
        <v>49522</v>
      </c>
      <c r="U41" s="184">
        <f t="shared" si="3"/>
        <v>519651297</v>
      </c>
      <c r="V41" s="184">
        <f t="shared" si="10"/>
        <v>12203314</v>
      </c>
      <c r="W41" s="184">
        <f t="shared" si="11"/>
        <v>13254133.589805</v>
      </c>
      <c r="X41" s="184">
        <f t="shared" si="12"/>
        <v>25457447.589805</v>
      </c>
    </row>
    <row r="42" spans="2:24">
      <c r="B42" s="181">
        <v>49706</v>
      </c>
      <c r="C42" s="182">
        <f t="shared" si="4"/>
        <v>0</v>
      </c>
      <c r="D42" s="184">
        <v>0</v>
      </c>
      <c r="E42" s="182">
        <f t="shared" si="15"/>
        <v>0</v>
      </c>
      <c r="F42" s="184">
        <f t="shared" si="5"/>
        <v>0</v>
      </c>
      <c r="G42" s="183"/>
      <c r="H42" s="181">
        <f t="shared" si="0"/>
        <v>49706</v>
      </c>
      <c r="I42" s="182">
        <f t="shared" si="6"/>
        <v>207151993</v>
      </c>
      <c r="J42" s="184">
        <v>12499304</v>
      </c>
      <c r="K42" s="182">
        <f t="shared" si="13"/>
        <v>5327642.2087349994</v>
      </c>
      <c r="L42" s="184">
        <f t="shared" si="7"/>
        <v>17826946.208735</v>
      </c>
      <c r="M42" s="183"/>
      <c r="N42" s="181">
        <f t="shared" si="1"/>
        <v>49706</v>
      </c>
      <c r="O42" s="182">
        <f t="shared" si="8"/>
        <v>300000000</v>
      </c>
      <c r="P42" s="184">
        <v>0</v>
      </c>
      <c r="Q42" s="182">
        <f t="shared" si="14"/>
        <v>7630500</v>
      </c>
      <c r="R42" s="184">
        <f t="shared" si="9"/>
        <v>7630500</v>
      </c>
      <c r="T42" s="181">
        <f t="shared" si="2"/>
        <v>49706</v>
      </c>
      <c r="U42" s="184">
        <f t="shared" si="3"/>
        <v>507151993</v>
      </c>
      <c r="V42" s="184">
        <f t="shared" si="10"/>
        <v>12499304</v>
      </c>
      <c r="W42" s="184">
        <f t="shared" si="11"/>
        <v>12958142.208735</v>
      </c>
      <c r="X42" s="184">
        <f t="shared" si="12"/>
        <v>25457446.208735</v>
      </c>
    </row>
    <row r="43" spans="2:24">
      <c r="B43" s="181">
        <v>49888</v>
      </c>
      <c r="C43" s="182">
        <f t="shared" si="4"/>
        <v>0</v>
      </c>
      <c r="D43" s="184">
        <v>0</v>
      </c>
      <c r="E43" s="182">
        <f t="shared" si="15"/>
        <v>0</v>
      </c>
      <c r="F43" s="184">
        <f t="shared" si="5"/>
        <v>0</v>
      </c>
      <c r="G43" s="183"/>
      <c r="H43" s="181">
        <f t="shared" si="0"/>
        <v>49888</v>
      </c>
      <c r="I43" s="182">
        <f t="shared" si="6"/>
        <v>194349517</v>
      </c>
      <c r="J43" s="184">
        <v>12802476</v>
      </c>
      <c r="K43" s="182">
        <f t="shared" si="13"/>
        <v>5024471.5902149994</v>
      </c>
      <c r="L43" s="184">
        <f t="shared" si="7"/>
        <v>17826947.590214998</v>
      </c>
      <c r="M43" s="183"/>
      <c r="N43" s="181">
        <f t="shared" si="1"/>
        <v>49888</v>
      </c>
      <c r="O43" s="182">
        <f t="shared" si="8"/>
        <v>300000000</v>
      </c>
      <c r="P43" s="184">
        <v>0</v>
      </c>
      <c r="Q43" s="182">
        <f t="shared" si="14"/>
        <v>7630500</v>
      </c>
      <c r="R43" s="184">
        <f t="shared" si="9"/>
        <v>7630500</v>
      </c>
      <c r="T43" s="181">
        <f t="shared" si="2"/>
        <v>49888</v>
      </c>
      <c r="U43" s="184">
        <f t="shared" si="3"/>
        <v>494349517</v>
      </c>
      <c r="V43" s="184">
        <f t="shared" si="10"/>
        <v>12802476</v>
      </c>
      <c r="W43" s="184">
        <f t="shared" si="11"/>
        <v>12654971.590214999</v>
      </c>
      <c r="X43" s="184">
        <f t="shared" si="12"/>
        <v>25457447.590214998</v>
      </c>
    </row>
    <row r="44" spans="2:24">
      <c r="B44" s="181">
        <v>50072</v>
      </c>
      <c r="C44" s="182">
        <f t="shared" si="4"/>
        <v>0</v>
      </c>
      <c r="D44" s="184">
        <v>0</v>
      </c>
      <c r="E44" s="182">
        <f t="shared" si="15"/>
        <v>0</v>
      </c>
      <c r="F44" s="184">
        <f t="shared" si="5"/>
        <v>0</v>
      </c>
      <c r="G44" s="183"/>
      <c r="H44" s="181">
        <f t="shared" si="0"/>
        <v>50072</v>
      </c>
      <c r="I44" s="182">
        <f t="shared" si="6"/>
        <v>181236518</v>
      </c>
      <c r="J44" s="184">
        <v>13112999</v>
      </c>
      <c r="K44" s="182">
        <f t="shared" si="13"/>
        <v>4713947.5348349996</v>
      </c>
      <c r="L44" s="184">
        <f t="shared" si="7"/>
        <v>17826946.534835</v>
      </c>
      <c r="M44" s="183"/>
      <c r="N44" s="181">
        <f t="shared" si="1"/>
        <v>50072</v>
      </c>
      <c r="O44" s="182">
        <f t="shared" si="8"/>
        <v>300000000</v>
      </c>
      <c r="P44" s="184">
        <v>0</v>
      </c>
      <c r="Q44" s="182">
        <f t="shared" si="14"/>
        <v>7630500</v>
      </c>
      <c r="R44" s="184">
        <f t="shared" si="9"/>
        <v>7630500</v>
      </c>
      <c r="T44" s="181">
        <f t="shared" si="2"/>
        <v>50072</v>
      </c>
      <c r="U44" s="184">
        <f t="shared" si="3"/>
        <v>481236518</v>
      </c>
      <c r="V44" s="184">
        <f t="shared" si="10"/>
        <v>13112999</v>
      </c>
      <c r="W44" s="184">
        <f t="shared" si="11"/>
        <v>12344447.534835</v>
      </c>
      <c r="X44" s="184">
        <f t="shared" si="12"/>
        <v>25457446.534835</v>
      </c>
    </row>
    <row r="45" spans="2:24">
      <c r="B45" s="181">
        <v>50253</v>
      </c>
      <c r="C45" s="182">
        <f t="shared" si="4"/>
        <v>0</v>
      </c>
      <c r="D45" s="184">
        <v>0</v>
      </c>
      <c r="E45" s="182">
        <f t="shared" si="15"/>
        <v>0</v>
      </c>
      <c r="F45" s="184">
        <f t="shared" si="5"/>
        <v>0</v>
      </c>
      <c r="G45" s="183"/>
      <c r="H45" s="181">
        <f t="shared" si="0"/>
        <v>50253</v>
      </c>
      <c r="I45" s="182">
        <f t="shared" si="6"/>
        <v>167805463</v>
      </c>
      <c r="J45" s="184">
        <v>13431055</v>
      </c>
      <c r="K45" s="182">
        <f t="shared" si="13"/>
        <v>4395891.7440900002</v>
      </c>
      <c r="L45" s="184">
        <f t="shared" si="7"/>
        <v>17826946.744089998</v>
      </c>
      <c r="M45" s="183"/>
      <c r="N45" s="181">
        <f t="shared" si="1"/>
        <v>50253</v>
      </c>
      <c r="O45" s="182">
        <f t="shared" si="8"/>
        <v>300000000</v>
      </c>
      <c r="P45" s="184">
        <v>0</v>
      </c>
      <c r="Q45" s="182">
        <f t="shared" si="14"/>
        <v>7630500</v>
      </c>
      <c r="R45" s="184">
        <f t="shared" si="9"/>
        <v>7630500</v>
      </c>
      <c r="T45" s="181">
        <f t="shared" si="2"/>
        <v>50253</v>
      </c>
      <c r="U45" s="184">
        <f t="shared" si="3"/>
        <v>467805463</v>
      </c>
      <c r="V45" s="184">
        <f t="shared" si="10"/>
        <v>13431055</v>
      </c>
      <c r="W45" s="184">
        <f t="shared" si="11"/>
        <v>12026391.74409</v>
      </c>
      <c r="X45" s="184">
        <f t="shared" si="12"/>
        <v>25457446.744089998</v>
      </c>
    </row>
    <row r="46" spans="2:24">
      <c r="B46" s="181">
        <v>50437</v>
      </c>
      <c r="C46" s="182">
        <f t="shared" si="4"/>
        <v>0</v>
      </c>
      <c r="D46" s="184">
        <v>0</v>
      </c>
      <c r="E46" s="182">
        <f t="shared" si="15"/>
        <v>0</v>
      </c>
      <c r="F46" s="184">
        <f t="shared" si="5"/>
        <v>0</v>
      </c>
      <c r="G46" s="183"/>
      <c r="H46" s="181">
        <f t="shared" si="0"/>
        <v>50437</v>
      </c>
      <c r="I46" s="182">
        <f t="shared" si="6"/>
        <v>154048637</v>
      </c>
      <c r="J46" s="184">
        <v>13756826</v>
      </c>
      <c r="K46" s="182">
        <f t="shared" si="13"/>
        <v>4070121.5050649997</v>
      </c>
      <c r="L46" s="184">
        <f t="shared" si="7"/>
        <v>17826947.505065002</v>
      </c>
      <c r="M46" s="183"/>
      <c r="N46" s="181">
        <f t="shared" si="1"/>
        <v>50437</v>
      </c>
      <c r="O46" s="182">
        <f t="shared" si="8"/>
        <v>300000000</v>
      </c>
      <c r="P46" s="184">
        <v>0</v>
      </c>
      <c r="Q46" s="182">
        <f t="shared" si="14"/>
        <v>7630500</v>
      </c>
      <c r="R46" s="184">
        <f t="shared" si="9"/>
        <v>7630500</v>
      </c>
      <c r="T46" s="181">
        <f t="shared" si="2"/>
        <v>50437</v>
      </c>
      <c r="U46" s="184">
        <f t="shared" si="3"/>
        <v>454048637</v>
      </c>
      <c r="V46" s="184">
        <f t="shared" si="10"/>
        <v>13756826</v>
      </c>
      <c r="W46" s="184">
        <f t="shared" si="11"/>
        <v>11700621.505065</v>
      </c>
      <c r="X46" s="184">
        <f t="shared" si="12"/>
        <v>25457447.505065002</v>
      </c>
    </row>
    <row r="47" spans="2:24">
      <c r="B47" s="181">
        <v>50618</v>
      </c>
      <c r="C47" s="182">
        <f t="shared" si="4"/>
        <v>0</v>
      </c>
      <c r="D47" s="184">
        <v>0</v>
      </c>
      <c r="E47" s="182">
        <f t="shared" si="15"/>
        <v>0</v>
      </c>
      <c r="F47" s="184">
        <f t="shared" si="5"/>
        <v>0</v>
      </c>
      <c r="G47" s="183"/>
      <c r="H47" s="181">
        <f t="shared" si="0"/>
        <v>50618</v>
      </c>
      <c r="I47" s="182">
        <f t="shared" si="6"/>
        <v>139958140</v>
      </c>
      <c r="J47" s="184">
        <v>14090497</v>
      </c>
      <c r="K47" s="182">
        <f t="shared" si="13"/>
        <v>3736449.6904349998</v>
      </c>
      <c r="L47" s="184">
        <f t="shared" si="7"/>
        <v>17826946.690435</v>
      </c>
      <c r="M47" s="183"/>
      <c r="N47" s="181">
        <f t="shared" si="1"/>
        <v>50618</v>
      </c>
      <c r="O47" s="182">
        <f t="shared" si="8"/>
        <v>300000000</v>
      </c>
      <c r="P47" s="184">
        <v>0</v>
      </c>
      <c r="Q47" s="182">
        <f t="shared" si="14"/>
        <v>7630500</v>
      </c>
      <c r="R47" s="184">
        <f t="shared" si="9"/>
        <v>7630500</v>
      </c>
      <c r="T47" s="181">
        <f t="shared" si="2"/>
        <v>50618</v>
      </c>
      <c r="U47" s="184">
        <f t="shared" si="3"/>
        <v>439958140</v>
      </c>
      <c r="V47" s="184">
        <f t="shared" si="10"/>
        <v>14090497</v>
      </c>
      <c r="W47" s="184">
        <f t="shared" si="11"/>
        <v>11366949.690435</v>
      </c>
      <c r="X47" s="184">
        <f t="shared" si="12"/>
        <v>25457446.690435</v>
      </c>
    </row>
    <row r="48" spans="2:24">
      <c r="B48" s="181">
        <v>50802</v>
      </c>
      <c r="C48" s="182">
        <f t="shared" si="4"/>
        <v>0</v>
      </c>
      <c r="D48" s="184">
        <v>0</v>
      </c>
      <c r="E48" s="182">
        <f t="shared" si="15"/>
        <v>0</v>
      </c>
      <c r="F48" s="184">
        <f t="shared" si="5"/>
        <v>0</v>
      </c>
      <c r="G48" s="183"/>
      <c r="H48" s="181">
        <f t="shared" si="0"/>
        <v>50802</v>
      </c>
      <c r="I48" s="182">
        <f t="shared" si="6"/>
        <v>125525878</v>
      </c>
      <c r="J48" s="184">
        <v>14432262</v>
      </c>
      <c r="K48" s="182">
        <f t="shared" si="13"/>
        <v>3394684.6856999998</v>
      </c>
      <c r="L48" s="184">
        <f t="shared" si="7"/>
        <v>17826946.685699999</v>
      </c>
      <c r="M48" s="183"/>
      <c r="N48" s="181">
        <f t="shared" si="1"/>
        <v>50802</v>
      </c>
      <c r="O48" s="182">
        <f t="shared" si="8"/>
        <v>300000000</v>
      </c>
      <c r="P48" s="184">
        <v>0</v>
      </c>
      <c r="Q48" s="182">
        <f t="shared" si="14"/>
        <v>7630500</v>
      </c>
      <c r="R48" s="184">
        <f t="shared" si="9"/>
        <v>7630500</v>
      </c>
      <c r="T48" s="181">
        <f t="shared" si="2"/>
        <v>50802</v>
      </c>
      <c r="U48" s="184">
        <f t="shared" si="3"/>
        <v>425525878</v>
      </c>
      <c r="V48" s="184">
        <f t="shared" si="10"/>
        <v>14432262</v>
      </c>
      <c r="W48" s="184">
        <f t="shared" si="11"/>
        <v>11025184.685699999</v>
      </c>
      <c r="X48" s="184">
        <f t="shared" si="12"/>
        <v>25457446.685699999</v>
      </c>
    </row>
    <row r="49" spans="2:30">
      <c r="B49" s="181">
        <v>50983</v>
      </c>
      <c r="C49" s="182">
        <f t="shared" si="4"/>
        <v>0</v>
      </c>
      <c r="D49" s="184">
        <v>0</v>
      </c>
      <c r="E49" s="182">
        <f t="shared" si="15"/>
        <v>0</v>
      </c>
      <c r="F49" s="184">
        <f t="shared" si="5"/>
        <v>0</v>
      </c>
      <c r="G49" s="183"/>
      <c r="H49" s="181">
        <f t="shared" si="0"/>
        <v>50983</v>
      </c>
      <c r="I49" s="182">
        <f t="shared" si="6"/>
        <v>110743561</v>
      </c>
      <c r="J49" s="184">
        <v>14782317</v>
      </c>
      <c r="K49" s="182">
        <f t="shared" si="13"/>
        <v>3044630.1708899997</v>
      </c>
      <c r="L49" s="184">
        <f t="shared" si="7"/>
        <v>17826947.17089</v>
      </c>
      <c r="M49" s="183"/>
      <c r="N49" s="181">
        <f t="shared" si="1"/>
        <v>50983</v>
      </c>
      <c r="O49" s="182">
        <f t="shared" si="8"/>
        <v>300000000</v>
      </c>
      <c r="P49" s="184">
        <v>0</v>
      </c>
      <c r="Q49" s="182">
        <f t="shared" si="14"/>
        <v>7630500</v>
      </c>
      <c r="R49" s="184">
        <f t="shared" si="9"/>
        <v>7630500</v>
      </c>
      <c r="T49" s="181">
        <f t="shared" si="2"/>
        <v>50983</v>
      </c>
      <c r="U49" s="184">
        <f t="shared" si="3"/>
        <v>410743561</v>
      </c>
      <c r="V49" s="184">
        <f t="shared" si="10"/>
        <v>14782317</v>
      </c>
      <c r="W49" s="184">
        <f t="shared" si="11"/>
        <v>10675130.17089</v>
      </c>
      <c r="X49" s="184">
        <f t="shared" si="12"/>
        <v>25457447.17089</v>
      </c>
    </row>
    <row r="50" spans="2:30">
      <c r="B50" s="181">
        <v>51167</v>
      </c>
      <c r="C50" s="182">
        <f t="shared" si="4"/>
        <v>0</v>
      </c>
      <c r="D50" s="184">
        <v>0</v>
      </c>
      <c r="E50" s="182">
        <f t="shared" si="15"/>
        <v>0</v>
      </c>
      <c r="F50" s="184">
        <f t="shared" si="5"/>
        <v>0</v>
      </c>
      <c r="G50" s="183"/>
      <c r="H50" s="181">
        <f t="shared" si="0"/>
        <v>51167</v>
      </c>
      <c r="I50" s="182">
        <f t="shared" si="6"/>
        <v>95602699</v>
      </c>
      <c r="J50" s="184">
        <v>15140862</v>
      </c>
      <c r="K50" s="182">
        <f t="shared" si="13"/>
        <v>2686085.0720549999</v>
      </c>
      <c r="L50" s="184">
        <f t="shared" si="7"/>
        <v>17826947.072055001</v>
      </c>
      <c r="M50" s="183"/>
      <c r="N50" s="181">
        <f t="shared" si="1"/>
        <v>51167</v>
      </c>
      <c r="O50" s="182">
        <f t="shared" si="8"/>
        <v>300000000</v>
      </c>
      <c r="P50" s="184">
        <v>0</v>
      </c>
      <c r="Q50" s="182">
        <f t="shared" si="14"/>
        <v>7630500</v>
      </c>
      <c r="R50" s="184">
        <f t="shared" si="9"/>
        <v>7630500</v>
      </c>
      <c r="T50" s="181">
        <f t="shared" si="2"/>
        <v>51167</v>
      </c>
      <c r="U50" s="184">
        <f t="shared" si="3"/>
        <v>395602699</v>
      </c>
      <c r="V50" s="184">
        <f t="shared" si="10"/>
        <v>15140862</v>
      </c>
      <c r="W50" s="184">
        <f t="shared" si="11"/>
        <v>10316585.072055001</v>
      </c>
      <c r="X50" s="184">
        <f t="shared" si="12"/>
        <v>25457447.072055001</v>
      </c>
    </row>
    <row r="51" spans="2:30">
      <c r="B51" s="181">
        <v>51349</v>
      </c>
      <c r="C51" s="182">
        <f t="shared" si="4"/>
        <v>0</v>
      </c>
      <c r="D51" s="184">
        <v>0</v>
      </c>
      <c r="E51" s="182">
        <f t="shared" si="15"/>
        <v>0</v>
      </c>
      <c r="F51" s="184">
        <f t="shared" si="5"/>
        <v>0</v>
      </c>
      <c r="G51" s="183"/>
      <c r="H51" s="181">
        <f t="shared" si="0"/>
        <v>51349</v>
      </c>
      <c r="I51" s="182">
        <f t="shared" si="6"/>
        <v>80094596</v>
      </c>
      <c r="J51" s="184">
        <v>15508103</v>
      </c>
      <c r="K51" s="182">
        <f t="shared" si="13"/>
        <v>2318843.4642449999</v>
      </c>
      <c r="L51" s="184">
        <f t="shared" si="7"/>
        <v>17826946.464244999</v>
      </c>
      <c r="M51" s="183"/>
      <c r="N51" s="181">
        <f t="shared" si="1"/>
        <v>51349</v>
      </c>
      <c r="O51" s="182">
        <f t="shared" si="8"/>
        <v>300000000</v>
      </c>
      <c r="P51" s="184">
        <v>0</v>
      </c>
      <c r="Q51" s="182">
        <f t="shared" si="14"/>
        <v>7630500</v>
      </c>
      <c r="R51" s="184">
        <f t="shared" si="9"/>
        <v>7630500</v>
      </c>
      <c r="T51" s="181">
        <f t="shared" si="2"/>
        <v>51349</v>
      </c>
      <c r="U51" s="184">
        <f t="shared" si="3"/>
        <v>380094596</v>
      </c>
      <c r="V51" s="184">
        <f t="shared" si="10"/>
        <v>15508103</v>
      </c>
      <c r="W51" s="184">
        <f t="shared" si="11"/>
        <v>9949343.464244999</v>
      </c>
      <c r="X51" s="184">
        <f t="shared" si="12"/>
        <v>25457446.464244999</v>
      </c>
    </row>
    <row r="52" spans="2:30">
      <c r="B52" s="181">
        <v>51533</v>
      </c>
      <c r="C52" s="182">
        <f t="shared" si="4"/>
        <v>0</v>
      </c>
      <c r="D52" s="184">
        <v>0</v>
      </c>
      <c r="E52" s="182">
        <f t="shared" si="15"/>
        <v>0</v>
      </c>
      <c r="F52" s="184">
        <f t="shared" si="5"/>
        <v>0</v>
      </c>
      <c r="G52" s="183"/>
      <c r="H52" s="181">
        <f t="shared" si="0"/>
        <v>51533</v>
      </c>
      <c r="I52" s="182">
        <f t="shared" si="6"/>
        <v>64210343</v>
      </c>
      <c r="J52" s="184">
        <v>15884253</v>
      </c>
      <c r="K52" s="182">
        <f t="shared" si="13"/>
        <v>1942694.4259799998</v>
      </c>
      <c r="L52" s="184">
        <f t="shared" si="7"/>
        <v>17826947.425980002</v>
      </c>
      <c r="M52" s="183"/>
      <c r="N52" s="181">
        <f t="shared" si="1"/>
        <v>51533</v>
      </c>
      <c r="O52" s="182">
        <f t="shared" si="8"/>
        <v>300000000</v>
      </c>
      <c r="P52" s="184">
        <v>0</v>
      </c>
      <c r="Q52" s="182">
        <f t="shared" si="14"/>
        <v>7630500</v>
      </c>
      <c r="R52" s="184">
        <f t="shared" si="9"/>
        <v>7630500</v>
      </c>
      <c r="T52" s="181">
        <f t="shared" si="2"/>
        <v>51533</v>
      </c>
      <c r="U52" s="184">
        <f t="shared" si="3"/>
        <v>364210343</v>
      </c>
      <c r="V52" s="184">
        <f t="shared" si="10"/>
        <v>15884253</v>
      </c>
      <c r="W52" s="184">
        <f t="shared" si="11"/>
        <v>9573194.4259799998</v>
      </c>
      <c r="X52" s="184">
        <f t="shared" si="12"/>
        <v>25457447.425980002</v>
      </c>
    </row>
    <row r="53" spans="2:30">
      <c r="B53" s="181">
        <v>51714</v>
      </c>
      <c r="C53" s="182">
        <f t="shared" si="4"/>
        <v>0</v>
      </c>
      <c r="D53" s="184">
        <v>0</v>
      </c>
      <c r="E53" s="182">
        <f t="shared" si="15"/>
        <v>0</v>
      </c>
      <c r="F53" s="184">
        <f t="shared" si="5"/>
        <v>0</v>
      </c>
      <c r="G53" s="183"/>
      <c r="H53" s="181">
        <f t="shared" si="0"/>
        <v>51714</v>
      </c>
      <c r="I53" s="182">
        <f t="shared" si="6"/>
        <v>47940818</v>
      </c>
      <c r="J53" s="184">
        <v>16269525</v>
      </c>
      <c r="K53" s="182">
        <f t="shared" si="13"/>
        <v>1557421.869465</v>
      </c>
      <c r="L53" s="184">
        <f t="shared" si="7"/>
        <v>17826946.869465001</v>
      </c>
      <c r="M53" s="183"/>
      <c r="N53" s="181">
        <f t="shared" si="1"/>
        <v>51714</v>
      </c>
      <c r="O53" s="182">
        <f t="shared" si="8"/>
        <v>300000000</v>
      </c>
      <c r="P53" s="184">
        <v>0</v>
      </c>
      <c r="Q53" s="182">
        <f t="shared" si="14"/>
        <v>7630500</v>
      </c>
      <c r="R53" s="184">
        <f t="shared" si="9"/>
        <v>7630500</v>
      </c>
      <c r="T53" s="181">
        <f t="shared" si="2"/>
        <v>51714</v>
      </c>
      <c r="U53" s="184">
        <f t="shared" si="3"/>
        <v>347940818</v>
      </c>
      <c r="V53" s="184">
        <f t="shared" si="10"/>
        <v>16269525</v>
      </c>
      <c r="W53" s="184">
        <f t="shared" si="11"/>
        <v>9187921.8694650009</v>
      </c>
      <c r="X53" s="184">
        <f t="shared" si="12"/>
        <v>25457446.869465001</v>
      </c>
    </row>
    <row r="54" spans="2:30">
      <c r="B54" s="181">
        <v>51898</v>
      </c>
      <c r="C54" s="182">
        <f t="shared" si="4"/>
        <v>0</v>
      </c>
      <c r="D54" s="184">
        <v>0</v>
      </c>
      <c r="E54" s="182">
        <f t="shared" si="15"/>
        <v>0</v>
      </c>
      <c r="F54" s="184">
        <f t="shared" si="5"/>
        <v>0</v>
      </c>
      <c r="G54" s="183"/>
      <c r="H54" s="181">
        <f t="shared" si="0"/>
        <v>51898</v>
      </c>
      <c r="I54" s="182">
        <f t="shared" si="6"/>
        <v>31276676</v>
      </c>
      <c r="J54" s="184">
        <v>16664142</v>
      </c>
      <c r="K54" s="182">
        <f t="shared" si="13"/>
        <v>1162804.5405899999</v>
      </c>
      <c r="L54" s="184">
        <f t="shared" si="7"/>
        <v>17826946.540589999</v>
      </c>
      <c r="M54" s="183"/>
      <c r="N54" s="181">
        <f t="shared" si="1"/>
        <v>51898</v>
      </c>
      <c r="O54" s="182">
        <f t="shared" si="8"/>
        <v>300000000</v>
      </c>
      <c r="P54" s="184">
        <v>0</v>
      </c>
      <c r="Q54" s="182">
        <f t="shared" si="14"/>
        <v>7630500</v>
      </c>
      <c r="R54" s="184">
        <f t="shared" si="9"/>
        <v>7630500</v>
      </c>
      <c r="T54" s="181">
        <f t="shared" si="2"/>
        <v>51898</v>
      </c>
      <c r="U54" s="184">
        <f t="shared" si="3"/>
        <v>331276676</v>
      </c>
      <c r="V54" s="184">
        <f t="shared" si="10"/>
        <v>16664142</v>
      </c>
      <c r="W54" s="184">
        <f t="shared" si="11"/>
        <v>8793304.5405899994</v>
      </c>
      <c r="X54" s="184">
        <f t="shared" si="12"/>
        <v>25457446.540589999</v>
      </c>
    </row>
    <row r="55" spans="2:30">
      <c r="B55" s="181">
        <v>52079</v>
      </c>
      <c r="C55" s="182">
        <f t="shared" si="4"/>
        <v>0</v>
      </c>
      <c r="D55" s="184">
        <v>0</v>
      </c>
      <c r="E55" s="182">
        <f t="shared" si="15"/>
        <v>0</v>
      </c>
      <c r="F55" s="184">
        <f t="shared" si="5"/>
        <v>0</v>
      </c>
      <c r="G55" s="183"/>
      <c r="H55" s="181">
        <f t="shared" si="0"/>
        <v>52079</v>
      </c>
      <c r="I55" s="182">
        <f t="shared" si="6"/>
        <v>14208345</v>
      </c>
      <c r="J55" s="184">
        <v>17068331</v>
      </c>
      <c r="K55" s="182">
        <f t="shared" si="13"/>
        <v>758615.77637999994</v>
      </c>
      <c r="L55" s="184">
        <f t="shared" si="7"/>
        <v>17826946.776379999</v>
      </c>
      <c r="M55" s="183"/>
      <c r="N55" s="181">
        <f t="shared" si="1"/>
        <v>52079</v>
      </c>
      <c r="O55" s="182">
        <f t="shared" si="8"/>
        <v>300000000</v>
      </c>
      <c r="P55" s="184">
        <v>0</v>
      </c>
      <c r="Q55" s="182">
        <f t="shared" si="14"/>
        <v>7630500</v>
      </c>
      <c r="R55" s="184">
        <f t="shared" si="9"/>
        <v>7630500</v>
      </c>
      <c r="T55" s="181">
        <f t="shared" si="2"/>
        <v>52079</v>
      </c>
      <c r="U55" s="184">
        <f t="shared" si="3"/>
        <v>314208345</v>
      </c>
      <c r="V55" s="184">
        <f t="shared" si="10"/>
        <v>17068331</v>
      </c>
      <c r="W55" s="184">
        <f t="shared" si="11"/>
        <v>8389115.7763800006</v>
      </c>
      <c r="X55" s="184">
        <f t="shared" si="12"/>
        <v>25457446.776380002</v>
      </c>
    </row>
    <row r="56" spans="2:30">
      <c r="B56" s="181">
        <v>52263</v>
      </c>
      <c r="C56" s="182">
        <f t="shared" si="4"/>
        <v>0</v>
      </c>
      <c r="D56" s="184">
        <v>0</v>
      </c>
      <c r="E56" s="182">
        <f t="shared" si="15"/>
        <v>0</v>
      </c>
      <c r="F56" s="184">
        <f t="shared" si="5"/>
        <v>0</v>
      </c>
      <c r="G56" s="183"/>
      <c r="H56" s="181">
        <f t="shared" si="0"/>
        <v>52263</v>
      </c>
      <c r="I56" s="182">
        <f t="shared" si="6"/>
        <v>0</v>
      </c>
      <c r="J56" s="184">
        <v>14208345</v>
      </c>
      <c r="K56" s="182">
        <f t="shared" si="13"/>
        <v>344623.40797499998</v>
      </c>
      <c r="L56" s="184">
        <f t="shared" si="7"/>
        <v>14552968.407974999</v>
      </c>
      <c r="M56" s="183"/>
      <c r="N56" s="181">
        <f t="shared" si="1"/>
        <v>52263</v>
      </c>
      <c r="O56" s="182">
        <f t="shared" si="8"/>
        <v>296726021</v>
      </c>
      <c r="P56" s="184">
        <v>3273979</v>
      </c>
      <c r="Q56" s="182">
        <f t="shared" si="14"/>
        <v>7630500</v>
      </c>
      <c r="R56" s="184">
        <f t="shared" si="9"/>
        <v>10904479</v>
      </c>
      <c r="T56" s="181">
        <f t="shared" si="2"/>
        <v>52263</v>
      </c>
      <c r="U56" s="184">
        <f t="shared" si="3"/>
        <v>296726021</v>
      </c>
      <c r="V56" s="184">
        <f t="shared" si="10"/>
        <v>17482324</v>
      </c>
      <c r="W56" s="184">
        <f t="shared" si="11"/>
        <v>7975123.4079750003</v>
      </c>
      <c r="X56" s="184">
        <f t="shared" si="12"/>
        <v>25457447.407974999</v>
      </c>
    </row>
    <row r="57" spans="2:30">
      <c r="B57" s="181">
        <v>52444</v>
      </c>
      <c r="C57" s="182">
        <f t="shared" si="4"/>
        <v>0</v>
      </c>
      <c r="D57" s="184">
        <v>0</v>
      </c>
      <c r="E57" s="182">
        <f t="shared" si="15"/>
        <v>0</v>
      </c>
      <c r="F57" s="184">
        <f t="shared" si="5"/>
        <v>0</v>
      </c>
      <c r="G57" s="183"/>
      <c r="H57" s="181">
        <f t="shared" si="0"/>
        <v>52444</v>
      </c>
      <c r="I57" s="182">
        <f t="shared" si="6"/>
        <v>0</v>
      </c>
      <c r="J57" s="184">
        <v>0</v>
      </c>
      <c r="K57" s="182">
        <f t="shared" si="13"/>
        <v>0</v>
      </c>
      <c r="L57" s="184">
        <f t="shared" si="7"/>
        <v>0</v>
      </c>
      <c r="M57" s="183"/>
      <c r="N57" s="181">
        <f t="shared" si="1"/>
        <v>52444</v>
      </c>
      <c r="O57" s="182">
        <f t="shared" si="8"/>
        <v>278815801</v>
      </c>
      <c r="P57" s="184">
        <v>17910220</v>
      </c>
      <c r="Q57" s="182">
        <f t="shared" si="14"/>
        <v>7547226.3441349994</v>
      </c>
      <c r="R57" s="184">
        <f t="shared" si="9"/>
        <v>25457446.344135001</v>
      </c>
      <c r="T57" s="181">
        <f t="shared" si="2"/>
        <v>52444</v>
      </c>
      <c r="U57" s="184">
        <f t="shared" si="3"/>
        <v>278815801</v>
      </c>
      <c r="V57" s="184">
        <f t="shared" si="10"/>
        <v>17910220</v>
      </c>
      <c r="W57" s="184">
        <f t="shared" si="11"/>
        <v>7547226.3441349994</v>
      </c>
      <c r="X57" s="184">
        <f t="shared" si="12"/>
        <v>25457446.344135001</v>
      </c>
    </row>
    <row r="58" spans="2:30">
      <c r="B58" s="181">
        <v>52628</v>
      </c>
      <c r="C58" s="182">
        <f t="shared" si="4"/>
        <v>0</v>
      </c>
      <c r="D58" s="184">
        <v>0</v>
      </c>
      <c r="E58" s="182">
        <f t="shared" si="15"/>
        <v>0</v>
      </c>
      <c r="F58" s="184">
        <f t="shared" si="5"/>
        <v>0</v>
      </c>
      <c r="G58" s="183"/>
      <c r="H58" s="181">
        <f t="shared" si="0"/>
        <v>52628</v>
      </c>
      <c r="I58" s="182">
        <f t="shared" si="6"/>
        <v>0</v>
      </c>
      <c r="J58" s="184">
        <v>0</v>
      </c>
      <c r="K58" s="182">
        <f t="shared" si="13"/>
        <v>0</v>
      </c>
      <c r="L58" s="184">
        <f t="shared" si="7"/>
        <v>0</v>
      </c>
      <c r="M58" s="183"/>
      <c r="N58" s="181">
        <f t="shared" si="1"/>
        <v>52628</v>
      </c>
      <c r="O58" s="182">
        <f t="shared" si="8"/>
        <v>260450034</v>
      </c>
      <c r="P58" s="184">
        <v>18365767</v>
      </c>
      <c r="Q58" s="182">
        <f t="shared" si="14"/>
        <v>7091679.8984349994</v>
      </c>
      <c r="R58" s="184">
        <f t="shared" si="9"/>
        <v>25457446.898435</v>
      </c>
      <c r="T58" s="181">
        <f t="shared" si="2"/>
        <v>52628</v>
      </c>
      <c r="U58" s="184">
        <f t="shared" si="3"/>
        <v>260450034</v>
      </c>
      <c r="V58" s="184">
        <f t="shared" si="10"/>
        <v>18365767</v>
      </c>
      <c r="W58" s="184">
        <f t="shared" si="11"/>
        <v>7091679.8984349994</v>
      </c>
      <c r="X58" s="184">
        <f t="shared" si="12"/>
        <v>25457446.898435</v>
      </c>
    </row>
    <row r="59" spans="2:30">
      <c r="B59" s="181">
        <v>52810</v>
      </c>
      <c r="C59" s="182">
        <f t="shared" si="4"/>
        <v>0</v>
      </c>
      <c r="D59" s="184">
        <v>0</v>
      </c>
      <c r="E59" s="182">
        <f t="shared" si="15"/>
        <v>0</v>
      </c>
      <c r="F59" s="184">
        <f t="shared" si="5"/>
        <v>0</v>
      </c>
      <c r="G59" s="183"/>
      <c r="H59" s="181">
        <f t="shared" si="0"/>
        <v>52810</v>
      </c>
      <c r="I59" s="182">
        <f t="shared" si="6"/>
        <v>0</v>
      </c>
      <c r="J59" s="184">
        <v>0</v>
      </c>
      <c r="K59" s="182">
        <f t="shared" si="13"/>
        <v>0</v>
      </c>
      <c r="L59" s="184">
        <f t="shared" si="7"/>
        <v>0</v>
      </c>
      <c r="M59" s="183"/>
      <c r="N59" s="181">
        <f t="shared" si="1"/>
        <v>52810</v>
      </c>
      <c r="O59" s="182">
        <f t="shared" si="8"/>
        <v>241617134</v>
      </c>
      <c r="P59" s="184">
        <v>18832900</v>
      </c>
      <c r="Q59" s="182">
        <f t="shared" si="14"/>
        <v>6624546.61479</v>
      </c>
      <c r="R59" s="184">
        <f t="shared" si="9"/>
        <v>25457446.61479</v>
      </c>
      <c r="T59" s="181">
        <f t="shared" si="2"/>
        <v>52810</v>
      </c>
      <c r="U59" s="184">
        <f t="shared" si="3"/>
        <v>241617134</v>
      </c>
      <c r="V59" s="184">
        <f t="shared" si="10"/>
        <v>18832900</v>
      </c>
      <c r="W59" s="184">
        <f t="shared" si="11"/>
        <v>6624546.61479</v>
      </c>
      <c r="X59" s="184">
        <f t="shared" si="12"/>
        <v>25457446.61479</v>
      </c>
    </row>
    <row r="60" spans="2:30">
      <c r="B60" s="181">
        <v>52994</v>
      </c>
      <c r="C60" s="182">
        <f t="shared" si="4"/>
        <v>0</v>
      </c>
      <c r="D60" s="184">
        <v>0</v>
      </c>
      <c r="E60" s="182">
        <f t="shared" si="15"/>
        <v>0</v>
      </c>
      <c r="F60" s="184">
        <f t="shared" si="5"/>
        <v>0</v>
      </c>
      <c r="G60" s="183"/>
      <c r="H60" s="181">
        <f t="shared" si="0"/>
        <v>52994</v>
      </c>
      <c r="I60" s="182">
        <f t="shared" si="6"/>
        <v>0</v>
      </c>
      <c r="J60" s="183">
        <v>0</v>
      </c>
      <c r="K60" s="182">
        <f t="shared" si="13"/>
        <v>0</v>
      </c>
      <c r="L60" s="184">
        <f t="shared" si="7"/>
        <v>0</v>
      </c>
      <c r="M60" s="183"/>
      <c r="N60" s="181">
        <f t="shared" si="1"/>
        <v>52994</v>
      </c>
      <c r="O60" s="182">
        <f t="shared" si="8"/>
        <v>222305219</v>
      </c>
      <c r="P60" s="184">
        <v>19311915</v>
      </c>
      <c r="Q60" s="182">
        <f t="shared" si="14"/>
        <v>6145531.8032900002</v>
      </c>
      <c r="R60" s="184">
        <f t="shared" si="9"/>
        <v>25457446.803290002</v>
      </c>
      <c r="T60" s="181">
        <f t="shared" si="2"/>
        <v>52994</v>
      </c>
      <c r="U60" s="184">
        <f t="shared" si="3"/>
        <v>222305219</v>
      </c>
      <c r="V60" s="184">
        <f t="shared" si="10"/>
        <v>19311915</v>
      </c>
      <c r="W60" s="184">
        <f t="shared" si="11"/>
        <v>6145531.8032900002</v>
      </c>
      <c r="X60" s="184">
        <f t="shared" si="12"/>
        <v>25457446.803290002</v>
      </c>
    </row>
    <row r="61" spans="2:30">
      <c r="B61" s="181">
        <v>53175</v>
      </c>
      <c r="C61" s="182">
        <f t="shared" si="4"/>
        <v>0</v>
      </c>
      <c r="D61" s="184">
        <v>0</v>
      </c>
      <c r="E61" s="182">
        <f t="shared" si="15"/>
        <v>0</v>
      </c>
      <c r="F61" s="184">
        <f t="shared" si="5"/>
        <v>0</v>
      </c>
      <c r="G61" s="183"/>
      <c r="H61" s="181">
        <f t="shared" si="0"/>
        <v>53175</v>
      </c>
      <c r="I61" s="182">
        <f t="shared" si="6"/>
        <v>0</v>
      </c>
      <c r="J61" s="183">
        <v>0</v>
      </c>
      <c r="K61" s="182">
        <f t="shared" si="13"/>
        <v>0</v>
      </c>
      <c r="L61" s="184">
        <f t="shared" si="7"/>
        <v>0</v>
      </c>
      <c r="M61" s="183"/>
      <c r="N61" s="181">
        <f t="shared" si="1"/>
        <v>53175</v>
      </c>
      <c r="O61" s="182">
        <f t="shared" si="8"/>
        <v>202502105</v>
      </c>
      <c r="P61" s="184">
        <v>19803114</v>
      </c>
      <c r="Q61" s="182">
        <f t="shared" si="14"/>
        <v>5654333.2452649996</v>
      </c>
      <c r="R61" s="184">
        <f t="shared" si="9"/>
        <v>25457447.245265</v>
      </c>
      <c r="T61" s="181">
        <f t="shared" si="2"/>
        <v>53175</v>
      </c>
      <c r="U61" s="184">
        <f t="shared" si="3"/>
        <v>202502105</v>
      </c>
      <c r="V61" s="184">
        <f t="shared" si="10"/>
        <v>19803114</v>
      </c>
      <c r="W61" s="184">
        <f t="shared" si="11"/>
        <v>5654333.2452649996</v>
      </c>
      <c r="X61" s="184">
        <f t="shared" si="12"/>
        <v>25457447.245265</v>
      </c>
    </row>
    <row r="62" spans="2:30">
      <c r="B62" s="181">
        <v>53359</v>
      </c>
      <c r="C62" s="182">
        <f t="shared" si="4"/>
        <v>0</v>
      </c>
      <c r="D62" s="184">
        <v>0</v>
      </c>
      <c r="E62" s="182">
        <f t="shared" si="15"/>
        <v>0</v>
      </c>
      <c r="F62" s="184">
        <f t="shared" si="5"/>
        <v>0</v>
      </c>
      <c r="G62" s="183"/>
      <c r="H62" s="181">
        <f t="shared" si="0"/>
        <v>53359</v>
      </c>
      <c r="I62" s="182">
        <f t="shared" si="6"/>
        <v>0</v>
      </c>
      <c r="J62" s="183">
        <v>0</v>
      </c>
      <c r="K62" s="182">
        <f t="shared" si="13"/>
        <v>0</v>
      </c>
      <c r="L62" s="184">
        <f t="shared" si="7"/>
        <v>0</v>
      </c>
      <c r="M62" s="183"/>
      <c r="N62" s="181">
        <f t="shared" si="1"/>
        <v>53359</v>
      </c>
      <c r="O62" s="182">
        <f t="shared" si="8"/>
        <v>182195299</v>
      </c>
      <c r="P62" s="184">
        <v>20306806</v>
      </c>
      <c r="Q62" s="182">
        <f t="shared" si="14"/>
        <v>5150641.0406750003</v>
      </c>
      <c r="R62" s="184">
        <f t="shared" si="9"/>
        <v>25457447.040674999</v>
      </c>
      <c r="T62" s="181">
        <f t="shared" si="2"/>
        <v>53359</v>
      </c>
      <c r="U62" s="184">
        <f t="shared" si="3"/>
        <v>182195299</v>
      </c>
      <c r="V62" s="184">
        <f t="shared" si="10"/>
        <v>20306806</v>
      </c>
      <c r="W62" s="184">
        <f t="shared" si="11"/>
        <v>5150641.0406750003</v>
      </c>
      <c r="X62" s="184">
        <f t="shared" si="12"/>
        <v>25457447.040674999</v>
      </c>
    </row>
    <row r="63" spans="2:30">
      <c r="B63" s="181">
        <v>53540</v>
      </c>
      <c r="C63" s="182">
        <f t="shared" si="4"/>
        <v>0</v>
      </c>
      <c r="D63" s="184">
        <v>0</v>
      </c>
      <c r="E63" s="182">
        <f t="shared" si="15"/>
        <v>0</v>
      </c>
      <c r="F63" s="184">
        <f t="shared" si="5"/>
        <v>0</v>
      </c>
      <c r="G63" s="183"/>
      <c r="H63" s="181">
        <f t="shared" si="0"/>
        <v>53540</v>
      </c>
      <c r="I63" s="182">
        <f t="shared" si="6"/>
        <v>0</v>
      </c>
      <c r="J63" s="183">
        <v>0</v>
      </c>
      <c r="K63" s="182">
        <f t="shared" si="13"/>
        <v>0</v>
      </c>
      <c r="L63" s="184">
        <f t="shared" si="7"/>
        <v>0</v>
      </c>
      <c r="M63" s="183"/>
      <c r="N63" s="181">
        <f t="shared" si="1"/>
        <v>53540</v>
      </c>
      <c r="O63" s="182">
        <f t="shared" si="8"/>
        <v>161371990</v>
      </c>
      <c r="P63" s="184">
        <v>20823309</v>
      </c>
      <c r="Q63" s="182">
        <f t="shared" si="14"/>
        <v>4634137.4300649995</v>
      </c>
      <c r="R63" s="184">
        <f t="shared" si="9"/>
        <v>25457446.430064999</v>
      </c>
      <c r="S63" s="183"/>
      <c r="T63" s="181">
        <f t="shared" si="2"/>
        <v>53540</v>
      </c>
      <c r="U63" s="184">
        <f t="shared" si="3"/>
        <v>161371990</v>
      </c>
      <c r="V63" s="184">
        <f t="shared" si="10"/>
        <v>20823309</v>
      </c>
      <c r="W63" s="184">
        <f t="shared" si="11"/>
        <v>4634137.4300649995</v>
      </c>
      <c r="X63" s="184">
        <f t="shared" si="12"/>
        <v>25457446.430064999</v>
      </c>
      <c r="Y63" s="183"/>
      <c r="Z63" s="183"/>
      <c r="AA63" s="183"/>
      <c r="AB63" s="183"/>
      <c r="AC63" s="183"/>
      <c r="AD63" s="183"/>
    </row>
    <row r="64" spans="2:30">
      <c r="B64" s="181">
        <v>53724</v>
      </c>
      <c r="C64" s="182">
        <f t="shared" si="4"/>
        <v>0</v>
      </c>
      <c r="D64" s="184">
        <v>0</v>
      </c>
      <c r="E64" s="182">
        <f t="shared" si="15"/>
        <v>0</v>
      </c>
      <c r="F64" s="184">
        <f t="shared" si="5"/>
        <v>0</v>
      </c>
      <c r="G64" s="183"/>
      <c r="H64" s="181">
        <f t="shared" si="0"/>
        <v>53724</v>
      </c>
      <c r="I64" s="182">
        <f t="shared" si="6"/>
        <v>0</v>
      </c>
      <c r="J64" s="183">
        <v>0</v>
      </c>
      <c r="K64" s="182">
        <f t="shared" si="13"/>
        <v>0</v>
      </c>
      <c r="L64" s="184">
        <f t="shared" si="7"/>
        <v>0</v>
      </c>
      <c r="M64" s="183"/>
      <c r="N64" s="181">
        <f t="shared" si="1"/>
        <v>53724</v>
      </c>
      <c r="O64" s="182">
        <f t="shared" si="8"/>
        <v>140019039</v>
      </c>
      <c r="P64" s="184">
        <v>21352951</v>
      </c>
      <c r="Q64" s="182">
        <f t="shared" si="14"/>
        <v>4104496.5656499998</v>
      </c>
      <c r="R64" s="184">
        <f t="shared" si="9"/>
        <v>25457447.565650001</v>
      </c>
      <c r="S64" s="183"/>
      <c r="T64" s="181">
        <f t="shared" si="2"/>
        <v>53724</v>
      </c>
      <c r="U64" s="184">
        <f t="shared" si="3"/>
        <v>140019039</v>
      </c>
      <c r="V64" s="184">
        <f t="shared" si="10"/>
        <v>21352951</v>
      </c>
      <c r="W64" s="184">
        <f t="shared" si="11"/>
        <v>4104496.5656499998</v>
      </c>
      <c r="X64" s="184">
        <f t="shared" si="12"/>
        <v>25457447.565650001</v>
      </c>
      <c r="Y64" s="183"/>
      <c r="Z64" s="183"/>
      <c r="AA64" s="183"/>
      <c r="AB64" s="183"/>
      <c r="AC64" s="183"/>
      <c r="AD64" s="183"/>
    </row>
    <row r="65" spans="2:30">
      <c r="B65" s="181">
        <v>53905</v>
      </c>
      <c r="C65" s="182">
        <f t="shared" si="4"/>
        <v>0</v>
      </c>
      <c r="D65" s="184">
        <v>0</v>
      </c>
      <c r="E65" s="182">
        <f t="shared" si="15"/>
        <v>0</v>
      </c>
      <c r="F65" s="184">
        <f t="shared" si="5"/>
        <v>0</v>
      </c>
      <c r="G65" s="183"/>
      <c r="H65" s="181">
        <f t="shared" si="0"/>
        <v>53905</v>
      </c>
      <c r="I65" s="182">
        <f t="shared" si="6"/>
        <v>0</v>
      </c>
      <c r="J65" s="183">
        <v>0</v>
      </c>
      <c r="K65" s="182">
        <f t="shared" si="13"/>
        <v>0</v>
      </c>
      <c r="L65" s="184">
        <f t="shared" si="7"/>
        <v>0</v>
      </c>
      <c r="M65" s="183"/>
      <c r="N65" s="181">
        <f t="shared" si="1"/>
        <v>53905</v>
      </c>
      <c r="O65" s="182">
        <f t="shared" si="8"/>
        <v>118122977</v>
      </c>
      <c r="P65" s="184">
        <v>21896062</v>
      </c>
      <c r="Q65" s="182">
        <f t="shared" si="14"/>
        <v>3561384.2569649997</v>
      </c>
      <c r="R65" s="184">
        <f t="shared" si="9"/>
        <v>25457446.256965</v>
      </c>
      <c r="S65" s="183"/>
      <c r="T65" s="181">
        <f t="shared" si="2"/>
        <v>53905</v>
      </c>
      <c r="U65" s="184">
        <f t="shared" si="3"/>
        <v>118122977</v>
      </c>
      <c r="V65" s="184">
        <f t="shared" si="10"/>
        <v>21896062</v>
      </c>
      <c r="W65" s="184">
        <f t="shared" si="11"/>
        <v>3561384.2569649997</v>
      </c>
      <c r="X65" s="184">
        <f t="shared" si="12"/>
        <v>25457446.256965</v>
      </c>
      <c r="Y65" s="183"/>
      <c r="Z65" s="183"/>
      <c r="AA65" s="183"/>
      <c r="AB65" s="183"/>
      <c r="AC65" s="183"/>
      <c r="AD65" s="183"/>
    </row>
    <row r="66" spans="2:30">
      <c r="B66" s="181">
        <v>54089</v>
      </c>
      <c r="C66" s="182">
        <f t="shared" si="4"/>
        <v>0</v>
      </c>
      <c r="D66" s="184">
        <v>0</v>
      </c>
      <c r="E66" s="182">
        <f t="shared" si="15"/>
        <v>0</v>
      </c>
      <c r="F66" s="184">
        <f t="shared" si="5"/>
        <v>0</v>
      </c>
      <c r="G66" s="183"/>
      <c r="H66" s="181">
        <f t="shared" si="0"/>
        <v>54089</v>
      </c>
      <c r="I66" s="182">
        <f t="shared" si="6"/>
        <v>0</v>
      </c>
      <c r="J66" s="183">
        <v>0</v>
      </c>
      <c r="K66" s="182">
        <f t="shared" si="13"/>
        <v>0</v>
      </c>
      <c r="L66" s="184">
        <f t="shared" si="7"/>
        <v>0</v>
      </c>
      <c r="M66" s="183"/>
      <c r="N66" s="181">
        <f t="shared" si="1"/>
        <v>54089</v>
      </c>
      <c r="O66" s="182">
        <f t="shared" si="8"/>
        <v>95669988</v>
      </c>
      <c r="P66" s="184">
        <v>22452989</v>
      </c>
      <c r="Q66" s="182">
        <f t="shared" si="14"/>
        <v>3004457.9199950001</v>
      </c>
      <c r="R66" s="184">
        <f t="shared" si="9"/>
        <v>25457446.919994999</v>
      </c>
      <c r="S66" s="183"/>
      <c r="T66" s="181">
        <f t="shared" si="2"/>
        <v>54089</v>
      </c>
      <c r="U66" s="184">
        <f t="shared" ref="U66:U80" si="16">C66+I66+O66</f>
        <v>95669988</v>
      </c>
      <c r="V66" s="184">
        <f t="shared" si="10"/>
        <v>22452989</v>
      </c>
      <c r="W66" s="184">
        <f t="shared" si="11"/>
        <v>3004457.9199950001</v>
      </c>
      <c r="X66" s="184">
        <f t="shared" si="12"/>
        <v>25457446.919994999</v>
      </c>
      <c r="Y66" s="183"/>
      <c r="Z66" s="183"/>
      <c r="AA66" s="183"/>
      <c r="AB66" s="183"/>
      <c r="AC66" s="183"/>
      <c r="AD66" s="183"/>
    </row>
    <row r="67" spans="2:30">
      <c r="B67" s="181">
        <v>54271</v>
      </c>
      <c r="C67" s="182">
        <f t="shared" si="4"/>
        <v>0</v>
      </c>
      <c r="D67" s="184">
        <v>0</v>
      </c>
      <c r="E67" s="182">
        <f t="shared" si="15"/>
        <v>0</v>
      </c>
      <c r="F67" s="184">
        <f t="shared" si="5"/>
        <v>0</v>
      </c>
      <c r="G67" s="183"/>
      <c r="H67" s="181">
        <f t="shared" si="0"/>
        <v>54271</v>
      </c>
      <c r="I67" s="182">
        <f t="shared" si="6"/>
        <v>0</v>
      </c>
      <c r="J67" s="183">
        <v>0</v>
      </c>
      <c r="K67" s="182">
        <f t="shared" si="13"/>
        <v>0</v>
      </c>
      <c r="L67" s="184">
        <f t="shared" si="7"/>
        <v>0</v>
      </c>
      <c r="M67" s="183"/>
      <c r="N67" s="181">
        <f t="shared" si="1"/>
        <v>54271</v>
      </c>
      <c r="O67" s="182">
        <f t="shared" si="8"/>
        <v>72645907</v>
      </c>
      <c r="P67" s="184">
        <v>23024081</v>
      </c>
      <c r="Q67" s="182">
        <f t="shared" si="14"/>
        <v>2433366.1447799997</v>
      </c>
      <c r="R67" s="184">
        <f t="shared" si="9"/>
        <v>25457447.144779999</v>
      </c>
      <c r="S67" s="183"/>
      <c r="T67" s="181">
        <f t="shared" si="2"/>
        <v>54271</v>
      </c>
      <c r="U67" s="184">
        <f t="shared" si="16"/>
        <v>72645907</v>
      </c>
      <c r="V67" s="184">
        <f t="shared" si="10"/>
        <v>23024081</v>
      </c>
      <c r="W67" s="184">
        <f t="shared" si="11"/>
        <v>2433366.1447799997</v>
      </c>
      <c r="X67" s="184">
        <f t="shared" si="12"/>
        <v>25457447.144779999</v>
      </c>
      <c r="Y67" s="183"/>
      <c r="Z67" s="183"/>
      <c r="AA67" s="183"/>
      <c r="AB67" s="183"/>
      <c r="AC67" s="183"/>
      <c r="AD67" s="183"/>
    </row>
    <row r="68" spans="2:30">
      <c r="B68" s="181">
        <v>54455</v>
      </c>
      <c r="C68" s="182">
        <f t="shared" si="4"/>
        <v>0</v>
      </c>
      <c r="D68" s="184">
        <v>0</v>
      </c>
      <c r="E68" s="182">
        <f t="shared" si="15"/>
        <v>0</v>
      </c>
      <c r="F68" s="184">
        <f t="shared" si="5"/>
        <v>0</v>
      </c>
      <c r="G68" s="183"/>
      <c r="H68" s="181">
        <f t="shared" si="0"/>
        <v>54455</v>
      </c>
      <c r="I68" s="182">
        <f t="shared" si="6"/>
        <v>0</v>
      </c>
      <c r="J68" s="183">
        <v>0</v>
      </c>
      <c r="K68" s="182">
        <f t="shared" si="13"/>
        <v>0</v>
      </c>
      <c r="L68" s="184">
        <f t="shared" si="7"/>
        <v>0</v>
      </c>
      <c r="M68" s="183"/>
      <c r="N68" s="181">
        <f t="shared" si="1"/>
        <v>54455</v>
      </c>
      <c r="O68" s="182">
        <f t="shared" si="8"/>
        <v>49036209</v>
      </c>
      <c r="P68" s="184">
        <v>23609698</v>
      </c>
      <c r="Q68" s="182">
        <f t="shared" si="14"/>
        <v>1847748.644545</v>
      </c>
      <c r="R68" s="184">
        <f t="shared" si="9"/>
        <v>25457446.644545</v>
      </c>
      <c r="S68" s="183"/>
      <c r="T68" s="181">
        <f t="shared" si="2"/>
        <v>54455</v>
      </c>
      <c r="U68" s="184">
        <f t="shared" si="16"/>
        <v>49036209</v>
      </c>
      <c r="V68" s="184">
        <f t="shared" si="10"/>
        <v>23609698</v>
      </c>
      <c r="W68" s="184">
        <f t="shared" si="11"/>
        <v>1847748.644545</v>
      </c>
      <c r="X68" s="184">
        <f t="shared" si="12"/>
        <v>25457446.644545</v>
      </c>
      <c r="Y68" s="183"/>
      <c r="Z68" s="183"/>
      <c r="AA68" s="183"/>
      <c r="AB68" s="183"/>
      <c r="AC68" s="183"/>
      <c r="AD68" s="183"/>
    </row>
    <row r="69" spans="2:30">
      <c r="B69" s="181">
        <v>54636</v>
      </c>
      <c r="C69" s="182">
        <f t="shared" si="4"/>
        <v>0</v>
      </c>
      <c r="D69" s="184">
        <v>0</v>
      </c>
      <c r="E69" s="182">
        <f t="shared" si="15"/>
        <v>0</v>
      </c>
      <c r="F69" s="184">
        <f t="shared" si="5"/>
        <v>0</v>
      </c>
      <c r="G69" s="183"/>
      <c r="H69" s="181">
        <f t="shared" si="0"/>
        <v>54636</v>
      </c>
      <c r="I69" s="182">
        <f t="shared" si="6"/>
        <v>0</v>
      </c>
      <c r="J69" s="183">
        <v>0</v>
      </c>
      <c r="K69" s="182">
        <f t="shared" si="13"/>
        <v>0</v>
      </c>
      <c r="L69" s="184">
        <f t="shared" si="7"/>
        <v>0</v>
      </c>
      <c r="M69" s="183"/>
      <c r="N69" s="181">
        <f t="shared" si="1"/>
        <v>54636</v>
      </c>
      <c r="O69" s="182">
        <f t="shared" si="8"/>
        <v>24825998</v>
      </c>
      <c r="P69" s="184">
        <v>24210211</v>
      </c>
      <c r="Q69" s="182">
        <f t="shared" si="14"/>
        <v>1247235.9759150001</v>
      </c>
      <c r="R69" s="184">
        <f t="shared" si="9"/>
        <v>25457446.975915</v>
      </c>
      <c r="S69" s="183"/>
      <c r="T69" s="181">
        <f t="shared" si="2"/>
        <v>54636</v>
      </c>
      <c r="U69" s="184">
        <f t="shared" si="16"/>
        <v>24825998</v>
      </c>
      <c r="V69" s="184">
        <f t="shared" si="10"/>
        <v>24210211</v>
      </c>
      <c r="W69" s="184">
        <f t="shared" si="11"/>
        <v>1247235.9759150001</v>
      </c>
      <c r="X69" s="184">
        <f t="shared" si="12"/>
        <v>25457446.975915</v>
      </c>
      <c r="Y69" s="183"/>
      <c r="Z69" s="183"/>
      <c r="AA69" s="183"/>
      <c r="AB69" s="183"/>
      <c r="AC69" s="183"/>
      <c r="AD69" s="183"/>
    </row>
    <row r="70" spans="2:30">
      <c r="B70" s="181">
        <v>54820</v>
      </c>
      <c r="C70" s="182">
        <f t="shared" si="4"/>
        <v>0</v>
      </c>
      <c r="D70" s="184">
        <v>0</v>
      </c>
      <c r="E70" s="182">
        <f t="shared" si="15"/>
        <v>0</v>
      </c>
      <c r="F70" s="184">
        <f t="shared" si="5"/>
        <v>0</v>
      </c>
      <c r="G70" s="183"/>
      <c r="H70" s="181">
        <f t="shared" si="0"/>
        <v>54820</v>
      </c>
      <c r="I70" s="182">
        <f t="shared" si="6"/>
        <v>0</v>
      </c>
      <c r="J70" s="183">
        <v>0</v>
      </c>
      <c r="K70" s="182">
        <f t="shared" si="13"/>
        <v>0</v>
      </c>
      <c r="L70" s="184">
        <f t="shared" si="7"/>
        <v>0</v>
      </c>
      <c r="M70" s="183"/>
      <c r="N70" s="181">
        <f t="shared" si="1"/>
        <v>54820</v>
      </c>
      <c r="O70" s="182">
        <f t="shared" si="8"/>
        <v>0</v>
      </c>
      <c r="P70" s="184">
        <v>24825998</v>
      </c>
      <c r="Q70" s="182">
        <f t="shared" si="14"/>
        <v>631449.25913000002</v>
      </c>
      <c r="R70" s="184">
        <f t="shared" si="9"/>
        <v>25457447.259130001</v>
      </c>
      <c r="S70" s="183"/>
      <c r="T70" s="181">
        <f t="shared" si="2"/>
        <v>54820</v>
      </c>
      <c r="U70" s="184">
        <f t="shared" si="16"/>
        <v>0</v>
      </c>
      <c r="V70" s="184">
        <f t="shared" si="10"/>
        <v>24825998</v>
      </c>
      <c r="W70" s="184">
        <f t="shared" si="11"/>
        <v>631449.25913000002</v>
      </c>
      <c r="X70" s="184">
        <f t="shared" si="12"/>
        <v>25457447.259130001</v>
      </c>
      <c r="Y70" s="183"/>
      <c r="Z70" s="183"/>
      <c r="AA70" s="183"/>
      <c r="AB70" s="183"/>
      <c r="AC70" s="183"/>
      <c r="AD70" s="183"/>
    </row>
    <row r="71" spans="2:30">
      <c r="B71" s="181">
        <v>55001</v>
      </c>
      <c r="C71" s="182">
        <f t="shared" si="4"/>
        <v>0</v>
      </c>
      <c r="D71" s="184">
        <v>0</v>
      </c>
      <c r="E71" s="182">
        <f t="shared" si="15"/>
        <v>0</v>
      </c>
      <c r="F71" s="184">
        <f t="shared" si="5"/>
        <v>0</v>
      </c>
      <c r="G71" s="183"/>
      <c r="H71" s="181">
        <f t="shared" si="0"/>
        <v>55001</v>
      </c>
      <c r="I71" s="182">
        <f t="shared" si="6"/>
        <v>0</v>
      </c>
      <c r="J71" s="183">
        <v>0</v>
      </c>
      <c r="K71" s="182">
        <f t="shared" si="13"/>
        <v>0</v>
      </c>
      <c r="L71" s="184">
        <f t="shared" si="7"/>
        <v>0</v>
      </c>
      <c r="M71" s="183"/>
      <c r="N71" s="181">
        <f t="shared" si="1"/>
        <v>55001</v>
      </c>
      <c r="O71" s="182">
        <f t="shared" si="8"/>
        <v>-1.3075768947601318E-6</v>
      </c>
      <c r="P71" s="184">
        <v>1.3075768947601318E-6</v>
      </c>
      <c r="Q71" s="182">
        <f t="shared" si="14"/>
        <v>0</v>
      </c>
      <c r="R71" s="184">
        <f t="shared" si="9"/>
        <v>1.3075768947601318E-6</v>
      </c>
      <c r="S71" s="183"/>
      <c r="T71" s="181">
        <f t="shared" si="2"/>
        <v>55001</v>
      </c>
      <c r="U71" s="184">
        <f t="shared" si="16"/>
        <v>-1.3075768947601318E-6</v>
      </c>
      <c r="V71" s="184">
        <f t="shared" si="10"/>
        <v>1.3075768947601318E-6</v>
      </c>
      <c r="W71" s="184">
        <f t="shared" si="11"/>
        <v>0</v>
      </c>
      <c r="X71" s="184">
        <f t="shared" si="12"/>
        <v>1.3075768947601318E-6</v>
      </c>
      <c r="Y71" s="183"/>
      <c r="Z71" s="183"/>
      <c r="AA71" s="183"/>
      <c r="AB71" s="183"/>
      <c r="AC71" s="183"/>
      <c r="AD71" s="183"/>
    </row>
    <row r="72" spans="2:30">
      <c r="B72" s="181">
        <v>55185</v>
      </c>
      <c r="C72" s="182">
        <f t="shared" si="4"/>
        <v>0</v>
      </c>
      <c r="D72" s="184">
        <v>0</v>
      </c>
      <c r="E72" s="182">
        <f t="shared" si="15"/>
        <v>0</v>
      </c>
      <c r="F72" s="184">
        <f t="shared" si="5"/>
        <v>0</v>
      </c>
      <c r="G72" s="183"/>
      <c r="H72" s="181">
        <f t="shared" si="0"/>
        <v>55185</v>
      </c>
      <c r="I72" s="182">
        <f t="shared" si="6"/>
        <v>0</v>
      </c>
      <c r="J72" s="183">
        <v>0</v>
      </c>
      <c r="K72" s="182">
        <f t="shared" si="13"/>
        <v>0</v>
      </c>
      <c r="L72" s="184">
        <f t="shared" si="7"/>
        <v>0</v>
      </c>
      <c r="M72" s="183"/>
      <c r="N72" s="181">
        <f t="shared" si="1"/>
        <v>55185</v>
      </c>
      <c r="O72" s="182">
        <f t="shared" si="8"/>
        <v>-1.3075768947601318E-6</v>
      </c>
      <c r="P72" s="184">
        <v>0</v>
      </c>
      <c r="Q72" s="182">
        <f t="shared" si="14"/>
        <v>-3.3258218318223954E-8</v>
      </c>
      <c r="R72" s="184">
        <f t="shared" si="9"/>
        <v>-3.3258218318223954E-8</v>
      </c>
      <c r="S72" s="183"/>
      <c r="T72" s="181">
        <f t="shared" si="2"/>
        <v>55185</v>
      </c>
      <c r="U72" s="184">
        <f t="shared" si="16"/>
        <v>-1.3075768947601318E-6</v>
      </c>
      <c r="V72" s="184">
        <f t="shared" si="10"/>
        <v>0</v>
      </c>
      <c r="W72" s="184">
        <f t="shared" si="11"/>
        <v>-3.3258218318223954E-8</v>
      </c>
      <c r="X72" s="184">
        <f t="shared" si="12"/>
        <v>-3.3258218318223954E-8</v>
      </c>
      <c r="Y72" s="183"/>
      <c r="Z72" s="183"/>
      <c r="AA72" s="183"/>
      <c r="AB72" s="183"/>
      <c r="AC72" s="183"/>
      <c r="AD72" s="183"/>
    </row>
    <row r="73" spans="2:30">
      <c r="B73" s="181">
        <v>55366</v>
      </c>
      <c r="C73" s="182">
        <f t="shared" si="4"/>
        <v>0</v>
      </c>
      <c r="D73" s="184">
        <v>0</v>
      </c>
      <c r="E73" s="182">
        <f t="shared" si="15"/>
        <v>0</v>
      </c>
      <c r="F73" s="184">
        <f t="shared" si="5"/>
        <v>0</v>
      </c>
      <c r="G73" s="183"/>
      <c r="H73" s="181">
        <f t="shared" si="0"/>
        <v>55366</v>
      </c>
      <c r="I73" s="182">
        <f t="shared" si="6"/>
        <v>0</v>
      </c>
      <c r="J73" s="183">
        <v>0</v>
      </c>
      <c r="K73" s="182">
        <f t="shared" si="13"/>
        <v>0</v>
      </c>
      <c r="L73" s="184">
        <f t="shared" si="7"/>
        <v>0</v>
      </c>
      <c r="M73" s="183"/>
      <c r="N73" s="181">
        <f t="shared" si="1"/>
        <v>55366</v>
      </c>
      <c r="O73" s="182">
        <f t="shared" si="8"/>
        <v>-1.3075768947601318E-6</v>
      </c>
      <c r="P73" s="184">
        <v>0</v>
      </c>
      <c r="Q73" s="182">
        <f t="shared" si="14"/>
        <v>-3.3258218318223954E-8</v>
      </c>
      <c r="R73" s="184">
        <f t="shared" si="9"/>
        <v>-3.3258218318223954E-8</v>
      </c>
      <c r="S73" s="183"/>
      <c r="T73" s="181">
        <f t="shared" si="2"/>
        <v>55366</v>
      </c>
      <c r="U73" s="184">
        <f t="shared" si="16"/>
        <v>-1.3075768947601318E-6</v>
      </c>
      <c r="V73" s="184">
        <f t="shared" si="10"/>
        <v>0</v>
      </c>
      <c r="W73" s="184">
        <f t="shared" si="11"/>
        <v>-3.3258218318223954E-8</v>
      </c>
      <c r="X73" s="184">
        <f t="shared" si="12"/>
        <v>-3.3258218318223954E-8</v>
      </c>
      <c r="Y73" s="183"/>
      <c r="Z73" s="183"/>
      <c r="AA73" s="183"/>
      <c r="AB73" s="183"/>
      <c r="AC73" s="183"/>
      <c r="AD73" s="183"/>
    </row>
    <row r="74" spans="2:30">
      <c r="B74" s="181">
        <v>55550</v>
      </c>
      <c r="C74" s="182">
        <f t="shared" si="4"/>
        <v>0</v>
      </c>
      <c r="D74" s="184">
        <v>0</v>
      </c>
      <c r="E74" s="182">
        <f t="shared" si="15"/>
        <v>0</v>
      </c>
      <c r="F74" s="184">
        <f t="shared" si="5"/>
        <v>0</v>
      </c>
      <c r="G74" s="183"/>
      <c r="H74" s="181">
        <f t="shared" si="0"/>
        <v>55550</v>
      </c>
      <c r="I74" s="182">
        <f t="shared" si="6"/>
        <v>0</v>
      </c>
      <c r="J74" s="183">
        <v>0</v>
      </c>
      <c r="K74" s="182">
        <f t="shared" si="13"/>
        <v>0</v>
      </c>
      <c r="L74" s="184">
        <f t="shared" si="7"/>
        <v>0</v>
      </c>
      <c r="M74" s="183"/>
      <c r="N74" s="181">
        <f t="shared" si="1"/>
        <v>55550</v>
      </c>
      <c r="O74" s="182">
        <f t="shared" si="8"/>
        <v>-1.3075768947601318E-6</v>
      </c>
      <c r="P74" s="184">
        <v>0</v>
      </c>
      <c r="Q74" s="182">
        <f t="shared" si="14"/>
        <v>-3.3258218318223954E-8</v>
      </c>
      <c r="R74" s="184">
        <f t="shared" si="9"/>
        <v>-3.3258218318223954E-8</v>
      </c>
      <c r="S74" s="183"/>
      <c r="T74" s="181">
        <f t="shared" si="2"/>
        <v>55550</v>
      </c>
      <c r="U74" s="184">
        <f t="shared" si="16"/>
        <v>-1.3075768947601318E-6</v>
      </c>
      <c r="V74" s="184">
        <f t="shared" si="10"/>
        <v>0</v>
      </c>
      <c r="W74" s="184">
        <f t="shared" si="11"/>
        <v>-3.3258218318223954E-8</v>
      </c>
      <c r="X74" s="184">
        <f t="shared" si="12"/>
        <v>-3.3258218318223954E-8</v>
      </c>
      <c r="Y74" s="183"/>
      <c r="Z74" s="183"/>
      <c r="AA74" s="183"/>
      <c r="AB74" s="183"/>
      <c r="AC74" s="183"/>
      <c r="AD74" s="183"/>
    </row>
    <row r="75" spans="2:30">
      <c r="B75" s="181">
        <v>55732</v>
      </c>
      <c r="C75" s="182">
        <f t="shared" si="4"/>
        <v>0</v>
      </c>
      <c r="D75" s="184">
        <v>0</v>
      </c>
      <c r="E75" s="182">
        <f t="shared" si="15"/>
        <v>0</v>
      </c>
      <c r="F75" s="184">
        <f t="shared" si="5"/>
        <v>0</v>
      </c>
      <c r="G75" s="183"/>
      <c r="H75" s="181">
        <f t="shared" si="0"/>
        <v>55732</v>
      </c>
      <c r="I75" s="182">
        <f t="shared" si="6"/>
        <v>0</v>
      </c>
      <c r="J75" s="183">
        <v>0</v>
      </c>
      <c r="K75" s="182">
        <f t="shared" si="13"/>
        <v>0</v>
      </c>
      <c r="L75" s="184">
        <f t="shared" si="7"/>
        <v>0</v>
      </c>
      <c r="M75" s="183"/>
      <c r="N75" s="181">
        <f t="shared" si="1"/>
        <v>55732</v>
      </c>
      <c r="O75" s="182">
        <f t="shared" si="8"/>
        <v>-1.3075768947601318E-6</v>
      </c>
      <c r="P75" s="184">
        <v>0</v>
      </c>
      <c r="Q75" s="182">
        <f t="shared" si="14"/>
        <v>-3.3258218318223954E-8</v>
      </c>
      <c r="R75" s="184">
        <f t="shared" si="9"/>
        <v>-3.3258218318223954E-8</v>
      </c>
      <c r="S75" s="183"/>
      <c r="T75" s="181">
        <f t="shared" si="2"/>
        <v>55732</v>
      </c>
      <c r="U75" s="184">
        <f t="shared" si="16"/>
        <v>-1.3075768947601318E-6</v>
      </c>
      <c r="V75" s="184">
        <f t="shared" si="10"/>
        <v>0</v>
      </c>
      <c r="W75" s="184">
        <f t="shared" si="11"/>
        <v>-3.3258218318223954E-8</v>
      </c>
      <c r="X75" s="184">
        <f t="shared" si="12"/>
        <v>-3.3258218318223954E-8</v>
      </c>
      <c r="Y75" s="183"/>
      <c r="Z75" s="183"/>
      <c r="AA75" s="183"/>
      <c r="AB75" s="183"/>
      <c r="AC75" s="183"/>
      <c r="AD75" s="183"/>
    </row>
    <row r="76" spans="2:30">
      <c r="B76" s="181">
        <v>55916</v>
      </c>
      <c r="C76" s="182">
        <f t="shared" si="4"/>
        <v>0</v>
      </c>
      <c r="D76" s="184">
        <v>0</v>
      </c>
      <c r="E76" s="182">
        <f t="shared" si="15"/>
        <v>0</v>
      </c>
      <c r="F76" s="184">
        <f t="shared" si="5"/>
        <v>0</v>
      </c>
      <c r="G76" s="183"/>
      <c r="H76" s="181">
        <f t="shared" si="0"/>
        <v>55916</v>
      </c>
      <c r="I76" s="182">
        <f t="shared" si="6"/>
        <v>0</v>
      </c>
      <c r="J76" s="183">
        <v>0</v>
      </c>
      <c r="K76" s="182">
        <f t="shared" si="13"/>
        <v>0</v>
      </c>
      <c r="L76" s="184">
        <f t="shared" si="7"/>
        <v>0</v>
      </c>
      <c r="M76" s="183"/>
      <c r="N76" s="181">
        <f t="shared" si="1"/>
        <v>55916</v>
      </c>
      <c r="O76" s="182">
        <f t="shared" si="8"/>
        <v>-1.3075768947601318E-6</v>
      </c>
      <c r="P76" s="184">
        <v>0</v>
      </c>
      <c r="Q76" s="182">
        <f t="shared" si="14"/>
        <v>-3.3258218318223954E-8</v>
      </c>
      <c r="R76" s="184">
        <f t="shared" si="9"/>
        <v>-3.3258218318223954E-8</v>
      </c>
      <c r="S76" s="183"/>
      <c r="T76" s="181">
        <f t="shared" si="2"/>
        <v>55916</v>
      </c>
      <c r="U76" s="184">
        <f t="shared" si="16"/>
        <v>-1.3075768947601318E-6</v>
      </c>
      <c r="V76" s="184">
        <f t="shared" si="10"/>
        <v>0</v>
      </c>
      <c r="W76" s="184">
        <f t="shared" si="11"/>
        <v>-3.3258218318223954E-8</v>
      </c>
      <c r="X76" s="184">
        <f t="shared" si="12"/>
        <v>-3.3258218318223954E-8</v>
      </c>
      <c r="Y76" s="183"/>
      <c r="Z76" s="183"/>
      <c r="AA76" s="183"/>
      <c r="AB76" s="183"/>
      <c r="AC76" s="183"/>
      <c r="AD76" s="183"/>
    </row>
    <row r="77" spans="2:30">
      <c r="B77" s="181">
        <v>56097</v>
      </c>
      <c r="C77" s="182">
        <f t="shared" si="4"/>
        <v>0</v>
      </c>
      <c r="D77" s="184">
        <v>0</v>
      </c>
      <c r="E77" s="182">
        <f t="shared" si="15"/>
        <v>0</v>
      </c>
      <c r="F77" s="184">
        <f t="shared" si="5"/>
        <v>0</v>
      </c>
      <c r="G77" s="183"/>
      <c r="H77" s="181">
        <f t="shared" si="0"/>
        <v>56097</v>
      </c>
      <c r="I77" s="182">
        <f t="shared" si="6"/>
        <v>0</v>
      </c>
      <c r="J77" s="183">
        <v>0</v>
      </c>
      <c r="K77" s="182">
        <f t="shared" si="13"/>
        <v>0</v>
      </c>
      <c r="L77" s="184">
        <f t="shared" si="7"/>
        <v>0</v>
      </c>
      <c r="M77" s="183"/>
      <c r="N77" s="181">
        <f t="shared" si="1"/>
        <v>56097</v>
      </c>
      <c r="O77" s="182">
        <f t="shared" si="8"/>
        <v>-1.3075768947601318E-6</v>
      </c>
      <c r="P77" s="184">
        <v>0</v>
      </c>
      <c r="Q77" s="182">
        <f t="shared" si="14"/>
        <v>-3.3258218318223954E-8</v>
      </c>
      <c r="R77" s="184">
        <f t="shared" si="9"/>
        <v>-3.3258218318223954E-8</v>
      </c>
      <c r="S77" s="183"/>
      <c r="T77" s="181">
        <f t="shared" si="2"/>
        <v>56097</v>
      </c>
      <c r="U77" s="184">
        <f t="shared" si="16"/>
        <v>-1.3075768947601318E-6</v>
      </c>
      <c r="V77" s="184">
        <f t="shared" si="10"/>
        <v>0</v>
      </c>
      <c r="W77" s="184">
        <f t="shared" si="11"/>
        <v>-3.3258218318223954E-8</v>
      </c>
      <c r="X77" s="184">
        <f t="shared" si="12"/>
        <v>-3.3258218318223954E-8</v>
      </c>
      <c r="Y77" s="183"/>
      <c r="Z77" s="183"/>
      <c r="AA77" s="183"/>
      <c r="AB77" s="183"/>
      <c r="AC77" s="183"/>
      <c r="AD77" s="183"/>
    </row>
    <row r="78" spans="2:30">
      <c r="B78" s="181">
        <v>56281</v>
      </c>
      <c r="C78" s="182">
        <f t="shared" si="4"/>
        <v>0</v>
      </c>
      <c r="D78" s="184">
        <v>0</v>
      </c>
      <c r="E78" s="182">
        <f t="shared" si="15"/>
        <v>0</v>
      </c>
      <c r="F78" s="184">
        <f t="shared" si="5"/>
        <v>0</v>
      </c>
      <c r="G78" s="183"/>
      <c r="H78" s="181">
        <f t="shared" si="0"/>
        <v>56281</v>
      </c>
      <c r="I78" s="182">
        <f t="shared" si="6"/>
        <v>0</v>
      </c>
      <c r="J78" s="183">
        <v>0</v>
      </c>
      <c r="K78" s="182">
        <f t="shared" si="13"/>
        <v>0</v>
      </c>
      <c r="L78" s="184">
        <f t="shared" si="7"/>
        <v>0</v>
      </c>
      <c r="M78" s="183"/>
      <c r="N78" s="181">
        <f t="shared" si="1"/>
        <v>56281</v>
      </c>
      <c r="O78" s="182">
        <f t="shared" si="8"/>
        <v>-1.3075768947601318E-6</v>
      </c>
      <c r="P78" s="184">
        <v>0</v>
      </c>
      <c r="Q78" s="182">
        <f t="shared" si="14"/>
        <v>-3.3258218318223954E-8</v>
      </c>
      <c r="R78" s="184">
        <f t="shared" si="9"/>
        <v>-3.3258218318223954E-8</v>
      </c>
      <c r="S78" s="183"/>
      <c r="T78" s="181">
        <f t="shared" si="2"/>
        <v>56281</v>
      </c>
      <c r="U78" s="184">
        <f t="shared" si="16"/>
        <v>-1.3075768947601318E-6</v>
      </c>
      <c r="V78" s="184">
        <f t="shared" si="10"/>
        <v>0</v>
      </c>
      <c r="W78" s="184">
        <f t="shared" si="11"/>
        <v>-3.3258218318223954E-8</v>
      </c>
      <c r="X78" s="184">
        <f t="shared" si="12"/>
        <v>-3.3258218318223954E-8</v>
      </c>
      <c r="Y78" s="183"/>
      <c r="Z78" s="183"/>
      <c r="AA78" s="183"/>
      <c r="AB78" s="183"/>
      <c r="AC78" s="183"/>
      <c r="AD78" s="183"/>
    </row>
    <row r="79" spans="2:30">
      <c r="B79" s="181">
        <v>56462</v>
      </c>
      <c r="C79" s="182">
        <f t="shared" si="4"/>
        <v>0</v>
      </c>
      <c r="D79" s="184">
        <v>0</v>
      </c>
      <c r="E79" s="182">
        <f t="shared" si="15"/>
        <v>0</v>
      </c>
      <c r="F79" s="184">
        <f t="shared" si="5"/>
        <v>0</v>
      </c>
      <c r="G79" s="183"/>
      <c r="H79" s="181">
        <f t="shared" si="0"/>
        <v>56462</v>
      </c>
      <c r="I79" s="182">
        <f t="shared" si="6"/>
        <v>0</v>
      </c>
      <c r="J79" s="183">
        <v>0</v>
      </c>
      <c r="K79" s="182">
        <f t="shared" si="13"/>
        <v>0</v>
      </c>
      <c r="L79" s="184">
        <f t="shared" si="7"/>
        <v>0</v>
      </c>
      <c r="M79" s="183"/>
      <c r="N79" s="181">
        <f t="shared" si="1"/>
        <v>56462</v>
      </c>
      <c r="O79" s="182">
        <f t="shared" si="8"/>
        <v>-1.3075768947601318E-6</v>
      </c>
      <c r="P79" s="184">
        <v>0</v>
      </c>
      <c r="Q79" s="182">
        <f t="shared" si="14"/>
        <v>-3.3258218318223954E-8</v>
      </c>
      <c r="R79" s="184">
        <f t="shared" si="9"/>
        <v>-3.3258218318223954E-8</v>
      </c>
      <c r="S79" s="183"/>
      <c r="T79" s="181">
        <f t="shared" si="2"/>
        <v>56462</v>
      </c>
      <c r="U79" s="184">
        <f t="shared" si="16"/>
        <v>-1.3075768947601318E-6</v>
      </c>
      <c r="V79" s="184">
        <f t="shared" si="10"/>
        <v>0</v>
      </c>
      <c r="W79" s="184">
        <f t="shared" si="11"/>
        <v>-3.3258218318223954E-8</v>
      </c>
      <c r="X79" s="184">
        <f t="shared" si="12"/>
        <v>-3.3258218318223954E-8</v>
      </c>
      <c r="Y79" s="183"/>
      <c r="Z79" s="183"/>
      <c r="AA79" s="183"/>
      <c r="AB79" s="183"/>
      <c r="AC79" s="183"/>
      <c r="AD79" s="183"/>
    </row>
    <row r="80" spans="2:30">
      <c r="B80" s="181">
        <v>56646</v>
      </c>
      <c r="C80" s="182">
        <f t="shared" si="4"/>
        <v>0</v>
      </c>
      <c r="D80" s="184">
        <v>0</v>
      </c>
      <c r="E80" s="182">
        <f t="shared" si="15"/>
        <v>0</v>
      </c>
      <c r="F80" s="184">
        <f t="shared" si="5"/>
        <v>0</v>
      </c>
      <c r="G80" s="183"/>
      <c r="H80" s="181">
        <f t="shared" ref="H80" si="17">B80</f>
        <v>56646</v>
      </c>
      <c r="I80" s="182">
        <f t="shared" si="6"/>
        <v>0</v>
      </c>
      <c r="J80" s="183">
        <v>0</v>
      </c>
      <c r="K80" s="182">
        <f t="shared" si="13"/>
        <v>0</v>
      </c>
      <c r="L80" s="184">
        <f t="shared" si="7"/>
        <v>0</v>
      </c>
      <c r="M80" s="183"/>
      <c r="N80" s="181">
        <f t="shared" ref="N80" si="18">H80</f>
        <v>56646</v>
      </c>
      <c r="O80" s="182">
        <f t="shared" si="8"/>
        <v>-1.3075768947601318E-6</v>
      </c>
      <c r="P80" s="184">
        <v>0</v>
      </c>
      <c r="Q80" s="182">
        <f t="shared" si="14"/>
        <v>-3.3258218318223954E-8</v>
      </c>
      <c r="R80" s="184">
        <f t="shared" si="9"/>
        <v>-3.3258218318223954E-8</v>
      </c>
      <c r="S80" s="183"/>
      <c r="T80" s="181">
        <f t="shared" ref="T80" si="19">N80</f>
        <v>56646</v>
      </c>
      <c r="U80" s="184">
        <f t="shared" si="16"/>
        <v>-1.3075768947601318E-6</v>
      </c>
      <c r="V80" s="184">
        <f t="shared" si="10"/>
        <v>0</v>
      </c>
      <c r="W80" s="184">
        <f t="shared" si="11"/>
        <v>-3.3258218318223954E-8</v>
      </c>
      <c r="X80" s="184">
        <f t="shared" si="12"/>
        <v>-3.3258218318223954E-8</v>
      </c>
      <c r="Y80" s="183"/>
      <c r="Z80" s="183"/>
      <c r="AA80" s="183"/>
      <c r="AB80" s="183"/>
      <c r="AC80" s="183"/>
      <c r="AD80" s="183"/>
    </row>
    <row r="81" spans="2:30">
      <c r="B81" s="181"/>
      <c r="C81" s="183"/>
      <c r="D81" s="183"/>
      <c r="E81" s="183"/>
      <c r="F81" s="184"/>
      <c r="G81" s="183"/>
      <c r="H81" s="181"/>
      <c r="I81" s="183"/>
      <c r="J81" s="183"/>
      <c r="K81" s="183"/>
      <c r="L81" s="184"/>
      <c r="M81" s="183"/>
      <c r="N81" s="181"/>
      <c r="O81" s="183"/>
      <c r="P81" s="183"/>
      <c r="Q81" s="183"/>
      <c r="R81" s="184"/>
      <c r="S81" s="183"/>
      <c r="T81" s="181"/>
      <c r="U81" s="183"/>
      <c r="V81" s="183"/>
      <c r="W81" s="184"/>
      <c r="X81" s="183"/>
      <c r="Y81" s="183"/>
      <c r="Z81" s="183"/>
      <c r="AA81" s="183"/>
      <c r="AB81" s="183"/>
      <c r="AC81" s="183"/>
      <c r="AD81" s="183"/>
    </row>
    <row r="82" spans="2:30">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row>
    <row r="83" spans="2:30">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row>
    <row r="84" spans="2:30">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row>
    <row r="85" spans="2:30">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row>
    <row r="86" spans="2:30">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row>
    <row r="87" spans="2:30">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row>
    <row r="88" spans="2:30">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row>
    <row r="89" spans="2:30">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row>
    <row r="90" spans="2:30">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row>
    <row r="91" spans="2:30">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row>
    <row r="92" spans="2:30">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row>
    <row r="93" spans="2:30">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row>
    <row r="94" spans="2:30">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row>
    <row r="95" spans="2:30">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row>
    <row r="96" spans="2:30">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row>
    <row r="97" spans="2:30">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row>
    <row r="98" spans="2:30">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row>
    <row r="99" spans="2:30">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row>
    <row r="100" spans="2:30">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row>
    <row r="101" spans="2:30">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row>
    <row r="102" spans="2:30">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row>
    <row r="103" spans="2:30">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row>
    <row r="104" spans="2:30">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row>
    <row r="105" spans="2:30">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row>
    <row r="106" spans="2:30">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row>
    <row r="107" spans="2:30">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row>
    <row r="108" spans="2:30">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row>
    <row r="109" spans="2:30">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row>
    <row r="110" spans="2:30">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row>
    <row r="111" spans="2:30">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row>
    <row r="112" spans="2:30">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row>
    <row r="113" spans="2:30">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row>
    <row r="114" spans="2:30">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row>
    <row r="115" spans="2:30">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row>
    <row r="116" spans="2:30">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row>
    <row r="117" spans="2:30">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row>
    <row r="118" spans="2:30">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row>
    <row r="119" spans="2:30">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row>
    <row r="120" spans="2:30">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row>
    <row r="121" spans="2:30">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row>
    <row r="122" spans="2:30">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row>
    <row r="123" spans="2:30">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row>
    <row r="124" spans="2:30">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row>
    <row r="125" spans="2:30">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row>
    <row r="126" spans="2:30">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row>
    <row r="127" spans="2:30">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row>
    <row r="128" spans="2:30">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row>
    <row r="129" spans="2:30">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row>
    <row r="130" spans="2:30">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row>
    <row r="131" spans="2:30">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row>
    <row r="132" spans="2:30">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row>
    <row r="133" spans="2:30">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row>
    <row r="134" spans="2:30">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row>
    <row r="135" spans="2:30">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row>
    <row r="136" spans="2:30">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row>
    <row r="137" spans="2:30">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row>
    <row r="138" spans="2:30">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row>
    <row r="139" spans="2:30">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row>
    <row r="140" spans="2:30">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row>
    <row r="141" spans="2:30">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row>
    <row r="142" spans="2:30">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row>
    <row r="143" spans="2:30">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row>
    <row r="144" spans="2:30">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row>
    <row r="145" spans="2:30">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row>
    <row r="146" spans="2:30">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row>
    <row r="147" spans="2:30">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row>
    <row r="148" spans="2:30">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row>
    <row r="149" spans="2:30">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row>
    <row r="150" spans="2:30">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row>
    <row r="151" spans="2:30">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row>
    <row r="152" spans="2:30">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row>
    <row r="153" spans="2:30">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row>
    <row r="154" spans="2:30">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row>
    <row r="155" spans="2:30">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row>
    <row r="156" spans="2:30">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row>
    <row r="157" spans="2:30">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row>
    <row r="158" spans="2:30">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row>
    <row r="159" spans="2:30">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row>
    <row r="160" spans="2:30">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row>
    <row r="161" spans="2:30">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row>
    <row r="162" spans="2:30">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row>
    <row r="163" spans="2:30">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row>
    <row r="164" spans="2:30">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row>
    <row r="165" spans="2:30">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row>
    <row r="166" spans="2:30">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row>
    <row r="167" spans="2:30">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row>
    <row r="168" spans="2:30">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row>
    <row r="169" spans="2:30">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row>
    <row r="170" spans="2:30">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row>
    <row r="171" spans="2:30">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row>
    <row r="172" spans="2:30">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row>
    <row r="173" spans="2:30">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row>
    <row r="174" spans="2:30">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row>
    <row r="175" spans="2:30">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row>
    <row r="176" spans="2:30">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row>
    <row r="177" spans="2:30">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row>
    <row r="178" spans="2:30">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row>
    <row r="179" spans="2:30">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row>
    <row r="180" spans="2:30">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row>
    <row r="181" spans="2:30">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row>
    <row r="182" spans="2:30">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c r="AA182" s="183"/>
      <c r="AB182" s="183"/>
      <c r="AC182" s="183"/>
      <c r="AD182" s="183"/>
    </row>
    <row r="183" spans="2:30">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c r="AA183" s="183"/>
      <c r="AB183" s="183"/>
      <c r="AC183" s="183"/>
      <c r="AD183" s="183"/>
    </row>
    <row r="184" spans="2:30">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row>
    <row r="185" spans="2:30">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c r="AA185" s="183"/>
      <c r="AB185" s="183"/>
      <c r="AC185" s="183"/>
      <c r="AD185" s="183"/>
    </row>
    <row r="186" spans="2:30">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c r="AA186" s="183"/>
      <c r="AB186" s="183"/>
      <c r="AC186" s="183"/>
      <c r="AD186" s="183"/>
    </row>
    <row r="187" spans="2:30">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c r="AB187" s="183"/>
      <c r="AC187" s="183"/>
      <c r="AD187" s="183"/>
    </row>
    <row r="188" spans="2:30">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183"/>
      <c r="AA188" s="183"/>
      <c r="AB188" s="183"/>
      <c r="AC188" s="183"/>
      <c r="AD188" s="183"/>
    </row>
    <row r="189" spans="2:30">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c r="AA189" s="183"/>
      <c r="AB189" s="183"/>
      <c r="AC189" s="183"/>
      <c r="AD189" s="183"/>
    </row>
    <row r="190" spans="2:30">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c r="AA190" s="183"/>
      <c r="AB190" s="183"/>
      <c r="AC190" s="183"/>
      <c r="AD190" s="183"/>
    </row>
    <row r="191" spans="2:30">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c r="AA191" s="183"/>
      <c r="AB191" s="183"/>
      <c r="AC191" s="183"/>
      <c r="AD191" s="183"/>
    </row>
    <row r="192" spans="2:30">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3"/>
      <c r="AB192" s="183"/>
      <c r="AC192" s="183"/>
      <c r="AD192" s="183"/>
    </row>
    <row r="193" spans="2:30">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183"/>
      <c r="AA193" s="183"/>
      <c r="AB193" s="183"/>
      <c r="AC193" s="183"/>
      <c r="AD193" s="183"/>
    </row>
    <row r="194" spans="2:30">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3"/>
      <c r="AB194" s="183"/>
      <c r="AC194" s="183"/>
      <c r="AD194" s="183"/>
    </row>
    <row r="195" spans="2:30">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183"/>
      <c r="AA195" s="183"/>
      <c r="AB195" s="183"/>
      <c r="AC195" s="183"/>
      <c r="AD195" s="183"/>
    </row>
    <row r="196" spans="2:30">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3"/>
      <c r="AB196" s="183"/>
      <c r="AC196" s="183"/>
      <c r="AD196" s="183"/>
    </row>
    <row r="197" spans="2:30">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183"/>
      <c r="AA197" s="183"/>
      <c r="AB197" s="183"/>
      <c r="AC197" s="183"/>
      <c r="AD197" s="183"/>
    </row>
    <row r="198" spans="2:30">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c r="AA198" s="183"/>
      <c r="AB198" s="183"/>
      <c r="AC198" s="183"/>
      <c r="AD198" s="183"/>
    </row>
    <row r="199" spans="2:30">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183"/>
      <c r="AA199" s="183"/>
      <c r="AB199" s="183"/>
      <c r="AC199" s="183"/>
      <c r="AD199" s="183"/>
    </row>
    <row r="200" spans="2:30">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183"/>
      <c r="AA200" s="183"/>
      <c r="AB200" s="183"/>
      <c r="AC200" s="183"/>
      <c r="AD200" s="183"/>
    </row>
    <row r="201" spans="2:30">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183"/>
      <c r="AA201" s="183"/>
      <c r="AB201" s="183"/>
      <c r="AC201" s="183"/>
      <c r="AD201" s="183"/>
    </row>
    <row r="202" spans="2:30">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c r="AA202" s="183"/>
      <c r="AB202" s="183"/>
      <c r="AC202" s="183"/>
      <c r="AD202" s="183"/>
    </row>
    <row r="203" spans="2:30">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row>
    <row r="204" spans="2:30">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row>
    <row r="205" spans="2:30">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row>
    <row r="206" spans="2:30">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row>
    <row r="207" spans="2:30">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row>
    <row r="208" spans="2:30">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row>
    <row r="209" spans="2:30">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row>
    <row r="210" spans="2:30">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row>
    <row r="211" spans="2:30">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row>
    <row r="212" spans="2:30">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row>
    <row r="213" spans="2:30">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row>
    <row r="214" spans="2:30">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row>
    <row r="215" spans="2:30">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row>
    <row r="216" spans="2:30">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row>
    <row r="217" spans="2:30">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row>
    <row r="218" spans="2:30">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row>
    <row r="219" spans="2:30">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row>
    <row r="220" spans="2:30">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row>
    <row r="221" spans="2:30">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row>
    <row r="222" spans="2:30">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row>
    <row r="223" spans="2:30">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row>
    <row r="224" spans="2:30">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row>
    <row r="225" spans="2:30">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row>
    <row r="226" spans="2:30">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row>
    <row r="227" spans="2:30">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row>
    <row r="228" spans="2:30">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row>
    <row r="229" spans="2:30">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row>
    <row r="230" spans="2:30">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row>
    <row r="231" spans="2:30">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row>
    <row r="232" spans="2:30">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row>
    <row r="233" spans="2:30">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row>
    <row r="234" spans="2:30">
      <c r="B234" s="183"/>
      <c r="C234" s="183"/>
      <c r="D234" s="183"/>
      <c r="E234" s="183"/>
      <c r="F234" s="183"/>
      <c r="G234" s="183"/>
      <c r="H234" s="183"/>
      <c r="I234" s="183"/>
      <c r="J234" s="183"/>
      <c r="K234" s="183"/>
      <c r="L234" s="183"/>
      <c r="M234" s="183"/>
    </row>
    <row r="235" spans="2:30">
      <c r="B235" s="183"/>
      <c r="C235" s="183"/>
      <c r="D235" s="183"/>
      <c r="E235" s="183"/>
      <c r="F235" s="183"/>
      <c r="G235" s="183"/>
      <c r="H235" s="183"/>
      <c r="I235" s="183"/>
      <c r="J235" s="183"/>
      <c r="K235" s="183"/>
      <c r="L235" s="183"/>
      <c r="M235" s="183"/>
    </row>
    <row r="236" spans="2:30">
      <c r="B236" s="183"/>
      <c r="C236" s="183"/>
      <c r="D236" s="183"/>
      <c r="E236" s="183"/>
      <c r="F236" s="183"/>
      <c r="G236" s="183"/>
      <c r="H236" s="183"/>
      <c r="I236" s="183"/>
      <c r="J236" s="183"/>
      <c r="K236" s="183"/>
      <c r="L236" s="183"/>
      <c r="M236" s="183"/>
    </row>
    <row r="237" spans="2:30">
      <c r="B237" s="183"/>
      <c r="C237" s="183"/>
      <c r="D237" s="183"/>
      <c r="E237" s="183"/>
      <c r="F237" s="183"/>
      <c r="G237" s="183"/>
      <c r="H237" s="183"/>
      <c r="I237" s="183"/>
      <c r="J237" s="183"/>
      <c r="K237" s="183"/>
      <c r="L237" s="183"/>
      <c r="M237" s="183"/>
    </row>
    <row r="238" spans="2:30">
      <c r="B238" s="183"/>
      <c r="C238" s="183"/>
      <c r="D238" s="183"/>
      <c r="E238" s="183"/>
      <c r="F238" s="183"/>
      <c r="G238" s="183"/>
      <c r="H238" s="183"/>
      <c r="I238" s="183"/>
      <c r="J238" s="183"/>
      <c r="K238" s="183"/>
      <c r="L238" s="183"/>
      <c r="M238" s="183"/>
    </row>
    <row r="239" spans="2:30">
      <c r="B239" s="183"/>
      <c r="C239" s="183"/>
      <c r="D239" s="183"/>
      <c r="E239" s="183"/>
      <c r="F239" s="183"/>
      <c r="G239" s="183"/>
      <c r="H239" s="183"/>
      <c r="I239" s="183"/>
      <c r="J239" s="183"/>
      <c r="K239" s="183"/>
      <c r="L239" s="183"/>
      <c r="M239" s="183"/>
    </row>
    <row r="240" spans="2:30">
      <c r="B240" s="183"/>
      <c r="C240" s="183"/>
      <c r="D240" s="183"/>
      <c r="E240" s="183"/>
      <c r="F240" s="183"/>
      <c r="G240" s="183"/>
      <c r="H240" s="183"/>
      <c r="I240" s="183"/>
      <c r="J240" s="183"/>
      <c r="K240" s="183"/>
      <c r="L240" s="183"/>
      <c r="M240" s="183"/>
    </row>
    <row r="241" spans="2:13">
      <c r="B241" s="183"/>
      <c r="C241" s="183"/>
      <c r="D241" s="183"/>
      <c r="E241" s="183"/>
      <c r="F241" s="183"/>
      <c r="G241" s="183"/>
      <c r="H241" s="183"/>
      <c r="I241" s="183"/>
      <c r="J241" s="183"/>
      <c r="K241" s="183"/>
      <c r="L241" s="183"/>
      <c r="M241" s="183"/>
    </row>
    <row r="242" spans="2:13">
      <c r="B242" s="183"/>
      <c r="C242" s="183"/>
      <c r="D242" s="183"/>
      <c r="E242" s="183"/>
      <c r="F242" s="183"/>
      <c r="G242" s="183"/>
      <c r="H242" s="183"/>
      <c r="I242" s="183"/>
      <c r="J242" s="183"/>
      <c r="K242" s="183"/>
      <c r="L242" s="183"/>
      <c r="M242" s="183"/>
    </row>
    <row r="243" spans="2:13">
      <c r="B243" s="183"/>
      <c r="C243" s="183"/>
      <c r="D243" s="183"/>
      <c r="E243" s="183"/>
      <c r="F243" s="183"/>
      <c r="G243" s="183"/>
      <c r="H243" s="183"/>
      <c r="I243" s="183"/>
      <c r="J243" s="183"/>
      <c r="K243" s="183"/>
      <c r="L243" s="183"/>
      <c r="M243" s="183"/>
    </row>
    <row r="244" spans="2:13">
      <c r="B244" s="183"/>
      <c r="C244" s="183"/>
      <c r="D244" s="183"/>
      <c r="E244" s="183"/>
      <c r="F244" s="183"/>
      <c r="G244" s="183"/>
      <c r="H244" s="183"/>
      <c r="I244" s="183"/>
      <c r="J244" s="183"/>
      <c r="K244" s="183"/>
      <c r="L244" s="183"/>
      <c r="M244" s="183"/>
    </row>
    <row r="245" spans="2:13">
      <c r="B245" s="183"/>
      <c r="C245" s="183"/>
      <c r="D245" s="183"/>
      <c r="E245" s="183"/>
      <c r="F245" s="183"/>
      <c r="G245" s="183"/>
      <c r="H245" s="183"/>
      <c r="I245" s="183"/>
      <c r="J245" s="183"/>
      <c r="K245" s="183"/>
      <c r="L245" s="183"/>
      <c r="M245" s="183"/>
    </row>
    <row r="246" spans="2:13">
      <c r="B246" s="183"/>
      <c r="C246" s="183"/>
      <c r="D246" s="183"/>
      <c r="E246" s="183"/>
      <c r="F246" s="183"/>
      <c r="G246" s="183"/>
      <c r="H246" s="183"/>
      <c r="I246" s="183"/>
      <c r="J246" s="183"/>
      <c r="K246" s="183"/>
      <c r="L246" s="183"/>
      <c r="M246" s="183"/>
    </row>
    <row r="247" spans="2:13">
      <c r="B247" s="183"/>
      <c r="C247" s="183"/>
      <c r="D247" s="183"/>
      <c r="E247" s="183"/>
      <c r="F247" s="183"/>
      <c r="G247" s="183"/>
      <c r="H247" s="183"/>
      <c r="I247" s="183"/>
      <c r="J247" s="183"/>
      <c r="K247" s="183"/>
      <c r="L247" s="183"/>
      <c r="M247" s="183"/>
    </row>
    <row r="248" spans="2:13">
      <c r="B248" s="183"/>
      <c r="C248" s="183"/>
      <c r="D248" s="183"/>
      <c r="E248" s="183"/>
      <c r="F248" s="183"/>
      <c r="G248" s="183"/>
      <c r="H248" s="183"/>
      <c r="I248" s="183"/>
      <c r="J248" s="183"/>
      <c r="K248" s="183"/>
      <c r="L248" s="183"/>
      <c r="M248" s="183"/>
    </row>
    <row r="249" spans="2:13">
      <c r="B249" s="183"/>
      <c r="C249" s="183"/>
      <c r="D249" s="183"/>
      <c r="E249" s="183"/>
      <c r="F249" s="183"/>
      <c r="G249" s="183"/>
      <c r="H249" s="183"/>
      <c r="I249" s="183"/>
      <c r="J249" s="183"/>
      <c r="K249" s="183"/>
      <c r="L249" s="183"/>
      <c r="M249" s="183"/>
    </row>
    <row r="250" spans="2:13">
      <c r="B250" s="183"/>
      <c r="C250" s="183"/>
      <c r="D250" s="183"/>
      <c r="E250" s="183"/>
      <c r="F250" s="183"/>
      <c r="G250" s="183"/>
      <c r="H250" s="183"/>
      <c r="I250" s="183"/>
      <c r="J250" s="183"/>
      <c r="K250" s="183"/>
      <c r="L250" s="183"/>
      <c r="M250" s="183"/>
    </row>
    <row r="251" spans="2:13">
      <c r="B251" s="183"/>
      <c r="C251" s="183"/>
      <c r="D251" s="183"/>
      <c r="E251" s="183"/>
      <c r="F251" s="183"/>
      <c r="G251" s="183"/>
      <c r="H251" s="183"/>
      <c r="I251" s="183"/>
      <c r="J251" s="183"/>
      <c r="K251" s="183"/>
      <c r="L251" s="183"/>
      <c r="M251" s="183"/>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AB91"/>
  <sheetViews>
    <sheetView workbookViewId="0"/>
  </sheetViews>
  <sheetFormatPr defaultColWidth="9.140625" defaultRowHeight="15"/>
  <cols>
    <col min="1" max="1" width="9.140625" style="157"/>
    <col min="2" max="2" width="30.7109375" style="157" customWidth="1"/>
    <col min="3" max="3" width="23.140625" style="157" customWidth="1"/>
    <col min="4" max="4" width="28.42578125" style="157" customWidth="1"/>
    <col min="5" max="5" width="14.5703125" style="157" customWidth="1"/>
    <col min="6" max="15" width="9.140625" style="157"/>
    <col min="16" max="16" width="12.5703125" style="157" bestFit="1" customWidth="1"/>
    <col min="17" max="17" width="19.28515625" style="157" customWidth="1"/>
    <col min="18" max="27" width="9.140625" style="157"/>
    <col min="28" max="28" width="6.140625" style="157" customWidth="1"/>
    <col min="29" max="16384" width="9.140625" style="157"/>
  </cols>
  <sheetData>
    <row r="2" spans="2:28" ht="18.75">
      <c r="B2" s="164" t="s">
        <v>250</v>
      </c>
    </row>
    <row r="5" spans="2:28" ht="15.75" thickBot="1">
      <c r="B5" s="211" t="s">
        <v>251</v>
      </c>
      <c r="C5" s="45"/>
      <c r="D5" s="45"/>
      <c r="E5" s="45"/>
      <c r="F5" s="45"/>
      <c r="G5" s="45"/>
      <c r="H5" s="45"/>
      <c r="I5" s="45"/>
      <c r="J5" s="45"/>
      <c r="K5" s="45"/>
      <c r="L5" s="45"/>
      <c r="M5" s="45"/>
      <c r="N5" s="45"/>
      <c r="O5" s="45"/>
      <c r="P5" s="45"/>
      <c r="R5" s="211" t="s">
        <v>252</v>
      </c>
      <c r="S5" s="211"/>
      <c r="T5" s="211"/>
      <c r="U5" s="211"/>
      <c r="V5" s="211"/>
      <c r="W5" s="211"/>
      <c r="X5" s="211"/>
      <c r="Y5" s="211"/>
      <c r="Z5" s="211"/>
      <c r="AA5" s="211"/>
      <c r="AB5" s="211"/>
    </row>
    <row r="7" spans="2:28">
      <c r="B7" s="212" t="s">
        <v>253</v>
      </c>
    </row>
    <row r="8" spans="2:28">
      <c r="C8" s="213"/>
      <c r="G8" s="212"/>
    </row>
    <row r="9" spans="2:28">
      <c r="C9" s="213"/>
      <c r="G9" s="212"/>
      <c r="H9" s="212"/>
    </row>
    <row r="10" spans="2:28">
      <c r="B10" s="212"/>
      <c r="G10" s="119"/>
      <c r="H10" s="119"/>
    </row>
    <row r="11" spans="2:28">
      <c r="F11" s="119"/>
      <c r="G11" s="119"/>
      <c r="H11" s="119"/>
    </row>
    <row r="12" spans="2:28">
      <c r="B12" s="212" t="s">
        <v>254</v>
      </c>
      <c r="C12" s="25"/>
      <c r="D12" s="25"/>
      <c r="G12" s="214"/>
    </row>
    <row r="13" spans="2:28">
      <c r="C13" s="25"/>
      <c r="D13" s="215"/>
    </row>
    <row r="14" spans="2:28">
      <c r="C14" s="25"/>
      <c r="D14" s="216"/>
      <c r="G14" s="119"/>
    </row>
    <row r="15" spans="2:28">
      <c r="C15" s="25"/>
      <c r="D15" s="216"/>
      <c r="G15" s="119"/>
    </row>
    <row r="16" spans="2:28">
      <c r="C16" s="25"/>
      <c r="D16" s="216"/>
      <c r="G16" s="19"/>
    </row>
    <row r="19" spans="2:3">
      <c r="B19" s="212" t="s">
        <v>255</v>
      </c>
    </row>
    <row r="21" spans="2:3">
      <c r="B21" s="212"/>
      <c r="C21" s="217"/>
    </row>
    <row r="22" spans="2:3">
      <c r="B22" s="212"/>
    </row>
    <row r="23" spans="2:3">
      <c r="B23" s="212"/>
    </row>
    <row r="26" spans="2:3">
      <c r="B26" s="212" t="s">
        <v>256</v>
      </c>
    </row>
    <row r="27" spans="2:3">
      <c r="B27" s="212"/>
    </row>
    <row r="29" spans="2:3">
      <c r="B29" s="212" t="s">
        <v>257</v>
      </c>
    </row>
    <row r="30" spans="2:3">
      <c r="C30" s="218"/>
    </row>
    <row r="31" spans="2:3">
      <c r="C31" s="218"/>
    </row>
    <row r="32" spans="2:3">
      <c r="C32" s="218"/>
    </row>
    <row r="33" spans="2:3">
      <c r="C33" s="218"/>
    </row>
    <row r="34" spans="2:3">
      <c r="C34" s="218"/>
    </row>
    <row r="35" spans="2:3">
      <c r="C35" s="218"/>
    </row>
    <row r="36" spans="2:3">
      <c r="C36" s="218"/>
    </row>
    <row r="38" spans="2:3">
      <c r="C38" s="218"/>
    </row>
    <row r="39" spans="2:3">
      <c r="C39" s="218"/>
    </row>
    <row r="40" spans="2:3">
      <c r="C40" s="218"/>
    </row>
    <row r="41" spans="2:3">
      <c r="C41" s="218"/>
    </row>
    <row r="42" spans="2:3">
      <c r="B42" s="212" t="s">
        <v>258</v>
      </c>
      <c r="C42" s="218"/>
    </row>
    <row r="43" spans="2:3">
      <c r="C43" s="218"/>
    </row>
    <row r="46" spans="2:3">
      <c r="C46" s="219"/>
    </row>
    <row r="47" spans="2:3">
      <c r="C47" s="218"/>
    </row>
    <row r="48" spans="2:3">
      <c r="C48" s="218"/>
    </row>
    <row r="50" spans="2:3">
      <c r="C50" s="218"/>
    </row>
    <row r="52" spans="2:3">
      <c r="C52" s="219"/>
    </row>
    <row r="61" spans="2:3">
      <c r="B61" s="212" t="s">
        <v>259</v>
      </c>
    </row>
    <row r="69" spans="2:3">
      <c r="C69" s="218"/>
    </row>
    <row r="70" spans="2:3">
      <c r="C70" s="218"/>
    </row>
    <row r="72" spans="2:3">
      <c r="B72" s="212" t="s">
        <v>260</v>
      </c>
    </row>
    <row r="77" spans="2:3">
      <c r="B77" s="212" t="s">
        <v>261</v>
      </c>
    </row>
    <row r="80" spans="2:3">
      <c r="C80" s="220" t="s">
        <v>262</v>
      </c>
    </row>
    <row r="82" spans="3:6">
      <c r="C82" s="221" t="s">
        <v>263</v>
      </c>
      <c r="D82" s="221" t="s">
        <v>264</v>
      </c>
    </row>
    <row r="83" spans="3:6">
      <c r="C83" s="222">
        <v>1</v>
      </c>
      <c r="D83" s="222" t="s">
        <v>265</v>
      </c>
    </row>
    <row r="84" spans="3:6">
      <c r="C84" s="222">
        <v>2</v>
      </c>
      <c r="D84" s="222" t="s">
        <v>265</v>
      </c>
    </row>
    <row r="85" spans="3:6">
      <c r="E85" s="223"/>
      <c r="F85" s="223"/>
    </row>
    <row r="86" spans="3:6">
      <c r="C86" s="153" t="s">
        <v>266</v>
      </c>
      <c r="E86" s="223"/>
      <c r="F86" s="223"/>
    </row>
    <row r="87" spans="3:6">
      <c r="D87" s="224"/>
    </row>
    <row r="88" spans="3:6">
      <c r="C88" s="221" t="s">
        <v>263</v>
      </c>
      <c r="D88" s="221" t="s">
        <v>267</v>
      </c>
    </row>
    <row r="89" spans="3:6">
      <c r="C89" s="222">
        <v>3</v>
      </c>
      <c r="D89" s="222" t="s">
        <v>268</v>
      </c>
    </row>
    <row r="90" spans="3:6">
      <c r="C90" s="222">
        <v>4</v>
      </c>
      <c r="D90" s="222" t="s">
        <v>268</v>
      </c>
    </row>
    <row r="91" spans="3:6">
      <c r="C91" s="222">
        <v>5</v>
      </c>
      <c r="D91" s="222" t="s">
        <v>268</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5F078877CC254C8540C584AEE761A7" ma:contentTypeVersion="21" ma:contentTypeDescription="Create a new document." ma:contentTypeScope="" ma:versionID="e06c0bb71413ce636bf5d1a75e1dbc10">
  <xsd:schema xmlns:xsd="http://www.w3.org/2001/XMLSchema" xmlns:xs="http://www.w3.org/2001/XMLSchema" xmlns:p="http://schemas.microsoft.com/office/2006/metadata/properties" xmlns:ns1="http://schemas.microsoft.com/sharepoint/v3" xmlns:ns2="4a2faebb-a608-4bb2-9006-72abd5239ac6" xmlns:ns3="32add0a9-924e-4aad-9b26-35149728ff5f" targetNamespace="http://schemas.microsoft.com/office/2006/metadata/properties" ma:root="true" ma:fieldsID="2d71d73fbd3b53e449331a45fdf78c0b" ns1:_="" ns2:_="" ns3:_="">
    <xsd:import namespace="http://schemas.microsoft.com/sharepoint/v3"/>
    <xsd:import namespace="4a2faebb-a608-4bb2-9006-72abd5239ac6"/>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Analyst" minOccurs="0"/>
                <xsd:element ref="ns2:AreaofReview" minOccurs="0"/>
                <xsd:element ref="ns2:CompanysWitnes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2faebb-a608-4bb2-9006-72abd5239a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Analyst" ma:index="20" nillable="true" ma:displayName="Analyst" ma:format="Dropdown" ma:list="UserInfo" ma:SharePointGroup="0" ma:internalName="Analy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eaofReview" ma:index="21" nillable="true" ma:displayName="Area of Review" ma:format="Dropdown" ma:internalName="AreaofReview">
      <xsd:simpleType>
        <xsd:restriction base="dms:Text">
          <xsd:maxLength value="255"/>
        </xsd:restriction>
      </xsd:simpleType>
    </xsd:element>
    <xsd:element name="CompanysWitness" ma:index="22" nillable="true" ma:displayName="Company's Witness" ma:format="Dropdown" ma:internalName="CompanysWitness">
      <xsd:simpleType>
        <xsd:restriction base="dms:Text">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nalyst xmlns="4a2faebb-a608-4bb2-9006-72abd5239ac6">
      <UserInfo>
        <DisplayName/>
        <AccountId xsi:nil="true"/>
        <AccountType/>
      </UserInfo>
    </Analyst>
    <_ip_UnifiedCompliancePolicyUIAction xmlns="http://schemas.microsoft.com/sharepoint/v3" xsi:nil="true"/>
    <CompanysWitness xmlns="4a2faebb-a608-4bb2-9006-72abd5239ac6" xsi:nil="true"/>
    <lcf76f155ced4ddcb4097134ff3c332f xmlns="4a2faebb-a608-4bb2-9006-72abd5239ac6">
      <Terms xmlns="http://schemas.microsoft.com/office/infopath/2007/PartnerControls"/>
    </lcf76f155ced4ddcb4097134ff3c332f>
    <_ip_UnifiedCompliancePolicyProperties xmlns="http://schemas.microsoft.com/sharepoint/v3" xsi:nil="true"/>
    <AreaofReview xmlns="4a2faebb-a608-4bb2-9006-72abd5239ac6" xsi:nil="true"/>
    <TaxCatchAll xmlns="32add0a9-924e-4aad-9b26-35149728ff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AA01F-FAC7-44C3-8A7E-A7E288879A4C}"/>
</file>

<file path=customXml/itemProps2.xml><?xml version="1.0" encoding="utf-8"?>
<ds:datastoreItem xmlns:ds="http://schemas.openxmlformats.org/officeDocument/2006/customXml" ds:itemID="{61BB5D08-8265-4D63-8173-3F087A9A7435}"/>
</file>

<file path=customXml/itemProps3.xml><?xml version="1.0" encoding="utf-8"?>
<ds:datastoreItem xmlns:ds="http://schemas.openxmlformats.org/officeDocument/2006/customXml" ds:itemID="{83869DB4-F373-4E8F-8F22-1AA887C993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Koster, Rick</dc:creator>
  <cp:keywords/>
  <dc:description/>
  <cp:lastModifiedBy>Trent Campbell</cp:lastModifiedBy>
  <cp:revision/>
  <dcterms:created xsi:type="dcterms:W3CDTF">2021-02-25T00:54:44Z</dcterms:created>
  <dcterms:modified xsi:type="dcterms:W3CDTF">2024-09-24T20:41:54Z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0x0101002A5F078877CC254C8540C584AEE761A7</vt:lpwstr>
  </property>
  <property fmtid="{D5CDD505-2E9C-101B-9397-08002B2CF9AE}" pid="3" name="{A44787D4-0540-4523-9961-78E4036D8C6D}">
    <vt:lpwstr>{E8B8545A-23E9-4AF7-9410-D35A331D9214}</vt:lpwstr>
  </property>
  <property fmtid="{D5CDD505-2E9C-101B-9397-08002B2CF9AE}" pid="4" name="SS Version">
    <vt:lpwstr>14.7</vt:lpwstr>
  </property>
  <property fmtid="{D5CDD505-2E9C-101B-9397-08002B2CF9AE}" pid="5" name="MediaServiceImageTags">
    <vt:lpwstr/>
  </property>
</Properties>
</file>